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m.idaho.gov\state_agencies\bdm\"/>
    </mc:Choice>
  </mc:AlternateContent>
  <xr:revisionPtr revIDLastSave="0" documentId="13_ncr:1_{7A182792-9F5D-44C5-BFF9-42D0CFD11A48}" xr6:coauthVersionLast="47" xr6:coauthVersionMax="47" xr10:uidLastSave="{00000000-0000-0000-0000-000000000000}"/>
  <bookViews>
    <workbookView xWindow="31290" yWindow="1395" windowWidth="22035" windowHeight="13140" xr2:uid="{E51C62AB-8801-4EC0-9F26-C14584987D4E}"/>
  </bookViews>
  <sheets>
    <sheet name="FY 2023 budget adj " sheetId="1" r:id="rId1"/>
  </sheets>
  <definedNames>
    <definedName name="_xlnm.Print_Area" localSheetId="0">'FY 2023 budget adj '!$A$5:$AI$114</definedName>
    <definedName name="_xlnm.Print_Titles" localSheetId="0">'FY 2023 budget adj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6" i="1" l="1"/>
  <c r="Y112" i="1"/>
  <c r="Z112" i="1" s="1"/>
  <c r="Y111" i="1"/>
  <c r="Y110" i="1"/>
  <c r="AH110" i="1" s="1"/>
  <c r="Y109" i="1"/>
  <c r="Z109" i="1" s="1"/>
  <c r="Y108" i="1"/>
  <c r="Y107" i="1"/>
  <c r="Y106" i="1"/>
  <c r="Y103" i="1"/>
  <c r="Y101" i="1"/>
  <c r="Y100" i="1"/>
  <c r="Y97" i="1"/>
  <c r="Z97" i="1" s="1"/>
  <c r="Y96" i="1"/>
  <c r="Y95" i="1"/>
  <c r="Y94" i="1"/>
  <c r="Y93" i="1"/>
  <c r="Y91" i="1"/>
  <c r="Y89" i="1"/>
  <c r="Z89" i="1" s="1"/>
  <c r="Y87" i="1"/>
  <c r="Y86" i="1"/>
  <c r="Y84" i="1"/>
  <c r="X76" i="1"/>
  <c r="Y76" i="1"/>
  <c r="AH76" i="1" s="1"/>
  <c r="Y68" i="1"/>
  <c r="Y67" i="1"/>
  <c r="AH67" i="1" s="1"/>
  <c r="Y65" i="1"/>
  <c r="Y64" i="1"/>
  <c r="Y63" i="1"/>
  <c r="Y62" i="1"/>
  <c r="Y61" i="1"/>
  <c r="AH61" i="1" s="1"/>
  <c r="Y59" i="1"/>
  <c r="AH59" i="1" s="1"/>
  <c r="Y58" i="1"/>
  <c r="Y57" i="1"/>
  <c r="Z57" i="1" s="1"/>
  <c r="Y56" i="1"/>
  <c r="AH56" i="1" s="1"/>
  <c r="Y55" i="1"/>
  <c r="AH55" i="1" s="1"/>
  <c r="Y54" i="1"/>
  <c r="Y53" i="1"/>
  <c r="Z53" i="1" s="1"/>
  <c r="Y52" i="1"/>
  <c r="AH52" i="1" s="1"/>
  <c r="Y51" i="1"/>
  <c r="Y50" i="1"/>
  <c r="Y49" i="1"/>
  <c r="Z49" i="1" s="1"/>
  <c r="Y48" i="1"/>
  <c r="Y47" i="1"/>
  <c r="Y46" i="1"/>
  <c r="Y45" i="1"/>
  <c r="Y44" i="1"/>
  <c r="Y43" i="1"/>
  <c r="Y34" i="1"/>
  <c r="AH34" i="1" s="1"/>
  <c r="Y32" i="1"/>
  <c r="AH32" i="1" s="1"/>
  <c r="Y30" i="1"/>
  <c r="AH30" i="1" s="1"/>
  <c r="Y29" i="1"/>
  <c r="AH29" i="1" s="1"/>
  <c r="Y28" i="1"/>
  <c r="Y27" i="1"/>
  <c r="Y19" i="1"/>
  <c r="AH19" i="1" s="1"/>
  <c r="Y18" i="1"/>
  <c r="Y17" i="1"/>
  <c r="AH17" i="1" s="1"/>
  <c r="Y16" i="1"/>
  <c r="Y12" i="1"/>
  <c r="AH12" i="1" s="1"/>
  <c r="Y10" i="1"/>
  <c r="AH10" i="1" s="1"/>
  <c r="Y6" i="1"/>
  <c r="AH6" i="1" s="1"/>
  <c r="Y5" i="1"/>
  <c r="AH5" i="1" s="1"/>
  <c r="P89" i="1"/>
  <c r="O76" i="1"/>
  <c r="P87" i="1"/>
  <c r="P57" i="1"/>
  <c r="P43" i="1"/>
  <c r="P10" i="1"/>
  <c r="E5" i="1"/>
  <c r="H5" i="1"/>
  <c r="K5" i="1"/>
  <c r="Q5" i="1"/>
  <c r="T5" i="1"/>
  <c r="W5" i="1"/>
  <c r="AC5" i="1"/>
  <c r="AF5" i="1"/>
  <c r="AG5" i="1"/>
  <c r="E6" i="1"/>
  <c r="H6" i="1"/>
  <c r="K6" i="1"/>
  <c r="Q6" i="1"/>
  <c r="T6" i="1"/>
  <c r="W6" i="1"/>
  <c r="Z6" i="1"/>
  <c r="AC6" i="1"/>
  <c r="AF6" i="1"/>
  <c r="AG6" i="1"/>
  <c r="E7" i="1"/>
  <c r="H7" i="1"/>
  <c r="K7" i="1"/>
  <c r="N7" i="1"/>
  <c r="Q7" i="1"/>
  <c r="T7" i="1"/>
  <c r="W7" i="1"/>
  <c r="Z7" i="1"/>
  <c r="AC7" i="1"/>
  <c r="AF7" i="1"/>
  <c r="AG7" i="1"/>
  <c r="AH7" i="1"/>
  <c r="E8" i="1"/>
  <c r="H8" i="1"/>
  <c r="K8" i="1"/>
  <c r="N8" i="1"/>
  <c r="Q8" i="1"/>
  <c r="AI8" i="1" s="1"/>
  <c r="T8" i="1"/>
  <c r="W8" i="1"/>
  <c r="Y8" i="1"/>
  <c r="Z8" i="1"/>
  <c r="AC8" i="1"/>
  <c r="AF8" i="1"/>
  <c r="AG8" i="1"/>
  <c r="AH8" i="1"/>
  <c r="E9" i="1"/>
  <c r="H9" i="1"/>
  <c r="K9" i="1"/>
  <c r="N9" i="1"/>
  <c r="Q9" i="1"/>
  <c r="T9" i="1"/>
  <c r="W9" i="1"/>
  <c r="Y9" i="1"/>
  <c r="AH9" i="1" s="1"/>
  <c r="AC9" i="1"/>
  <c r="AF9" i="1"/>
  <c r="AG9" i="1"/>
  <c r="E10" i="1"/>
  <c r="H10" i="1"/>
  <c r="K10" i="1"/>
  <c r="O10" i="1"/>
  <c r="Q10" i="1"/>
  <c r="R10" i="1"/>
  <c r="T10" i="1"/>
  <c r="W10" i="1"/>
  <c r="X10" i="1"/>
  <c r="AC10" i="1"/>
  <c r="AF10" i="1"/>
  <c r="E11" i="1"/>
  <c r="H11" i="1"/>
  <c r="K11" i="1"/>
  <c r="Q11" i="1"/>
  <c r="T11" i="1"/>
  <c r="W11" i="1"/>
  <c r="Y11" i="1"/>
  <c r="AH11" i="1" s="1"/>
  <c r="AC11" i="1"/>
  <c r="AF11" i="1"/>
  <c r="AG11" i="1"/>
  <c r="E12" i="1"/>
  <c r="H12" i="1"/>
  <c r="K12" i="1"/>
  <c r="Q12" i="1"/>
  <c r="T12" i="1"/>
  <c r="W12" i="1"/>
  <c r="AC12" i="1"/>
  <c r="AF12" i="1"/>
  <c r="AG12" i="1"/>
  <c r="E13" i="1"/>
  <c r="H13" i="1"/>
  <c r="K13" i="1"/>
  <c r="N13" i="1"/>
  <c r="Q13" i="1"/>
  <c r="T13" i="1"/>
  <c r="W13" i="1"/>
  <c r="Z13" i="1"/>
  <c r="AC13" i="1"/>
  <c r="AF13" i="1"/>
  <c r="AG13" i="1"/>
  <c r="AH13" i="1"/>
  <c r="E14" i="1"/>
  <c r="H14" i="1"/>
  <c r="K14" i="1"/>
  <c r="N14" i="1"/>
  <c r="Q14" i="1"/>
  <c r="T14" i="1"/>
  <c r="W14" i="1"/>
  <c r="Z14" i="1"/>
  <c r="AC14" i="1"/>
  <c r="AF14" i="1"/>
  <c r="AG14" i="1"/>
  <c r="AH14" i="1"/>
  <c r="E15" i="1"/>
  <c r="H15" i="1"/>
  <c r="K15" i="1"/>
  <c r="Q15" i="1"/>
  <c r="T15" i="1"/>
  <c r="W15" i="1"/>
  <c r="Z15" i="1"/>
  <c r="AC15" i="1"/>
  <c r="AF15" i="1"/>
  <c r="AG15" i="1"/>
  <c r="AH15" i="1"/>
  <c r="E16" i="1"/>
  <c r="H16" i="1"/>
  <c r="K16" i="1"/>
  <c r="Q16" i="1"/>
  <c r="T16" i="1"/>
  <c r="W16" i="1"/>
  <c r="AH16" i="1"/>
  <c r="Z16" i="1"/>
  <c r="AC16" i="1"/>
  <c r="AF16" i="1"/>
  <c r="AG16" i="1"/>
  <c r="E17" i="1"/>
  <c r="H17" i="1"/>
  <c r="K17" i="1"/>
  <c r="Q17" i="1"/>
  <c r="T17" i="1"/>
  <c r="W17" i="1"/>
  <c r="AC17" i="1"/>
  <c r="AF17" i="1"/>
  <c r="AG17" i="1"/>
  <c r="E18" i="1"/>
  <c r="H18" i="1"/>
  <c r="K18" i="1"/>
  <c r="Q18" i="1"/>
  <c r="T18" i="1"/>
  <c r="W18" i="1"/>
  <c r="AH18" i="1"/>
  <c r="AC18" i="1"/>
  <c r="AF18" i="1"/>
  <c r="AG18" i="1"/>
  <c r="E19" i="1"/>
  <c r="H19" i="1"/>
  <c r="K19" i="1"/>
  <c r="N19" i="1"/>
  <c r="Q19" i="1"/>
  <c r="T19" i="1"/>
  <c r="W19" i="1"/>
  <c r="AC19" i="1"/>
  <c r="AF19" i="1"/>
  <c r="AG19" i="1"/>
  <c r="E20" i="1"/>
  <c r="H20" i="1"/>
  <c r="K20" i="1"/>
  <c r="N20" i="1"/>
  <c r="Q20" i="1"/>
  <c r="T20" i="1"/>
  <c r="W20" i="1"/>
  <c r="Z20" i="1"/>
  <c r="AC20" i="1"/>
  <c r="AF20" i="1"/>
  <c r="AG20" i="1"/>
  <c r="AH20" i="1"/>
  <c r="E21" i="1"/>
  <c r="H21" i="1"/>
  <c r="K21" i="1"/>
  <c r="N21" i="1"/>
  <c r="Q21" i="1"/>
  <c r="T21" i="1"/>
  <c r="W21" i="1"/>
  <c r="Y21" i="1"/>
  <c r="AH21" i="1" s="1"/>
  <c r="AC21" i="1"/>
  <c r="AF21" i="1"/>
  <c r="AG21" i="1"/>
  <c r="E22" i="1"/>
  <c r="H22" i="1"/>
  <c r="K22" i="1"/>
  <c r="N22" i="1"/>
  <c r="Q22" i="1"/>
  <c r="T22" i="1"/>
  <c r="W22" i="1"/>
  <c r="Y22" i="1"/>
  <c r="Z22" i="1" s="1"/>
  <c r="AC22" i="1"/>
  <c r="AF22" i="1"/>
  <c r="AG22" i="1"/>
  <c r="E23" i="1"/>
  <c r="H23" i="1"/>
  <c r="K23" i="1"/>
  <c r="N23" i="1"/>
  <c r="Q23" i="1"/>
  <c r="T23" i="1"/>
  <c r="W23" i="1"/>
  <c r="Y23" i="1"/>
  <c r="AH23" i="1" s="1"/>
  <c r="AC23" i="1"/>
  <c r="AF23" i="1"/>
  <c r="AG23" i="1"/>
  <c r="E24" i="1"/>
  <c r="H24" i="1"/>
  <c r="N24" i="1"/>
  <c r="Q24" i="1"/>
  <c r="Z24" i="1"/>
  <c r="AC24" i="1"/>
  <c r="AF24" i="1"/>
  <c r="AG24" i="1"/>
  <c r="AH24" i="1"/>
  <c r="E25" i="1"/>
  <c r="H25" i="1"/>
  <c r="K25" i="1"/>
  <c r="N25" i="1"/>
  <c r="Q25" i="1"/>
  <c r="T25" i="1"/>
  <c r="W25" i="1"/>
  <c r="Y25" i="1"/>
  <c r="Z25" i="1"/>
  <c r="AC25" i="1"/>
  <c r="AF25" i="1"/>
  <c r="AG25" i="1"/>
  <c r="AH25" i="1"/>
  <c r="E26" i="1"/>
  <c r="H26" i="1"/>
  <c r="K26" i="1"/>
  <c r="Q26" i="1"/>
  <c r="T26" i="1"/>
  <c r="W26" i="1"/>
  <c r="Y26" i="1"/>
  <c r="AH26" i="1" s="1"/>
  <c r="AC26" i="1"/>
  <c r="AF26" i="1"/>
  <c r="AG26" i="1"/>
  <c r="E27" i="1"/>
  <c r="H27" i="1"/>
  <c r="K27" i="1"/>
  <c r="N27" i="1"/>
  <c r="Q27" i="1"/>
  <c r="T27" i="1"/>
  <c r="W27" i="1"/>
  <c r="X27" i="1"/>
  <c r="AG27" i="1" s="1"/>
  <c r="AH27" i="1"/>
  <c r="AC27" i="1"/>
  <c r="AF27" i="1"/>
  <c r="E28" i="1"/>
  <c r="H28" i="1"/>
  <c r="K28" i="1"/>
  <c r="N28" i="1"/>
  <c r="Q28" i="1"/>
  <c r="T28" i="1"/>
  <c r="W28" i="1"/>
  <c r="X28" i="1"/>
  <c r="AG28" i="1" s="1"/>
  <c r="AH28" i="1"/>
  <c r="AC28" i="1"/>
  <c r="AF28" i="1"/>
  <c r="E29" i="1"/>
  <c r="H29" i="1"/>
  <c r="K29" i="1"/>
  <c r="N29" i="1"/>
  <c r="Q29" i="1"/>
  <c r="T29" i="1"/>
  <c r="W29" i="1"/>
  <c r="X29" i="1"/>
  <c r="AG29" i="1" s="1"/>
  <c r="AC29" i="1"/>
  <c r="AF29" i="1"/>
  <c r="E30" i="1"/>
  <c r="H30" i="1"/>
  <c r="K30" i="1"/>
  <c r="N30" i="1"/>
  <c r="Q30" i="1"/>
  <c r="T30" i="1"/>
  <c r="W30" i="1"/>
  <c r="AC30" i="1"/>
  <c r="AF30" i="1"/>
  <c r="AG30" i="1"/>
  <c r="E31" i="1"/>
  <c r="H31" i="1"/>
  <c r="K31" i="1"/>
  <c r="N31" i="1"/>
  <c r="Q31" i="1"/>
  <c r="T31" i="1"/>
  <c r="AI31" i="1" s="1"/>
  <c r="W31" i="1"/>
  <c r="Z31" i="1"/>
  <c r="AC31" i="1"/>
  <c r="AF31" i="1"/>
  <c r="AG31" i="1"/>
  <c r="AH31" i="1"/>
  <c r="E32" i="1"/>
  <c r="H32" i="1"/>
  <c r="K32" i="1"/>
  <c r="N32" i="1"/>
  <c r="Q32" i="1"/>
  <c r="T32" i="1"/>
  <c r="W32" i="1"/>
  <c r="X32" i="1"/>
  <c r="AG32" i="1" s="1"/>
  <c r="AC32" i="1"/>
  <c r="AF32" i="1"/>
  <c r="E33" i="1"/>
  <c r="H33" i="1"/>
  <c r="K33" i="1"/>
  <c r="N33" i="1"/>
  <c r="Q33" i="1"/>
  <c r="T33" i="1"/>
  <c r="AI33" i="1" s="1"/>
  <c r="W33" i="1"/>
  <c r="Z33" i="1"/>
  <c r="AC33" i="1"/>
  <c r="AF33" i="1"/>
  <c r="AG33" i="1"/>
  <c r="AH33" i="1"/>
  <c r="E34" i="1"/>
  <c r="H34" i="1"/>
  <c r="K34" i="1"/>
  <c r="N34" i="1"/>
  <c r="Q34" i="1"/>
  <c r="T34" i="1"/>
  <c r="W34" i="1"/>
  <c r="X34" i="1"/>
  <c r="AC34" i="1"/>
  <c r="AF34" i="1"/>
  <c r="E35" i="1"/>
  <c r="H35" i="1"/>
  <c r="K35" i="1"/>
  <c r="N35" i="1"/>
  <c r="Q35" i="1"/>
  <c r="T35" i="1"/>
  <c r="AI35" i="1" s="1"/>
  <c r="W35" i="1"/>
  <c r="Z35" i="1"/>
  <c r="AC35" i="1"/>
  <c r="AF35" i="1"/>
  <c r="AG35" i="1"/>
  <c r="AH35" i="1"/>
  <c r="E36" i="1"/>
  <c r="H36" i="1"/>
  <c r="K36" i="1"/>
  <c r="N36" i="1"/>
  <c r="Q36" i="1"/>
  <c r="T36" i="1"/>
  <c r="W36" i="1"/>
  <c r="Y36" i="1"/>
  <c r="AH36" i="1" s="1"/>
  <c r="Z36" i="1"/>
  <c r="AC36" i="1"/>
  <c r="AF36" i="1"/>
  <c r="AG36" i="1"/>
  <c r="E37" i="1"/>
  <c r="H37" i="1"/>
  <c r="K37" i="1"/>
  <c r="N37" i="1"/>
  <c r="Q37" i="1"/>
  <c r="T37" i="1"/>
  <c r="AI37" i="1" s="1"/>
  <c r="W37" i="1"/>
  <c r="Y37" i="1"/>
  <c r="AH37" i="1" s="1"/>
  <c r="Z37" i="1"/>
  <c r="AC37" i="1"/>
  <c r="AF37" i="1"/>
  <c r="AG37" i="1"/>
  <c r="E38" i="1"/>
  <c r="H38" i="1"/>
  <c r="K38" i="1"/>
  <c r="N38" i="1"/>
  <c r="Q38" i="1"/>
  <c r="T38" i="1"/>
  <c r="W38" i="1"/>
  <c r="Y38" i="1"/>
  <c r="Z38" i="1" s="1"/>
  <c r="AC38" i="1"/>
  <c r="AF38" i="1"/>
  <c r="AG38" i="1"/>
  <c r="E39" i="1"/>
  <c r="H39" i="1"/>
  <c r="K39" i="1"/>
  <c r="N39" i="1"/>
  <c r="Q39" i="1"/>
  <c r="T39" i="1"/>
  <c r="W39" i="1"/>
  <c r="AI39" i="1" s="1"/>
  <c r="Z39" i="1"/>
  <c r="AC39" i="1"/>
  <c r="AF39" i="1"/>
  <c r="AG39" i="1"/>
  <c r="AH39" i="1"/>
  <c r="E40" i="1"/>
  <c r="H40" i="1"/>
  <c r="K40" i="1"/>
  <c r="N40" i="1"/>
  <c r="Q40" i="1"/>
  <c r="T40" i="1"/>
  <c r="W40" i="1"/>
  <c r="Y40" i="1"/>
  <c r="Z40" i="1" s="1"/>
  <c r="AC40" i="1"/>
  <c r="AF40" i="1"/>
  <c r="AG40" i="1"/>
  <c r="AH40" i="1"/>
  <c r="E41" i="1"/>
  <c r="H41" i="1"/>
  <c r="K41" i="1"/>
  <c r="N41" i="1"/>
  <c r="Q41" i="1"/>
  <c r="T41" i="1"/>
  <c r="W41" i="1"/>
  <c r="Y41" i="1"/>
  <c r="Z41" i="1" s="1"/>
  <c r="AC41" i="1"/>
  <c r="AF41" i="1"/>
  <c r="AG41" i="1"/>
  <c r="E42" i="1"/>
  <c r="H42" i="1"/>
  <c r="K42" i="1"/>
  <c r="N42" i="1"/>
  <c r="Q42" i="1"/>
  <c r="T42" i="1"/>
  <c r="W42" i="1"/>
  <c r="Z42" i="1"/>
  <c r="AC42" i="1"/>
  <c r="AF42" i="1"/>
  <c r="AG42" i="1"/>
  <c r="AH42" i="1"/>
  <c r="C43" i="1"/>
  <c r="D43" i="1"/>
  <c r="E43" i="1" s="1"/>
  <c r="F43" i="1"/>
  <c r="H43" i="1" s="1"/>
  <c r="G43" i="1"/>
  <c r="I43" i="1"/>
  <c r="J43" i="1"/>
  <c r="K43" i="1" s="1"/>
  <c r="N43" i="1"/>
  <c r="O43" i="1"/>
  <c r="Q43" i="1"/>
  <c r="R43" i="1"/>
  <c r="S43" i="1"/>
  <c r="U43" i="1"/>
  <c r="V43" i="1"/>
  <c r="W43" i="1" s="1"/>
  <c r="X43" i="1"/>
  <c r="Z43" i="1" s="1"/>
  <c r="AC43" i="1"/>
  <c r="AF43" i="1"/>
  <c r="E44" i="1"/>
  <c r="H44" i="1"/>
  <c r="K44" i="1"/>
  <c r="N44" i="1"/>
  <c r="O44" i="1"/>
  <c r="Q44" i="1" s="1"/>
  <c r="R44" i="1"/>
  <c r="T44" i="1" s="1"/>
  <c r="W44" i="1"/>
  <c r="X44" i="1"/>
  <c r="AH44" i="1"/>
  <c r="Z44" i="1"/>
  <c r="AC44" i="1"/>
  <c r="AF44" i="1"/>
  <c r="E45" i="1"/>
  <c r="H45" i="1"/>
  <c r="K45" i="1"/>
  <c r="N45" i="1"/>
  <c r="Q45" i="1"/>
  <c r="T45" i="1"/>
  <c r="W45" i="1"/>
  <c r="Z45" i="1"/>
  <c r="AC45" i="1"/>
  <c r="AF45" i="1"/>
  <c r="AG45" i="1"/>
  <c r="E46" i="1"/>
  <c r="H46" i="1"/>
  <c r="K46" i="1"/>
  <c r="N46" i="1"/>
  <c r="Q46" i="1"/>
  <c r="T46" i="1"/>
  <c r="W46" i="1"/>
  <c r="AH46" i="1"/>
  <c r="AC46" i="1"/>
  <c r="AF46" i="1"/>
  <c r="AG46" i="1"/>
  <c r="E47" i="1"/>
  <c r="H47" i="1"/>
  <c r="K47" i="1"/>
  <c r="N47" i="1"/>
  <c r="O47" i="1"/>
  <c r="Q47" i="1"/>
  <c r="R47" i="1"/>
  <c r="AG47" i="1" s="1"/>
  <c r="S47" i="1"/>
  <c r="AH47" i="1" s="1"/>
  <c r="V47" i="1"/>
  <c r="W47" i="1"/>
  <c r="X47" i="1"/>
  <c r="Z47" i="1"/>
  <c r="AB47" i="1"/>
  <c r="AB114" i="1" s="1"/>
  <c r="AC47" i="1"/>
  <c r="AF47" i="1"/>
  <c r="E48" i="1"/>
  <c r="H48" i="1"/>
  <c r="K48" i="1"/>
  <c r="N48" i="1"/>
  <c r="Q48" i="1"/>
  <c r="T48" i="1"/>
  <c r="W48" i="1"/>
  <c r="X48" i="1"/>
  <c r="AH48" i="1"/>
  <c r="Z48" i="1"/>
  <c r="AC48" i="1"/>
  <c r="AF48" i="1"/>
  <c r="AG48" i="1"/>
  <c r="E49" i="1"/>
  <c r="H49" i="1"/>
  <c r="K49" i="1"/>
  <c r="N49" i="1"/>
  <c r="Q49" i="1"/>
  <c r="T49" i="1"/>
  <c r="W49" i="1"/>
  <c r="AC49" i="1"/>
  <c r="AF49" i="1"/>
  <c r="AG49" i="1"/>
  <c r="E50" i="1"/>
  <c r="H50" i="1"/>
  <c r="K50" i="1"/>
  <c r="M50" i="1"/>
  <c r="N50" i="1"/>
  <c r="Q50" i="1"/>
  <c r="T50" i="1"/>
  <c r="W50" i="1"/>
  <c r="X50" i="1"/>
  <c r="AC50" i="1"/>
  <c r="AF50" i="1"/>
  <c r="AG50" i="1"/>
  <c r="E51" i="1"/>
  <c r="H51" i="1"/>
  <c r="K51" i="1"/>
  <c r="N51" i="1"/>
  <c r="Q51" i="1"/>
  <c r="T51" i="1"/>
  <c r="W51" i="1"/>
  <c r="AH51" i="1"/>
  <c r="AC51" i="1"/>
  <c r="AF51" i="1"/>
  <c r="AG51" i="1"/>
  <c r="E52" i="1"/>
  <c r="H52" i="1"/>
  <c r="K52" i="1"/>
  <c r="N52" i="1"/>
  <c r="Q52" i="1"/>
  <c r="T52" i="1"/>
  <c r="W52" i="1"/>
  <c r="AC52" i="1"/>
  <c r="AF52" i="1"/>
  <c r="AG52" i="1"/>
  <c r="E53" i="1"/>
  <c r="H53" i="1"/>
  <c r="K53" i="1"/>
  <c r="N53" i="1"/>
  <c r="Q53" i="1"/>
  <c r="T53" i="1"/>
  <c r="W53" i="1"/>
  <c r="X53" i="1"/>
  <c r="AG53" i="1" s="1"/>
  <c r="AC53" i="1"/>
  <c r="AF53" i="1"/>
  <c r="E54" i="1"/>
  <c r="H54" i="1"/>
  <c r="K54" i="1"/>
  <c r="N54" i="1"/>
  <c r="O54" i="1"/>
  <c r="AG54" i="1" s="1"/>
  <c r="Q54" i="1"/>
  <c r="R54" i="1"/>
  <c r="S54" i="1"/>
  <c r="T54" i="1" s="1"/>
  <c r="U54" i="1"/>
  <c r="V54" i="1"/>
  <c r="X54" i="1"/>
  <c r="AB54" i="1"/>
  <c r="AC54" i="1"/>
  <c r="AF54" i="1"/>
  <c r="E55" i="1"/>
  <c r="H55" i="1"/>
  <c r="K55" i="1"/>
  <c r="N55" i="1"/>
  <c r="Q55" i="1"/>
  <c r="T55" i="1"/>
  <c r="W55" i="1"/>
  <c r="AC55" i="1"/>
  <c r="AF55" i="1"/>
  <c r="AG55" i="1"/>
  <c r="E56" i="1"/>
  <c r="H56" i="1"/>
  <c r="K56" i="1"/>
  <c r="N56" i="1"/>
  <c r="Q56" i="1"/>
  <c r="T56" i="1"/>
  <c r="W56" i="1"/>
  <c r="X56" i="1"/>
  <c r="AG56" i="1" s="1"/>
  <c r="AC56" i="1"/>
  <c r="AF56" i="1"/>
  <c r="E57" i="1"/>
  <c r="H57" i="1"/>
  <c r="K57" i="1"/>
  <c r="M57" i="1"/>
  <c r="N57" i="1" s="1"/>
  <c r="O57" i="1"/>
  <c r="R57" i="1"/>
  <c r="S57" i="1"/>
  <c r="U57" i="1"/>
  <c r="V57" i="1"/>
  <c r="X57" i="1"/>
  <c r="AB57" i="1"/>
  <c r="AC57" i="1" s="1"/>
  <c r="AF57" i="1"/>
  <c r="E58" i="1"/>
  <c r="H58" i="1"/>
  <c r="K58" i="1"/>
  <c r="N58" i="1"/>
  <c r="Q58" i="1"/>
  <c r="T58" i="1"/>
  <c r="W58" i="1"/>
  <c r="Z58" i="1"/>
  <c r="AC58" i="1"/>
  <c r="AF58" i="1"/>
  <c r="AG58" i="1"/>
  <c r="AH58" i="1"/>
  <c r="E59" i="1"/>
  <c r="H59" i="1"/>
  <c r="K59" i="1"/>
  <c r="N59" i="1"/>
  <c r="Q59" i="1"/>
  <c r="T59" i="1"/>
  <c r="W59" i="1"/>
  <c r="X59" i="1"/>
  <c r="AG59" i="1" s="1"/>
  <c r="AC59" i="1"/>
  <c r="AF59" i="1"/>
  <c r="E60" i="1"/>
  <c r="H60" i="1"/>
  <c r="K60" i="1"/>
  <c r="N60" i="1"/>
  <c r="Q60" i="1"/>
  <c r="T60" i="1"/>
  <c r="W60" i="1"/>
  <c r="Y60" i="1"/>
  <c r="Z60" i="1" s="1"/>
  <c r="AC60" i="1"/>
  <c r="AF60" i="1"/>
  <c r="AG60" i="1"/>
  <c r="E61" i="1"/>
  <c r="H61" i="1"/>
  <c r="K61" i="1"/>
  <c r="N61" i="1"/>
  <c r="O61" i="1"/>
  <c r="Q61" i="1" s="1"/>
  <c r="R61" i="1"/>
  <c r="T61" i="1" s="1"/>
  <c r="W61" i="1"/>
  <c r="X61" i="1"/>
  <c r="Z61" i="1" s="1"/>
  <c r="AC61" i="1"/>
  <c r="AF61" i="1"/>
  <c r="E62" i="1"/>
  <c r="H62" i="1"/>
  <c r="K62" i="1"/>
  <c r="N62" i="1"/>
  <c r="Q62" i="1"/>
  <c r="T62" i="1"/>
  <c r="W62" i="1"/>
  <c r="AH62" i="1"/>
  <c r="AC62" i="1"/>
  <c r="AF62" i="1"/>
  <c r="AG62" i="1"/>
  <c r="E63" i="1"/>
  <c r="H63" i="1"/>
  <c r="K63" i="1"/>
  <c r="N63" i="1"/>
  <c r="Q63" i="1"/>
  <c r="T63" i="1"/>
  <c r="W63" i="1"/>
  <c r="AH63" i="1"/>
  <c r="AC63" i="1"/>
  <c r="AF63" i="1"/>
  <c r="AG63" i="1"/>
  <c r="E64" i="1"/>
  <c r="H64" i="1"/>
  <c r="K64" i="1"/>
  <c r="N64" i="1"/>
  <c r="Q64" i="1"/>
  <c r="T64" i="1"/>
  <c r="W64" i="1"/>
  <c r="X64" i="1"/>
  <c r="AG64" i="1" s="1"/>
  <c r="AH64" i="1"/>
  <c r="AC64" i="1"/>
  <c r="AF64" i="1"/>
  <c r="E65" i="1"/>
  <c r="H65" i="1"/>
  <c r="K65" i="1"/>
  <c r="N65" i="1"/>
  <c r="Q65" i="1"/>
  <c r="T65" i="1"/>
  <c r="W65" i="1"/>
  <c r="X65" i="1"/>
  <c r="AG65" i="1" s="1"/>
  <c r="AC65" i="1"/>
  <c r="AF65" i="1"/>
  <c r="AH65" i="1"/>
  <c r="E66" i="1"/>
  <c r="H66" i="1"/>
  <c r="K66" i="1"/>
  <c r="N66" i="1"/>
  <c r="Q66" i="1"/>
  <c r="T66" i="1"/>
  <c r="W66" i="1"/>
  <c r="Y66" i="1"/>
  <c r="AH66" i="1" s="1"/>
  <c r="AC66" i="1"/>
  <c r="AF66" i="1"/>
  <c r="AG66" i="1"/>
  <c r="E67" i="1"/>
  <c r="H67" i="1"/>
  <c r="K67" i="1"/>
  <c r="N67" i="1"/>
  <c r="Q67" i="1"/>
  <c r="T67" i="1"/>
  <c r="W67" i="1"/>
  <c r="AC67" i="1"/>
  <c r="AF67" i="1"/>
  <c r="AG67" i="1"/>
  <c r="E68" i="1"/>
  <c r="H68" i="1"/>
  <c r="K68" i="1"/>
  <c r="N68" i="1"/>
  <c r="Q68" i="1"/>
  <c r="T68" i="1"/>
  <c r="W68" i="1"/>
  <c r="X68" i="1"/>
  <c r="AG68" i="1" s="1"/>
  <c r="AH68" i="1"/>
  <c r="AC68" i="1"/>
  <c r="AF68" i="1"/>
  <c r="E69" i="1"/>
  <c r="H69" i="1"/>
  <c r="K69" i="1"/>
  <c r="N69" i="1"/>
  <c r="Q69" i="1"/>
  <c r="T69" i="1"/>
  <c r="AI69" i="1" s="1"/>
  <c r="W69" i="1"/>
  <c r="Z69" i="1"/>
  <c r="AC69" i="1"/>
  <c r="AF69" i="1"/>
  <c r="AG69" i="1"/>
  <c r="AH69" i="1"/>
  <c r="E70" i="1"/>
  <c r="H70" i="1"/>
  <c r="K70" i="1"/>
  <c r="M70" i="1"/>
  <c r="N70" i="1" s="1"/>
  <c r="Q70" i="1"/>
  <c r="T70" i="1"/>
  <c r="W70" i="1"/>
  <c r="AH70" i="1"/>
  <c r="Z70" i="1"/>
  <c r="AC70" i="1"/>
  <c r="AF70" i="1"/>
  <c r="AG70" i="1"/>
  <c r="E71" i="1"/>
  <c r="H71" i="1"/>
  <c r="K71" i="1"/>
  <c r="N71" i="1"/>
  <c r="Q71" i="1"/>
  <c r="T71" i="1"/>
  <c r="W71" i="1"/>
  <c r="Z71" i="1"/>
  <c r="AC71" i="1"/>
  <c r="AF71" i="1"/>
  <c r="AG71" i="1"/>
  <c r="E72" i="1"/>
  <c r="H72" i="1"/>
  <c r="K72" i="1"/>
  <c r="N72" i="1"/>
  <c r="Q72" i="1"/>
  <c r="T72" i="1"/>
  <c r="W72" i="1"/>
  <c r="AH72" i="1"/>
  <c r="AC72" i="1"/>
  <c r="AF72" i="1"/>
  <c r="AG72" i="1"/>
  <c r="E73" i="1"/>
  <c r="H73" i="1"/>
  <c r="K73" i="1"/>
  <c r="N73" i="1"/>
  <c r="Q73" i="1"/>
  <c r="T73" i="1"/>
  <c r="W73" i="1"/>
  <c r="AH73" i="1"/>
  <c r="AC73" i="1"/>
  <c r="AF73" i="1"/>
  <c r="AG73" i="1"/>
  <c r="E74" i="1"/>
  <c r="H74" i="1"/>
  <c r="K74" i="1"/>
  <c r="N74" i="1"/>
  <c r="Q74" i="1"/>
  <c r="T74" i="1"/>
  <c r="W74" i="1"/>
  <c r="AH74" i="1"/>
  <c r="AC74" i="1"/>
  <c r="AF74" i="1"/>
  <c r="AG74" i="1"/>
  <c r="E75" i="1"/>
  <c r="H75" i="1"/>
  <c r="K75" i="1"/>
  <c r="M75" i="1"/>
  <c r="N75" i="1" s="1"/>
  <c r="Q75" i="1"/>
  <c r="T75" i="1"/>
  <c r="W75" i="1"/>
  <c r="Z75" i="1"/>
  <c r="AC75" i="1"/>
  <c r="AF75" i="1"/>
  <c r="AG75" i="1"/>
  <c r="AH75" i="1"/>
  <c r="E76" i="1"/>
  <c r="H76" i="1"/>
  <c r="K76" i="1"/>
  <c r="N76" i="1"/>
  <c r="Q76" i="1"/>
  <c r="T76" i="1"/>
  <c r="W76" i="1"/>
  <c r="AC76" i="1"/>
  <c r="AF76" i="1"/>
  <c r="AG76" i="1"/>
  <c r="E77" i="1"/>
  <c r="H77" i="1"/>
  <c r="K77" i="1"/>
  <c r="N77" i="1"/>
  <c r="Q77" i="1"/>
  <c r="T77" i="1"/>
  <c r="W77" i="1"/>
  <c r="AH77" i="1"/>
  <c r="AC77" i="1"/>
  <c r="AF77" i="1"/>
  <c r="AG77" i="1"/>
  <c r="E78" i="1"/>
  <c r="H78" i="1"/>
  <c r="K78" i="1"/>
  <c r="N78" i="1"/>
  <c r="Q78" i="1"/>
  <c r="T78" i="1"/>
  <c r="W78" i="1"/>
  <c r="Z78" i="1"/>
  <c r="AC78" i="1"/>
  <c r="AF78" i="1"/>
  <c r="AG78" i="1"/>
  <c r="AH78" i="1"/>
  <c r="E79" i="1"/>
  <c r="H79" i="1"/>
  <c r="K79" i="1"/>
  <c r="N79" i="1"/>
  <c r="Q79" i="1"/>
  <c r="AI79" i="1" s="1"/>
  <c r="T79" i="1"/>
  <c r="W79" i="1"/>
  <c r="Z79" i="1"/>
  <c r="AC79" i="1"/>
  <c r="AF79" i="1"/>
  <c r="AG79" i="1"/>
  <c r="AH79" i="1"/>
  <c r="E80" i="1"/>
  <c r="H80" i="1"/>
  <c r="K80" i="1"/>
  <c r="N80" i="1"/>
  <c r="Q80" i="1"/>
  <c r="T80" i="1"/>
  <c r="W80" i="1"/>
  <c r="Z80" i="1"/>
  <c r="AC80" i="1"/>
  <c r="AF80" i="1"/>
  <c r="AG80" i="1"/>
  <c r="AH80" i="1"/>
  <c r="E81" i="1"/>
  <c r="H81" i="1"/>
  <c r="K81" i="1"/>
  <c r="N81" i="1"/>
  <c r="Q81" i="1"/>
  <c r="T81" i="1"/>
  <c r="W81" i="1"/>
  <c r="AH81" i="1"/>
  <c r="Z81" i="1"/>
  <c r="AC81" i="1"/>
  <c r="AF81" i="1"/>
  <c r="AG81" i="1"/>
  <c r="E82" i="1"/>
  <c r="H82" i="1"/>
  <c r="K82" i="1"/>
  <c r="N82" i="1"/>
  <c r="Q82" i="1"/>
  <c r="T82" i="1"/>
  <c r="W82" i="1"/>
  <c r="Z82" i="1"/>
  <c r="AC82" i="1"/>
  <c r="AF82" i="1"/>
  <c r="AG82" i="1"/>
  <c r="AH82" i="1"/>
  <c r="E83" i="1"/>
  <c r="H83" i="1"/>
  <c r="K83" i="1"/>
  <c r="N83" i="1"/>
  <c r="Q83" i="1"/>
  <c r="T83" i="1"/>
  <c r="W83" i="1"/>
  <c r="Y83" i="1"/>
  <c r="AH83" i="1" s="1"/>
  <c r="AC83" i="1"/>
  <c r="AF83" i="1"/>
  <c r="AG83" i="1"/>
  <c r="E84" i="1"/>
  <c r="H84" i="1"/>
  <c r="K84" i="1"/>
  <c r="N84" i="1"/>
  <c r="Q84" i="1"/>
  <c r="T84" i="1"/>
  <c r="W84" i="1"/>
  <c r="Z84" i="1"/>
  <c r="AC84" i="1"/>
  <c r="AF84" i="1"/>
  <c r="AG84" i="1"/>
  <c r="AH84" i="1"/>
  <c r="E85" i="1"/>
  <c r="H85" i="1"/>
  <c r="K85" i="1"/>
  <c r="N85" i="1"/>
  <c r="Q85" i="1"/>
  <c r="T85" i="1"/>
  <c r="W85" i="1"/>
  <c r="Y85" i="1"/>
  <c r="Z85" i="1"/>
  <c r="AC85" i="1"/>
  <c r="AF85" i="1"/>
  <c r="AG85" i="1"/>
  <c r="AH85" i="1"/>
  <c r="E86" i="1"/>
  <c r="H86" i="1"/>
  <c r="K86" i="1"/>
  <c r="N86" i="1"/>
  <c r="Q86" i="1"/>
  <c r="T86" i="1"/>
  <c r="W86" i="1"/>
  <c r="Z86" i="1"/>
  <c r="AC86" i="1"/>
  <c r="AF86" i="1"/>
  <c r="AG86" i="1"/>
  <c r="AH86" i="1"/>
  <c r="E87" i="1"/>
  <c r="H87" i="1"/>
  <c r="K87" i="1"/>
  <c r="N87" i="1"/>
  <c r="O87" i="1"/>
  <c r="R87" i="1"/>
  <c r="S87" i="1"/>
  <c r="T87" i="1" s="1"/>
  <c r="U87" i="1"/>
  <c r="W87" i="1" s="1"/>
  <c r="V87" i="1"/>
  <c r="X87" i="1"/>
  <c r="Z87" i="1"/>
  <c r="AB87" i="1"/>
  <c r="AC87" i="1" s="1"/>
  <c r="AF87" i="1"/>
  <c r="E88" i="1"/>
  <c r="H88" i="1"/>
  <c r="K88" i="1"/>
  <c r="N88" i="1"/>
  <c r="Q88" i="1"/>
  <c r="T88" i="1"/>
  <c r="W88" i="1"/>
  <c r="Z88" i="1"/>
  <c r="AC88" i="1"/>
  <c r="AF88" i="1"/>
  <c r="AG88" i="1"/>
  <c r="C89" i="1"/>
  <c r="E89" i="1" s="1"/>
  <c r="F89" i="1"/>
  <c r="H89" i="1" s="1"/>
  <c r="I89" i="1"/>
  <c r="K89" i="1"/>
  <c r="L89" i="1"/>
  <c r="L114" i="1" s="1"/>
  <c r="O89" i="1"/>
  <c r="Q89" i="1" s="1"/>
  <c r="R89" i="1"/>
  <c r="U89" i="1"/>
  <c r="W89" i="1" s="1"/>
  <c r="AC89" i="1"/>
  <c r="AF89" i="1"/>
  <c r="AH89" i="1"/>
  <c r="E90" i="1"/>
  <c r="H90" i="1"/>
  <c r="K90" i="1"/>
  <c r="N90" i="1"/>
  <c r="Q90" i="1"/>
  <c r="T90" i="1"/>
  <c r="W90" i="1"/>
  <c r="Z90" i="1"/>
  <c r="AC90" i="1"/>
  <c r="AF90" i="1"/>
  <c r="AG90" i="1"/>
  <c r="AH90" i="1"/>
  <c r="E91" i="1"/>
  <c r="H91" i="1"/>
  <c r="K91" i="1"/>
  <c r="N91" i="1"/>
  <c r="Q91" i="1"/>
  <c r="T91" i="1"/>
  <c r="W91" i="1"/>
  <c r="AH91" i="1"/>
  <c r="Z91" i="1"/>
  <c r="AC91" i="1"/>
  <c r="AF91" i="1"/>
  <c r="AG91" i="1"/>
  <c r="E92" i="1"/>
  <c r="H92" i="1"/>
  <c r="K92" i="1"/>
  <c r="N92" i="1"/>
  <c r="Q92" i="1"/>
  <c r="T92" i="1"/>
  <c r="W92" i="1"/>
  <c r="Z92" i="1"/>
  <c r="AC92" i="1"/>
  <c r="AF92" i="1"/>
  <c r="AG92" i="1"/>
  <c r="AH92" i="1"/>
  <c r="E93" i="1"/>
  <c r="H93" i="1"/>
  <c r="K93" i="1"/>
  <c r="N93" i="1"/>
  <c r="Q93" i="1"/>
  <c r="T93" i="1"/>
  <c r="W93" i="1"/>
  <c r="X93" i="1"/>
  <c r="Z93" i="1"/>
  <c r="AC93" i="1"/>
  <c r="AF93" i="1"/>
  <c r="AG93" i="1"/>
  <c r="E94" i="1"/>
  <c r="H94" i="1"/>
  <c r="K94" i="1"/>
  <c r="N94" i="1"/>
  <c r="Q94" i="1"/>
  <c r="T94" i="1"/>
  <c r="W94" i="1"/>
  <c r="X94" i="1"/>
  <c r="AG94" i="1" s="1"/>
  <c r="AH94" i="1"/>
  <c r="Z94" i="1"/>
  <c r="AC94" i="1"/>
  <c r="AF94" i="1"/>
  <c r="E95" i="1"/>
  <c r="H95" i="1"/>
  <c r="K95" i="1"/>
  <c r="N95" i="1"/>
  <c r="Q95" i="1"/>
  <c r="T95" i="1"/>
  <c r="W95" i="1"/>
  <c r="X95" i="1"/>
  <c r="AG95" i="1" s="1"/>
  <c r="AH95" i="1"/>
  <c r="AC95" i="1"/>
  <c r="AF95" i="1"/>
  <c r="E96" i="1"/>
  <c r="H96" i="1"/>
  <c r="K96" i="1"/>
  <c r="N96" i="1"/>
  <c r="Q96" i="1"/>
  <c r="T96" i="1"/>
  <c r="W96" i="1"/>
  <c r="X96" i="1"/>
  <c r="AG96" i="1" s="1"/>
  <c r="AH96" i="1"/>
  <c r="AC96" i="1"/>
  <c r="AF96" i="1"/>
  <c r="E97" i="1"/>
  <c r="H97" i="1"/>
  <c r="K97" i="1"/>
  <c r="N97" i="1"/>
  <c r="Q97" i="1"/>
  <c r="T97" i="1"/>
  <c r="W97" i="1"/>
  <c r="X97" i="1"/>
  <c r="AG97" i="1" s="1"/>
  <c r="AH97" i="1"/>
  <c r="AC97" i="1"/>
  <c r="AF97" i="1"/>
  <c r="E98" i="1"/>
  <c r="H98" i="1"/>
  <c r="K98" i="1"/>
  <c r="N98" i="1"/>
  <c r="Q98" i="1"/>
  <c r="T98" i="1"/>
  <c r="W98" i="1"/>
  <c r="Y98" i="1"/>
  <c r="AH98" i="1" s="1"/>
  <c r="Z98" i="1"/>
  <c r="AC98" i="1"/>
  <c r="AF98" i="1"/>
  <c r="AG98" i="1"/>
  <c r="E99" i="1"/>
  <c r="H99" i="1"/>
  <c r="K99" i="1"/>
  <c r="N99" i="1"/>
  <c r="Q99" i="1"/>
  <c r="T99" i="1"/>
  <c r="W99" i="1"/>
  <c r="Z99" i="1"/>
  <c r="AC99" i="1"/>
  <c r="AF99" i="1"/>
  <c r="AG99" i="1"/>
  <c r="AH99" i="1"/>
  <c r="E100" i="1"/>
  <c r="H100" i="1"/>
  <c r="K100" i="1"/>
  <c r="N100" i="1"/>
  <c r="Q100" i="1"/>
  <c r="T100" i="1"/>
  <c r="W100" i="1"/>
  <c r="X100" i="1"/>
  <c r="AG100" i="1" s="1"/>
  <c r="Z100" i="1"/>
  <c r="AC100" i="1"/>
  <c r="AF100" i="1"/>
  <c r="E101" i="1"/>
  <c r="H101" i="1"/>
  <c r="K101" i="1"/>
  <c r="N101" i="1"/>
  <c r="Q101" i="1"/>
  <c r="T101" i="1"/>
  <c r="W101" i="1"/>
  <c r="AH101" i="1"/>
  <c r="Z101" i="1"/>
  <c r="AC101" i="1"/>
  <c r="AF101" i="1"/>
  <c r="AG101" i="1"/>
  <c r="E102" i="1"/>
  <c r="H102" i="1"/>
  <c r="K102" i="1"/>
  <c r="N102" i="1"/>
  <c r="Q102" i="1"/>
  <c r="T102" i="1"/>
  <c r="W102" i="1"/>
  <c r="AH102" i="1"/>
  <c r="Z102" i="1"/>
  <c r="AC102" i="1"/>
  <c r="AF102" i="1"/>
  <c r="AG102" i="1"/>
  <c r="E103" i="1"/>
  <c r="H103" i="1"/>
  <c r="K103" i="1"/>
  <c r="N103" i="1"/>
  <c r="Q103" i="1"/>
  <c r="T103" i="1"/>
  <c r="W103" i="1"/>
  <c r="Z103" i="1"/>
  <c r="AC103" i="1"/>
  <c r="AF103" i="1"/>
  <c r="AG103" i="1"/>
  <c r="E104" i="1"/>
  <c r="H104" i="1"/>
  <c r="K104" i="1"/>
  <c r="N104" i="1"/>
  <c r="Q104" i="1"/>
  <c r="T104" i="1"/>
  <c r="W104" i="1"/>
  <c r="AI104" i="1" s="1"/>
  <c r="Z104" i="1"/>
  <c r="AC104" i="1"/>
  <c r="AF104" i="1"/>
  <c r="AG104" i="1"/>
  <c r="AH104" i="1"/>
  <c r="E105" i="1"/>
  <c r="H105" i="1"/>
  <c r="K105" i="1"/>
  <c r="N105" i="1"/>
  <c r="Q105" i="1"/>
  <c r="T105" i="1"/>
  <c r="W105" i="1"/>
  <c r="Y105" i="1"/>
  <c r="Z105" i="1" s="1"/>
  <c r="AC105" i="1"/>
  <c r="AF105" i="1"/>
  <c r="AG105" i="1"/>
  <c r="E106" i="1"/>
  <c r="H106" i="1"/>
  <c r="K106" i="1"/>
  <c r="N106" i="1"/>
  <c r="Q106" i="1"/>
  <c r="T106" i="1"/>
  <c r="W106" i="1"/>
  <c r="X106" i="1"/>
  <c r="AG106" i="1" s="1"/>
  <c r="AH106" i="1"/>
  <c r="Z106" i="1"/>
  <c r="AC106" i="1"/>
  <c r="AF106" i="1"/>
  <c r="E107" i="1"/>
  <c r="H107" i="1"/>
  <c r="K107" i="1"/>
  <c r="N107" i="1"/>
  <c r="Q107" i="1"/>
  <c r="T107" i="1"/>
  <c r="W107" i="1"/>
  <c r="X107" i="1"/>
  <c r="AH107" i="1"/>
  <c r="AC107" i="1"/>
  <c r="AF107" i="1"/>
  <c r="E108" i="1"/>
  <c r="H108" i="1"/>
  <c r="K108" i="1"/>
  <c r="N108" i="1"/>
  <c r="Q108" i="1"/>
  <c r="T108" i="1"/>
  <c r="W108" i="1"/>
  <c r="X108" i="1"/>
  <c r="AG108" i="1" s="1"/>
  <c r="Z108" i="1"/>
  <c r="AC108" i="1"/>
  <c r="AF108" i="1"/>
  <c r="E109" i="1"/>
  <c r="H109" i="1"/>
  <c r="K109" i="1"/>
  <c r="N109" i="1"/>
  <c r="Q109" i="1"/>
  <c r="T109" i="1"/>
  <c r="W109" i="1"/>
  <c r="X109" i="1"/>
  <c r="AG109" i="1" s="1"/>
  <c r="AC109" i="1"/>
  <c r="AF109" i="1"/>
  <c r="AH109" i="1"/>
  <c r="E110" i="1"/>
  <c r="H110" i="1"/>
  <c r="K110" i="1"/>
  <c r="N110" i="1"/>
  <c r="Q110" i="1"/>
  <c r="T110" i="1"/>
  <c r="W110" i="1"/>
  <c r="X110" i="1"/>
  <c r="AG110" i="1" s="1"/>
  <c r="AC110" i="1"/>
  <c r="AF110" i="1"/>
  <c r="E111" i="1"/>
  <c r="H111" i="1"/>
  <c r="K111" i="1"/>
  <c r="N111" i="1"/>
  <c r="Q111" i="1"/>
  <c r="T111" i="1"/>
  <c r="W111" i="1"/>
  <c r="X111" i="1"/>
  <c r="AG111" i="1" s="1"/>
  <c r="AH111" i="1"/>
  <c r="AC111" i="1"/>
  <c r="AF111" i="1"/>
  <c r="E112" i="1"/>
  <c r="H112" i="1"/>
  <c r="K112" i="1"/>
  <c r="N112" i="1"/>
  <c r="Q112" i="1"/>
  <c r="T112" i="1"/>
  <c r="W112" i="1"/>
  <c r="X112" i="1"/>
  <c r="AG112" i="1" s="1"/>
  <c r="AH112" i="1"/>
  <c r="AC112" i="1"/>
  <c r="AF112" i="1"/>
  <c r="E113" i="1"/>
  <c r="H113" i="1"/>
  <c r="K113" i="1"/>
  <c r="N113" i="1"/>
  <c r="Q113" i="1"/>
  <c r="T113" i="1"/>
  <c r="AI113" i="1" s="1"/>
  <c r="W113" i="1"/>
  <c r="Z113" i="1"/>
  <c r="AC113" i="1"/>
  <c r="AF113" i="1"/>
  <c r="AH113" i="1"/>
  <c r="G114" i="1"/>
  <c r="I114" i="1"/>
  <c r="AA114" i="1"/>
  <c r="AD114" i="1"/>
  <c r="AE114" i="1"/>
  <c r="AI88" i="1" l="1"/>
  <c r="AI70" i="1"/>
  <c r="Z76" i="1"/>
  <c r="AI76" i="1" s="1"/>
  <c r="Z67" i="1"/>
  <c r="AI67" i="1" s="1"/>
  <c r="Z52" i="1"/>
  <c r="AI52" i="1" s="1"/>
  <c r="Z12" i="1"/>
  <c r="AI12" i="1" s="1"/>
  <c r="Z5" i="1"/>
  <c r="AI5" i="1" s="1"/>
  <c r="O114" i="1"/>
  <c r="AI48" i="1"/>
  <c r="AI85" i="1"/>
  <c r="U114" i="1"/>
  <c r="K114" i="1"/>
  <c r="D114" i="1"/>
  <c r="AI97" i="1"/>
  <c r="Z74" i="1"/>
  <c r="AI74" i="1" s="1"/>
  <c r="Z66" i="1"/>
  <c r="AI66" i="1" s="1"/>
  <c r="Z64" i="1"/>
  <c r="W57" i="1"/>
  <c r="Z55" i="1"/>
  <c r="AI55" i="1" s="1"/>
  <c r="T43" i="1"/>
  <c r="AH41" i="1"/>
  <c r="AI41" i="1"/>
  <c r="Z34" i="1"/>
  <c r="AI34" i="1" s="1"/>
  <c r="Z30" i="1"/>
  <c r="AI30" i="1" s="1"/>
  <c r="Z28" i="1"/>
  <c r="AI28" i="1" s="1"/>
  <c r="AI20" i="1"/>
  <c r="Z19" i="1"/>
  <c r="AI19" i="1" s="1"/>
  <c r="Z17" i="1"/>
  <c r="AI17" i="1" s="1"/>
  <c r="AI15" i="1"/>
  <c r="AI13" i="1"/>
  <c r="AG10" i="1"/>
  <c r="AG89" i="1"/>
  <c r="AI75" i="1"/>
  <c r="V114" i="1"/>
  <c r="AH105" i="1"/>
  <c r="AI94" i="1"/>
  <c r="N89" i="1"/>
  <c r="N114" i="1" s="1"/>
  <c r="AI86" i="1"/>
  <c r="AI80" i="1"/>
  <c r="Z62" i="1"/>
  <c r="AI62" i="1" s="1"/>
  <c r="T57" i="1"/>
  <c r="Z50" i="1"/>
  <c r="AI50" i="1" s="1"/>
  <c r="AI36" i="1"/>
  <c r="AI24" i="1"/>
  <c r="Z23" i="1"/>
  <c r="AI16" i="1"/>
  <c r="AI7" i="1"/>
  <c r="AI108" i="1"/>
  <c r="AH22" i="1"/>
  <c r="AH57" i="1"/>
  <c r="AH53" i="1"/>
  <c r="AI44" i="1"/>
  <c r="C114" i="1"/>
  <c r="AI38" i="1"/>
  <c r="AI23" i="1"/>
  <c r="AI11" i="1"/>
  <c r="AI102" i="1"/>
  <c r="AI98" i="1"/>
  <c r="AI92" i="1"/>
  <c r="AI82" i="1"/>
  <c r="AI112" i="1"/>
  <c r="Z107" i="1"/>
  <c r="AI107" i="1" s="1"/>
  <c r="AH100" i="1"/>
  <c r="AI99" i="1"/>
  <c r="AH87" i="1"/>
  <c r="Z73" i="1"/>
  <c r="AI73" i="1" s="1"/>
  <c r="Z65" i="1"/>
  <c r="AI65" i="1" s="1"/>
  <c r="AI60" i="1"/>
  <c r="Z59" i="1"/>
  <c r="AI59" i="1" s="1"/>
  <c r="AG57" i="1"/>
  <c r="AG44" i="1"/>
  <c r="AI40" i="1"/>
  <c r="Z29" i="1"/>
  <c r="AI29" i="1" s="1"/>
  <c r="Z18" i="1"/>
  <c r="AI18" i="1" s="1"/>
  <c r="AI14" i="1"/>
  <c r="AI106" i="1"/>
  <c r="AI100" i="1"/>
  <c r="AI90" i="1"/>
  <c r="AI78" i="1"/>
  <c r="R114" i="1"/>
  <c r="AI53" i="1"/>
  <c r="AI42" i="1"/>
  <c r="AI84" i="1"/>
  <c r="J114" i="1"/>
  <c r="AI109" i="1"/>
  <c r="AI101" i="1"/>
  <c r="AI91" i="1"/>
  <c r="AG87" i="1"/>
  <c r="AI81" i="1"/>
  <c r="AI64" i="1"/>
  <c r="Z54" i="1"/>
  <c r="AI54" i="1" s="1"/>
  <c r="T47" i="1"/>
  <c r="AI25" i="1"/>
  <c r="Z11" i="1"/>
  <c r="AF114" i="1"/>
  <c r="Z9" i="1"/>
  <c r="AI9" i="1" s="1"/>
  <c r="E114" i="1"/>
  <c r="AI93" i="1"/>
  <c r="AI71" i="1"/>
  <c r="AI6" i="1"/>
  <c r="AI103" i="1"/>
  <c r="AI47" i="1"/>
  <c r="AI45" i="1"/>
  <c r="AI105" i="1"/>
  <c r="W114" i="1"/>
  <c r="AI61" i="1"/>
  <c r="AI49" i="1"/>
  <c r="AI22" i="1"/>
  <c r="H114" i="1"/>
  <c r="AI43" i="1"/>
  <c r="AI58" i="1"/>
  <c r="AC114" i="1"/>
  <c r="S114" i="1"/>
  <c r="Z110" i="1"/>
  <c r="AI110" i="1" s="1"/>
  <c r="Z95" i="1"/>
  <c r="AI95" i="1" s="1"/>
  <c r="Z72" i="1"/>
  <c r="AI72" i="1" s="1"/>
  <c r="Z68" i="1"/>
  <c r="AI68" i="1" s="1"/>
  <c r="Z56" i="1"/>
  <c r="AI56" i="1" s="1"/>
  <c r="Z51" i="1"/>
  <c r="AI51" i="1" s="1"/>
  <c r="Z46" i="1"/>
  <c r="AI46" i="1" s="1"/>
  <c r="Z26" i="1"/>
  <c r="AI26" i="1" s="1"/>
  <c r="Z111" i="1"/>
  <c r="AI111" i="1" s="1"/>
  <c r="Z96" i="1"/>
  <c r="AI96" i="1" s="1"/>
  <c r="T89" i="1"/>
  <c r="T114" i="1" s="1"/>
  <c r="Z83" i="1"/>
  <c r="AI83" i="1" s="1"/>
  <c r="Z77" i="1"/>
  <c r="AI77" i="1" s="1"/>
  <c r="Z63" i="1"/>
  <c r="AI63" i="1" s="1"/>
  <c r="AH54" i="1"/>
  <c r="W54" i="1"/>
  <c r="AH43" i="1"/>
  <c r="Z32" i="1"/>
  <c r="AI32" i="1" s="1"/>
  <c r="Z27" i="1"/>
  <c r="AI27" i="1" s="1"/>
  <c r="Z21" i="1"/>
  <c r="AI21" i="1" s="1"/>
  <c r="Z10" i="1"/>
  <c r="AI10" i="1" s="1"/>
  <c r="AG107" i="1"/>
  <c r="AH103" i="1"/>
  <c r="AH71" i="1"/>
  <c r="AG61" i="1"/>
  <c r="AH50" i="1"/>
  <c r="X114" i="1"/>
  <c r="P114" i="1"/>
  <c r="Q87" i="1"/>
  <c r="AI87" i="1" s="1"/>
  <c r="Q57" i="1"/>
  <c r="AI57" i="1" s="1"/>
  <c r="AH38" i="1"/>
  <c r="AG34" i="1"/>
  <c r="Y114" i="1"/>
  <c r="AH108" i="1"/>
  <c r="AH49" i="1"/>
  <c r="AG43" i="1"/>
  <c r="F114" i="1"/>
  <c r="AH93" i="1"/>
  <c r="AH60" i="1"/>
  <c r="AH45" i="1"/>
  <c r="M114" i="1"/>
  <c r="AH88" i="1"/>
  <c r="AG114" i="1" l="1"/>
  <c r="AH114" i="1"/>
  <c r="Q114" i="1"/>
  <c r="Z114" i="1"/>
  <c r="AI89" i="1"/>
  <c r="AI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Fulkerson</author>
  </authors>
  <commentList>
    <comment ref="M50" authorId="0" shapeId="0" xr:uid="{84D91C7A-838D-447F-BA77-0E849E653B47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2021 cash transfer S1427</t>
        </r>
      </text>
    </comment>
    <comment ref="M57" authorId="0" shapeId="0" xr:uid="{274DE1CB-EF2B-4A05-B7B3-27061EC012E1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FY 2021 cash transfer S1427
</t>
        </r>
      </text>
    </comment>
    <comment ref="M70" authorId="0" shapeId="0" xr:uid="{456103B0-5B77-42F0-B936-CE7AB4CB2B9B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cash transfer in FY 2021 S1427</t>
        </r>
      </text>
    </comment>
    <comment ref="M75" authorId="0" shapeId="0" xr:uid="{6C521856-3F57-4E5F-AB0E-E4FA0EB8F9A6}">
      <text>
        <r>
          <rPr>
            <b/>
            <sz val="9"/>
            <color indexed="81"/>
            <rFont val="Tahoma"/>
            <charset val="1"/>
          </rPr>
          <t>David Fulkerson:</t>
        </r>
        <r>
          <rPr>
            <sz val="9"/>
            <color indexed="81"/>
            <rFont val="Tahoma"/>
            <charset val="1"/>
          </rPr>
          <t xml:space="preserve">
credit for cash transfer in FY 2021 S1427
</t>
        </r>
      </text>
    </comment>
  </commentList>
</comments>
</file>

<file path=xl/sharedStrings.xml><?xml version="1.0" encoding="utf-8"?>
<sst xmlns="http://schemas.openxmlformats.org/spreadsheetml/2006/main" count="173" uniqueCount="129">
  <si>
    <t xml:space="preserve"> </t>
  </si>
  <si>
    <t>DIVISION OF OCCUPATIONAL LICENSE</t>
  </si>
  <si>
    <t>TOTAL</t>
  </si>
  <si>
    <t>OTHER</t>
  </si>
  <si>
    <t>HEALTH DISTRICT VII</t>
  </si>
  <si>
    <t>HEALTH DISTRICT VI</t>
  </si>
  <si>
    <t>HEALTH DISTRICT V</t>
  </si>
  <si>
    <t>HEALTH DISTRICT IV</t>
  </si>
  <si>
    <t>HEALTH DISTRICT III</t>
  </si>
  <si>
    <t>HEALTH DISTRICT II</t>
  </si>
  <si>
    <t>HEALTH DISTRICT I</t>
  </si>
  <si>
    <t>STATE INDEPENDENT LIVING COUNCIL</t>
  </si>
  <si>
    <t>CATASTROPHIC HEALTH CARE</t>
  </si>
  <si>
    <t>PUBLIC UTILITIES COMMISSION</t>
  </si>
  <si>
    <t>CHARTER SCHOOL COMMISSION</t>
  </si>
  <si>
    <t>VOCATIONAL REHABILITATION</t>
  </si>
  <si>
    <t>HISTORICAL SOCIETY</t>
  </si>
  <si>
    <t>HISTORICAL SOCIETY-  STATE RECORDS CENTER</t>
  </si>
  <si>
    <t>STATE LIBRARY</t>
  </si>
  <si>
    <t>IDAHO PUBLIC TELEVISION</t>
  </si>
  <si>
    <t>UNIVERSITY OF IDAHO</t>
  </si>
  <si>
    <t>IDAHO STATE UNIVERSITY</t>
  </si>
  <si>
    <t>BOISE STATE UNIVERSITY</t>
  </si>
  <si>
    <t>LEWIS - CLARK STATE COLLEGE</t>
  </si>
  <si>
    <t>EASTERN IDAHO TECHNICAL COLLEGE</t>
  </si>
  <si>
    <t>CAREER-TECH EDUCATION</t>
  </si>
  <si>
    <t>DEAF &amp; BLIND SCHOOL</t>
  </si>
  <si>
    <t xml:space="preserve">STATE BOARD OF EDUCATION </t>
  </si>
  <si>
    <t>DOPL-DIVISION OF BUILDING SAFETY</t>
  </si>
  <si>
    <t>DIVISION OF VETERANS SERVICES</t>
  </si>
  <si>
    <t>STATE APPELLATE PUBLIC DEFENDER</t>
  </si>
  <si>
    <t>HISPANIC COMMISSION</t>
  </si>
  <si>
    <t>LOTTERY COMMISSION</t>
  </si>
  <si>
    <t>PUBLIC DEFENSE COMMISSIION</t>
  </si>
  <si>
    <t>DOPL-VETERINARY MEDICINE BOARD</t>
  </si>
  <si>
    <t>DOPL-OUTFITTERS &amp; GUIDES</t>
  </si>
  <si>
    <t>DOPL-CERTIFIED SHORTHAND REPORTERS</t>
  </si>
  <si>
    <t>DOPL-OPTOMETRY BOARD</t>
  </si>
  <si>
    <t>DOPL-PROFESSIONAL GEOLOGISTS BOARD</t>
  </si>
  <si>
    <t>DOPL-REAL ESTATE COMMISSION</t>
  </si>
  <si>
    <t>DOPL-NURSING BOARD</t>
  </si>
  <si>
    <t>DOPL-MEDICINE BOARD</t>
  </si>
  <si>
    <t>DOPL-ENGINEERING EXAMINERS BOARD</t>
  </si>
  <si>
    <t>DOPL-DENTISTRY BOARD</t>
  </si>
  <si>
    <t>DOPL-ACCOUNTANCY BOARD</t>
  </si>
  <si>
    <t>DOPL-PHARMACY BOARD</t>
  </si>
  <si>
    <t>DOPL-ATHLETIC COMMISSION</t>
  </si>
  <si>
    <t>DEPT. OF WATER RESOURCES</t>
  </si>
  <si>
    <t>DEPT. OF REVENUE &amp; TAX</t>
  </si>
  <si>
    <t>TAX APPEALS BOARD</t>
  </si>
  <si>
    <t>LAVA HOT SPRINGS</t>
  </si>
  <si>
    <t>DEPT. OF PARKS &amp; RECREATION</t>
  </si>
  <si>
    <t>RACING COMMISSION</t>
  </si>
  <si>
    <t>BRAND INSPECTOR</t>
  </si>
  <si>
    <t>IDAHO STATE POLICE</t>
  </si>
  <si>
    <t>ENDOWMENT FUND INVESTMENT BOARD</t>
  </si>
  <si>
    <t>DEPT. OF LANDS</t>
  </si>
  <si>
    <t>INDUSTRIAL COMMISSION</t>
  </si>
  <si>
    <t>DEPT. OF TRANSPORTATION</t>
  </si>
  <si>
    <t>DEPT. OF JUVENILE CORRECTIONS</t>
  </si>
  <si>
    <t>DEPT. OF INSURANCE</t>
  </si>
  <si>
    <t>DEPT. OF HEALTH &amp; WELFARE</t>
  </si>
  <si>
    <t>DEPT. OF FISH &amp; GAME</t>
  </si>
  <si>
    <t>DEPT. OF FINANCE</t>
  </si>
  <si>
    <t>DEPT. OF ENVIRONMENTAL QUALITY</t>
  </si>
  <si>
    <t>DEPT. OF  LABOR</t>
  </si>
  <si>
    <t>PARDONS &amp; PAROLE COMMISSION</t>
  </si>
  <si>
    <t>CORRECTIONAL INDUSTRIES</t>
  </si>
  <si>
    <t>DEPT. OF CORRECTION</t>
  </si>
  <si>
    <t>DEPT. OF COMMERCE</t>
  </si>
  <si>
    <t>SOIL &amp; WATER CONSERVATION COMMISSION</t>
  </si>
  <si>
    <t>DEPT. OF AGRICULTURE</t>
  </si>
  <si>
    <t>ADMIN-OTHER</t>
  </si>
  <si>
    <t>ADMIN-RISK-0462</t>
  </si>
  <si>
    <t>OFFICE OF ENERGY RESOURCES</t>
  </si>
  <si>
    <t>OFFICE OF DRUG POLICY</t>
  </si>
  <si>
    <t>WOLF CONTROL BOARD</t>
  </si>
  <si>
    <t>ARTS COMMISSION</t>
  </si>
  <si>
    <t>OFFICE OF SPECIES CONSERVATION</t>
  </si>
  <si>
    <t>DIVISION OF HUMAN RESOURCES</t>
  </si>
  <si>
    <t>COMMISSION ON WOMEN'S PROGRAMS</t>
  </si>
  <si>
    <t>MILITARY DIVISION</t>
  </si>
  <si>
    <t>MILITARY DIVISION -PUBLIC SAFETY/COMM</t>
  </si>
  <si>
    <t>THE BLIND COMMISSION</t>
  </si>
  <si>
    <t xml:space="preserve">DEPT OF LABOR -HUMAN RIGHTS COMMISSION </t>
  </si>
  <si>
    <t>COMMISSION ON AGING</t>
  </si>
  <si>
    <t>STATE INSURANCE FUND</t>
  </si>
  <si>
    <t>LIQUOR DISPENSARY</t>
  </si>
  <si>
    <t>PERSI</t>
  </si>
  <si>
    <t>n/a</t>
  </si>
  <si>
    <t>GOVERNOR'S OFFICE</t>
  </si>
  <si>
    <t>DIVISION OF FINANCIAL MANAGEMENT (DFM)</t>
  </si>
  <si>
    <t>DIVISION OF FINANCIAL MANAGEMENT (DFM) -APA</t>
  </si>
  <si>
    <t>STEM</t>
  </si>
  <si>
    <t>WORKFORCE DEVELOPMENT COUNCIL</t>
  </si>
  <si>
    <t>INFORMATION TECHNOLOGY SERVICES</t>
  </si>
  <si>
    <t>INFORMATION TECHNOLOGY SERVICES - 450</t>
  </si>
  <si>
    <t>SUP'T OF PUBLIC INSTRUCTION</t>
  </si>
  <si>
    <t>ATTORNEY GENERAL</t>
  </si>
  <si>
    <t>TREASURER</t>
  </si>
  <si>
    <t>CONTROLLER-OTHER</t>
  </si>
  <si>
    <t>CONTROLLER-COMPUTER CENTER</t>
  </si>
  <si>
    <t>IDAHO CODE COMMISSION</t>
  </si>
  <si>
    <t>UNIFORM LAWS COMMISSION</t>
  </si>
  <si>
    <t>SECRETARY OF STATE</t>
  </si>
  <si>
    <t>LIEUTENANT GOVERNOR</t>
  </si>
  <si>
    <t>JUDICIAL BRANCH</t>
  </si>
  <si>
    <t>OFFICE OF PERFORMANCE EVALUATIONS</t>
  </si>
  <si>
    <t>LEG SVCS-OTHER</t>
  </si>
  <si>
    <t>LEG SVCS-AUDIT-0475</t>
  </si>
  <si>
    <t>HOUSE</t>
  </si>
  <si>
    <t>SENATE</t>
  </si>
  <si>
    <t>Request Adjustment</t>
  </si>
  <si>
    <t>FY 2023 est Billing</t>
  </si>
  <si>
    <t>FY 2022 Approp. Basis</t>
  </si>
  <si>
    <t>AGENCY</t>
  </si>
  <si>
    <t>TOTAL RISK MANAGEMENT</t>
  </si>
  <si>
    <t>CYBER Liability</t>
  </si>
  <si>
    <t>Reinsurance Premium</t>
  </si>
  <si>
    <t>General</t>
  </si>
  <si>
    <t>Auto</t>
  </si>
  <si>
    <t>Property</t>
  </si>
  <si>
    <t>Liability</t>
  </si>
  <si>
    <t>STATEWIDE PAYROLL</t>
  </si>
  <si>
    <t>STATEWIDE ACCOUNTING</t>
  </si>
  <si>
    <t>RISK MANAGEMENT</t>
  </si>
  <si>
    <t>CONTROLLER</t>
  </si>
  <si>
    <t>2023 Indirect Cost Recovery - Budget Adjustments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</si>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</sst>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2"/>
    <xf numFmtId="38" fontId="1" fillId="0" borderId="1" xfId="2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38" fontId="1" fillId="0" borderId="2" xfId="2" applyNumberFormat="1" applyBorder="1"/>
    <xf numFmtId="164" fontId="1" fillId="0" borderId="1" xfId="3" applyNumberFormat="1" applyFill="1" applyBorder="1"/>
    <xf numFmtId="38" fontId="1" fillId="0" borderId="2" xfId="2" applyNumberFormat="1" applyBorder="1" applyAlignment="1">
      <alignment horizontal="right"/>
    </xf>
    <xf numFmtId="38" fontId="1" fillId="0" borderId="3" xfId="2" applyNumberFormat="1" applyBorder="1"/>
    <xf numFmtId="38" fontId="0" fillId="0" borderId="2" xfId="0" applyNumberFormat="1" applyBorder="1"/>
    <xf numFmtId="38" fontId="1" fillId="0" borderId="1" xfId="2" applyNumberFormat="1" applyBorder="1"/>
    <xf numFmtId="0" fontId="1" fillId="0" borderId="1" xfId="2" applyBorder="1"/>
    <xf numFmtId="0" fontId="1" fillId="0" borderId="2" xfId="2" applyBorder="1"/>
    <xf numFmtId="38" fontId="1" fillId="0" borderId="0" xfId="2" applyNumberFormat="1" applyAlignment="1">
      <alignment horizontal="right"/>
    </xf>
    <xf numFmtId="38" fontId="1" fillId="0" borderId="4" xfId="2" applyNumberFormat="1" applyBorder="1"/>
    <xf numFmtId="164" fontId="1" fillId="0" borderId="4" xfId="3" applyNumberFormat="1" applyFill="1" applyBorder="1"/>
    <xf numFmtId="38" fontId="1" fillId="0" borderId="5" xfId="2" applyNumberFormat="1" applyBorder="1"/>
    <xf numFmtId="0" fontId="1" fillId="0" borderId="6" xfId="2" applyBorder="1"/>
    <xf numFmtId="0" fontId="1" fillId="0" borderId="7" xfId="2" applyBorder="1"/>
    <xf numFmtId="38" fontId="0" fillId="0" borderId="8" xfId="0" applyNumberFormat="1" applyBorder="1" applyAlignment="1">
      <alignment horizontal="right"/>
    </xf>
    <xf numFmtId="38" fontId="0" fillId="0" borderId="9" xfId="0" applyNumberFormat="1" applyBorder="1" applyAlignment="1">
      <alignment horizontal="right"/>
    </xf>
    <xf numFmtId="38" fontId="1" fillId="0" borderId="10" xfId="2" applyNumberFormat="1" applyBorder="1"/>
    <xf numFmtId="38" fontId="0" fillId="0" borderId="11" xfId="0" applyNumberForma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38" fontId="1" fillId="0" borderId="3" xfId="2" applyNumberFormat="1" applyBorder="1" applyAlignment="1">
      <alignment horizontal="right"/>
    </xf>
    <xf numFmtId="38" fontId="0" fillId="2" borderId="2" xfId="0" applyNumberFormat="1" applyFill="1" applyBorder="1"/>
    <xf numFmtId="38" fontId="1" fillId="0" borderId="12" xfId="2" applyNumberFormat="1" applyBorder="1"/>
    <xf numFmtId="38" fontId="1" fillId="0" borderId="12" xfId="2" applyNumberFormat="1" applyBorder="1" applyAlignment="1">
      <alignment horizontal="right"/>
    </xf>
    <xf numFmtId="0" fontId="1" fillId="0" borderId="13" xfId="2" applyBorder="1"/>
    <xf numFmtId="0" fontId="1" fillId="0" borderId="14" xfId="2" applyBorder="1"/>
    <xf numFmtId="38" fontId="1" fillId="0" borderId="12" xfId="2" applyNumberFormat="1" applyBorder="1" applyAlignment="1">
      <alignment horizontal="center" wrapText="1"/>
    </xf>
    <xf numFmtId="38" fontId="1" fillId="0" borderId="15" xfId="2" applyNumberFormat="1" applyBorder="1" applyAlignment="1">
      <alignment horizontal="center" wrapText="1"/>
    </xf>
    <xf numFmtId="38" fontId="1" fillId="0" borderId="16" xfId="2" applyNumberFormat="1" applyBorder="1" applyAlignment="1">
      <alignment horizontal="center" wrapText="1"/>
    </xf>
    <xf numFmtId="38" fontId="1" fillId="0" borderId="6" xfId="2" applyNumberFormat="1" applyBorder="1" applyAlignment="1">
      <alignment horizontal="center" wrapText="1"/>
    </xf>
    <xf numFmtId="38" fontId="1" fillId="0" borderId="17" xfId="2" applyNumberFormat="1" applyBorder="1" applyAlignment="1">
      <alignment horizontal="center" wrapText="1"/>
    </xf>
    <xf numFmtId="38" fontId="1" fillId="0" borderId="18" xfId="2" applyNumberFormat="1" applyBorder="1" applyAlignment="1">
      <alignment horizontal="center" wrapText="1"/>
    </xf>
    <xf numFmtId="0" fontId="1" fillId="0" borderId="18" xfId="2" applyBorder="1" applyAlignment="1">
      <alignment horizontal="center" wrapText="1"/>
    </xf>
    <xf numFmtId="0" fontId="1" fillId="0" borderId="0" xfId="2" applyAlignment="1">
      <alignment horizontal="center" wrapText="1"/>
    </xf>
    <xf numFmtId="38" fontId="1" fillId="0" borderId="27" xfId="2" applyNumberFormat="1" applyBorder="1"/>
    <xf numFmtId="38" fontId="1" fillId="0" borderId="28" xfId="2" applyNumberFormat="1" applyBorder="1"/>
    <xf numFmtId="38" fontId="1" fillId="0" borderId="29" xfId="2" applyNumberFormat="1" applyBorder="1"/>
    <xf numFmtId="38" fontId="1" fillId="0" borderId="0" xfId="2" applyNumberFormat="1"/>
    <xf numFmtId="43" fontId="1" fillId="0" borderId="0" xfId="1" applyFont="1"/>
    <xf numFmtId="38" fontId="0" fillId="0" borderId="1" xfId="0" applyNumberFormat="1" applyFill="1" applyBorder="1" applyAlignment="1">
      <alignment horizontal="right"/>
    </xf>
    <xf numFmtId="43" fontId="1" fillId="0" borderId="1" xfId="1" applyFont="1" applyBorder="1" applyAlignment="1">
      <alignment horizontal="right"/>
    </xf>
    <xf numFmtId="38" fontId="3" fillId="0" borderId="22" xfId="2" applyNumberFormat="1" applyFont="1" applyBorder="1" applyAlignment="1">
      <alignment horizontal="center"/>
    </xf>
    <xf numFmtId="38" fontId="3" fillId="0" borderId="21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4" fillId="0" borderId="0" xfId="2" applyFont="1" applyAlignment="1">
      <alignment horizontal="center"/>
    </xf>
    <xf numFmtId="38" fontId="3" fillId="0" borderId="25" xfId="2" applyNumberFormat="1" applyFont="1" applyBorder="1" applyAlignment="1">
      <alignment horizontal="center"/>
    </xf>
    <xf numFmtId="38" fontId="3" fillId="0" borderId="26" xfId="2" applyNumberFormat="1" applyFont="1" applyBorder="1" applyAlignment="1">
      <alignment horizontal="center"/>
    </xf>
    <xf numFmtId="38" fontId="3" fillId="0" borderId="24" xfId="2" applyNumberFormat="1" applyFont="1" applyBorder="1" applyAlignment="1">
      <alignment horizontal="center"/>
    </xf>
    <xf numFmtId="38" fontId="3" fillId="0" borderId="23" xfId="2" applyNumberFormat="1" applyFont="1" applyBorder="1" applyAlignment="1">
      <alignment horizontal="center"/>
    </xf>
    <xf numFmtId="38" fontId="3" fillId="0" borderId="20" xfId="2" applyNumberFormat="1" applyFont="1" applyBorder="1" applyAlignment="1">
      <alignment horizontal="center"/>
    </xf>
    <xf numFmtId="38" fontId="3" fillId="0" borderId="19" xfId="2" applyNumberFormat="1" applyFont="1" applyBorder="1" applyAlignment="1">
      <alignment horizontal="center"/>
    </xf>
    <xf numFmtId="38" fontId="3" fillId="0" borderId="18" xfId="2" applyNumberFormat="1" applyFont="1" applyBorder="1" applyAlignment="1">
      <alignment horizontal="center"/>
    </xf>
    <xf numFmtId="38" fontId="3" fillId="0" borderId="6" xfId="2" applyNumberFormat="1" applyFont="1" applyBorder="1" applyAlignment="1">
      <alignment horizontal="center"/>
    </xf>
  </cellXfs>
  <cellStyles count="4">
    <cellStyle name="Comma" xfId="1" builtinId="3"/>
    <cellStyle name="Comma 2" xfId="3" xr:uid="{7971A491-80F9-4DA0-8580-A7302AE4A379}"/>
    <cellStyle name="Normal" xfId="0" builtinId="0"/>
    <cellStyle name="Normal 2" xfId="2" xr:uid="{41A5FC83-37B6-410F-8B40-A7FEDA783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0ADF-41A5-4462-ABA6-A09A10F5C510}">
  <sheetPr>
    <pageSetUpPr fitToPage="1"/>
  </sheetPr>
  <dimension ref="A1:AI131"/>
  <sheetViews>
    <sheetView tabSelected="1" zoomScale="80" zoomScaleNormal="8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.140625" defaultRowHeight="12.75" x14ac:dyDescent="0.2"/>
  <cols>
    <col min="1" max="1" width="4.140625" style="1" customWidth="1"/>
    <col min="2" max="2" width="46.140625" style="1" bestFit="1" customWidth="1"/>
    <col min="3" max="3" width="11.42578125" style="1" customWidth="1"/>
    <col min="4" max="4" width="10.42578125" style="1" bestFit="1" customWidth="1"/>
    <col min="5" max="5" width="9.42578125" style="1" customWidth="1"/>
    <col min="6" max="6" width="13.5703125" style="1" bestFit="1" customWidth="1"/>
    <col min="7" max="7" width="10.5703125" style="1" bestFit="1" customWidth="1"/>
    <col min="8" max="8" width="12" style="1" customWidth="1"/>
    <col min="9" max="9" width="13.5703125" style="1" bestFit="1" customWidth="1"/>
    <col min="10" max="10" width="10.5703125" style="1" bestFit="1" customWidth="1"/>
    <col min="11" max="11" width="11.42578125" style="1" customWidth="1"/>
    <col min="12" max="12" width="12.5703125" style="1" customWidth="1"/>
    <col min="13" max="13" width="11.140625" style="1" customWidth="1"/>
    <col min="14" max="14" width="12.7109375" style="1" customWidth="1"/>
    <col min="15" max="15" width="13.5703125" style="1" bestFit="1" customWidth="1"/>
    <col min="16" max="16" width="12.85546875" style="1" bestFit="1" customWidth="1"/>
    <col min="17" max="17" width="11.28515625" style="1" customWidth="1"/>
    <col min="18" max="18" width="13.5703125" style="1" bestFit="1" customWidth="1"/>
    <col min="19" max="19" width="12.85546875" style="1" bestFit="1" customWidth="1"/>
    <col min="20" max="20" width="14.140625" style="1" bestFit="1" customWidth="1"/>
    <col min="21" max="21" width="12.85546875" style="1" customWidth="1"/>
    <col min="22" max="22" width="11.42578125" style="1" bestFit="1" customWidth="1"/>
    <col min="23" max="23" width="12.42578125" style="1" bestFit="1" customWidth="1"/>
    <col min="24" max="24" width="13.5703125" style="1" bestFit="1" customWidth="1"/>
    <col min="25" max="25" width="13.85546875" style="1" bestFit="1" customWidth="1"/>
    <col min="26" max="26" width="14.140625" style="1" bestFit="1" customWidth="1"/>
    <col min="27" max="27" width="13.140625" style="1" customWidth="1"/>
    <col min="28" max="28" width="14.140625" style="1" customWidth="1"/>
    <col min="29" max="29" width="11.5703125" style="1" customWidth="1"/>
    <col min="30" max="30" width="13.85546875" style="1" bestFit="1" customWidth="1"/>
    <col min="31" max="31" width="11.140625" style="1" customWidth="1"/>
    <col min="32" max="32" width="10.140625" style="1" customWidth="1"/>
    <col min="33" max="33" width="13.5703125" style="1" customWidth="1"/>
    <col min="34" max="34" width="13.140625" style="1" customWidth="1"/>
    <col min="35" max="35" width="15.7109375" style="1" customWidth="1"/>
    <col min="36" max="37" width="9.140625" style="1"/>
    <col min="38" max="38" width="12.85546875" style="1" bestFit="1" customWidth="1"/>
    <col min="39" max="39" width="9.140625" style="1"/>
    <col min="40" max="40" width="10.85546875" style="1" bestFit="1" customWidth="1"/>
    <col min="41" max="16384" width="9.140625" style="1"/>
  </cols>
  <sheetData>
    <row r="1" spans="1:35" ht="16.5" thickBot="1" x14ac:dyDescent="0.3">
      <c r="A1" s="51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x14ac:dyDescent="0.2">
      <c r="B2" s="43" t="s">
        <v>0</v>
      </c>
      <c r="C2" s="41"/>
      <c r="D2" s="40"/>
      <c r="E2" s="39"/>
      <c r="F2" s="52" t="s">
        <v>126</v>
      </c>
      <c r="G2" s="52"/>
      <c r="H2" s="52"/>
      <c r="I2" s="52"/>
      <c r="J2" s="52"/>
      <c r="K2" s="52"/>
      <c r="L2" s="41"/>
      <c r="M2" s="40"/>
      <c r="N2" s="39"/>
      <c r="O2" s="53" t="s">
        <v>125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4"/>
    </row>
    <row r="3" spans="1:35" x14ac:dyDescent="0.2">
      <c r="C3" s="55" t="s">
        <v>99</v>
      </c>
      <c r="D3" s="56"/>
      <c r="E3" s="57"/>
      <c r="F3" s="46" t="s">
        <v>124</v>
      </c>
      <c r="G3" s="46"/>
      <c r="H3" s="47"/>
      <c r="I3" s="58" t="s">
        <v>123</v>
      </c>
      <c r="J3" s="46"/>
      <c r="K3" s="46"/>
      <c r="L3" s="55" t="s">
        <v>98</v>
      </c>
      <c r="M3" s="56"/>
      <c r="N3" s="57"/>
      <c r="O3" s="55" t="s">
        <v>122</v>
      </c>
      <c r="P3" s="56"/>
      <c r="Q3" s="56"/>
      <c r="R3" s="59" t="s">
        <v>121</v>
      </c>
      <c r="S3" s="56"/>
      <c r="T3" s="56"/>
      <c r="U3" s="59" t="s">
        <v>120</v>
      </c>
      <c r="V3" s="56"/>
      <c r="W3" s="56"/>
      <c r="X3" s="59" t="s">
        <v>119</v>
      </c>
      <c r="Y3" s="56"/>
      <c r="Z3" s="56"/>
      <c r="AA3" s="46" t="s">
        <v>118</v>
      </c>
      <c r="AB3" s="46"/>
      <c r="AC3" s="47"/>
      <c r="AD3" s="46" t="s">
        <v>117</v>
      </c>
      <c r="AE3" s="46"/>
      <c r="AF3" s="47"/>
      <c r="AG3" s="48" t="s">
        <v>116</v>
      </c>
      <c r="AH3" s="49"/>
      <c r="AI3" s="50"/>
    </row>
    <row r="4" spans="1:35" ht="38.25" x14ac:dyDescent="0.2">
      <c r="A4" s="38"/>
      <c r="B4" s="37" t="s">
        <v>115</v>
      </c>
      <c r="C4" s="33" t="s">
        <v>114</v>
      </c>
      <c r="D4" s="32" t="s">
        <v>113</v>
      </c>
      <c r="E4" s="35" t="s">
        <v>112</v>
      </c>
      <c r="F4" s="33" t="s">
        <v>114</v>
      </c>
      <c r="G4" s="32" t="s">
        <v>113</v>
      </c>
      <c r="H4" s="32" t="s">
        <v>112</v>
      </c>
      <c r="I4" s="33" t="s">
        <v>114</v>
      </c>
      <c r="J4" s="32" t="s">
        <v>113</v>
      </c>
      <c r="K4" s="36" t="s">
        <v>112</v>
      </c>
      <c r="L4" s="33" t="s">
        <v>114</v>
      </c>
      <c r="M4" s="32" t="s">
        <v>113</v>
      </c>
      <c r="N4" s="35" t="s">
        <v>112</v>
      </c>
      <c r="O4" s="33" t="s">
        <v>114</v>
      </c>
      <c r="P4" s="32" t="s">
        <v>113</v>
      </c>
      <c r="Q4" s="34" t="s">
        <v>112</v>
      </c>
      <c r="R4" s="33" t="s">
        <v>114</v>
      </c>
      <c r="S4" s="32" t="s">
        <v>113</v>
      </c>
      <c r="T4" s="34" t="s">
        <v>112</v>
      </c>
      <c r="U4" s="33" t="s">
        <v>114</v>
      </c>
      <c r="V4" s="32" t="s">
        <v>113</v>
      </c>
      <c r="W4" s="34" t="s">
        <v>112</v>
      </c>
      <c r="X4" s="33" t="s">
        <v>114</v>
      </c>
      <c r="Y4" s="32" t="s">
        <v>113</v>
      </c>
      <c r="Z4" s="34" t="s">
        <v>112</v>
      </c>
      <c r="AA4" s="33" t="s">
        <v>114</v>
      </c>
      <c r="AB4" s="32" t="s">
        <v>113</v>
      </c>
      <c r="AC4" s="34" t="s">
        <v>112</v>
      </c>
      <c r="AD4" s="33" t="s">
        <v>114</v>
      </c>
      <c r="AE4" s="32" t="s">
        <v>113</v>
      </c>
      <c r="AF4" s="34" t="s">
        <v>112</v>
      </c>
      <c r="AG4" s="33" t="s">
        <v>114</v>
      </c>
      <c r="AH4" s="32" t="s">
        <v>113</v>
      </c>
      <c r="AI4" s="31" t="s">
        <v>112</v>
      </c>
    </row>
    <row r="5" spans="1:35" x14ac:dyDescent="0.2">
      <c r="A5" s="30">
        <v>100</v>
      </c>
      <c r="B5" s="29" t="s">
        <v>111</v>
      </c>
      <c r="C5" s="8">
        <v>262</v>
      </c>
      <c r="D5" s="8">
        <v>294</v>
      </c>
      <c r="E5" s="7">
        <f t="shared" ref="E5:E36" si="0">ROUND(+D5-C5,-2)</f>
        <v>0</v>
      </c>
      <c r="F5" s="8">
        <v>956</v>
      </c>
      <c r="G5" s="8">
        <v>848</v>
      </c>
      <c r="H5" s="4">
        <f t="shared" ref="H5:H36" si="1">ROUND(+G5-F5,-2)</f>
        <v>-100</v>
      </c>
      <c r="I5" s="8">
        <v>8376</v>
      </c>
      <c r="J5" s="8">
        <v>9525</v>
      </c>
      <c r="K5" s="9">
        <f t="shared" ref="K5:K23" si="2">ROUND(+J5-I5,-2)</f>
        <v>1100</v>
      </c>
      <c r="L5" s="26"/>
      <c r="M5" s="26"/>
      <c r="N5" s="28" t="s">
        <v>89</v>
      </c>
      <c r="O5" s="21">
        <v>1931.43</v>
      </c>
      <c r="P5" s="3">
        <v>1908.3</v>
      </c>
      <c r="Q5" s="2">
        <f t="shared" ref="Q5:Q36" si="3">ROUND(P5-O5,-2)</f>
        <v>0</v>
      </c>
      <c r="R5" s="3">
        <v>1099.3900000000001</v>
      </c>
      <c r="S5" s="3">
        <v>639.88</v>
      </c>
      <c r="T5" s="2">
        <f t="shared" ref="T5:T23" si="4">ROUND(S5-R5,-2)</f>
        <v>-500</v>
      </c>
      <c r="U5" s="3">
        <v>53.68</v>
      </c>
      <c r="V5" s="3">
        <v>30.2</v>
      </c>
      <c r="W5" s="2">
        <f t="shared" ref="W5:W23" si="5">ROUND(V5-U5,-2)</f>
        <v>0</v>
      </c>
      <c r="X5" s="3">
        <v>178.32</v>
      </c>
      <c r="Y5" s="3">
        <f>4.75+197.17</f>
        <v>201.92</v>
      </c>
      <c r="Z5" s="2">
        <f t="shared" ref="Z5:Z36" si="6">ROUND(Y5-X5,-2)</f>
        <v>0</v>
      </c>
      <c r="AA5" s="2"/>
      <c r="AB5" s="2"/>
      <c r="AC5" s="2">
        <f t="shared" ref="AC5:AC36" si="7">ROUND(AB5-AA5,-2)</f>
        <v>0</v>
      </c>
      <c r="AD5" s="2">
        <v>0</v>
      </c>
      <c r="AE5" s="2">
        <v>0</v>
      </c>
      <c r="AF5" s="2">
        <f t="shared" ref="AF5:AF36" si="8">ROUND(AE5-AD5,-2)</f>
        <v>0</v>
      </c>
      <c r="AG5" s="6">
        <f t="shared" ref="AG5:AG36" si="9">O5+R5+U5+X5+AA5+AD5</f>
        <v>3262.82</v>
      </c>
      <c r="AH5" s="5">
        <f t="shared" ref="AH5:AH36" si="10">P5+S5+V5+Y5+AB5+AE5</f>
        <v>2780.2999999999997</v>
      </c>
      <c r="AI5" s="27">
        <f t="shared" ref="AI5:AI36" si="11">Q5+T5+W5+Z5+AC5+AF5</f>
        <v>-500</v>
      </c>
    </row>
    <row r="6" spans="1:35" x14ac:dyDescent="0.2">
      <c r="A6" s="11">
        <v>101</v>
      </c>
      <c r="B6" s="10" t="s">
        <v>110</v>
      </c>
      <c r="C6" s="8">
        <v>397</v>
      </c>
      <c r="D6" s="8">
        <v>497</v>
      </c>
      <c r="E6" s="7">
        <f t="shared" si="0"/>
        <v>100</v>
      </c>
      <c r="F6" s="8">
        <v>1070</v>
      </c>
      <c r="G6" s="8">
        <v>1116</v>
      </c>
      <c r="H6" s="4">
        <f t="shared" si="1"/>
        <v>0</v>
      </c>
      <c r="I6" s="8">
        <v>14391</v>
      </c>
      <c r="J6" s="8">
        <v>16321</v>
      </c>
      <c r="K6" s="9">
        <f t="shared" si="2"/>
        <v>1900</v>
      </c>
      <c r="L6" s="26"/>
      <c r="M6" s="26"/>
      <c r="N6" s="25" t="s">
        <v>89</v>
      </c>
      <c r="O6" s="21">
        <v>3439.91</v>
      </c>
      <c r="P6" s="3">
        <v>622.6</v>
      </c>
      <c r="Q6" s="2">
        <f t="shared" si="3"/>
        <v>-2800</v>
      </c>
      <c r="R6" s="3">
        <v>789.4</v>
      </c>
      <c r="S6" s="3">
        <v>459.44</v>
      </c>
      <c r="T6" s="2">
        <f t="shared" si="4"/>
        <v>-300</v>
      </c>
      <c r="U6" s="3">
        <v>53.68</v>
      </c>
      <c r="V6" s="3">
        <v>30.2</v>
      </c>
      <c r="W6" s="2">
        <f t="shared" si="5"/>
        <v>0</v>
      </c>
      <c r="X6" s="3">
        <v>247.61</v>
      </c>
      <c r="Y6" s="3">
        <f>12.48+85.85</f>
        <v>98.33</v>
      </c>
      <c r="Z6" s="2">
        <f t="shared" si="6"/>
        <v>-100</v>
      </c>
      <c r="AA6" s="2"/>
      <c r="AB6" s="2"/>
      <c r="AC6" s="2">
        <f t="shared" si="7"/>
        <v>0</v>
      </c>
      <c r="AD6" s="2">
        <v>0</v>
      </c>
      <c r="AE6" s="2">
        <v>0</v>
      </c>
      <c r="AF6" s="2">
        <f t="shared" si="8"/>
        <v>0</v>
      </c>
      <c r="AG6" s="6">
        <f t="shared" si="9"/>
        <v>4530.5999999999995</v>
      </c>
      <c r="AH6" s="5">
        <f t="shared" si="10"/>
        <v>1210.57</v>
      </c>
      <c r="AI6" s="7">
        <f t="shared" si="11"/>
        <v>-3200</v>
      </c>
    </row>
    <row r="7" spans="1:35" x14ac:dyDescent="0.2">
      <c r="A7" s="11">
        <v>102</v>
      </c>
      <c r="B7" s="10" t="s">
        <v>109</v>
      </c>
      <c r="C7" s="8">
        <v>107</v>
      </c>
      <c r="D7" s="8">
        <v>77</v>
      </c>
      <c r="E7" s="7">
        <f t="shared" si="0"/>
        <v>0</v>
      </c>
      <c r="F7" s="8">
        <v>3111</v>
      </c>
      <c r="G7" s="8">
        <v>2340</v>
      </c>
      <c r="H7" s="4">
        <f t="shared" si="1"/>
        <v>-800</v>
      </c>
      <c r="I7" s="8">
        <v>2588</v>
      </c>
      <c r="J7" s="8">
        <v>2836</v>
      </c>
      <c r="K7" s="9">
        <f t="shared" si="2"/>
        <v>200</v>
      </c>
      <c r="L7" s="26"/>
      <c r="M7" s="26"/>
      <c r="N7" s="7">
        <f>+M7-L7</f>
        <v>0</v>
      </c>
      <c r="O7" s="21">
        <v>0</v>
      </c>
      <c r="P7" s="3">
        <v>0</v>
      </c>
      <c r="Q7" s="2">
        <f t="shared" si="3"/>
        <v>0</v>
      </c>
      <c r="R7" s="3">
        <v>0</v>
      </c>
      <c r="S7" s="3">
        <v>0</v>
      </c>
      <c r="T7" s="2">
        <f t="shared" si="4"/>
        <v>0</v>
      </c>
      <c r="U7" s="3">
        <v>0</v>
      </c>
      <c r="V7" s="3">
        <v>0</v>
      </c>
      <c r="W7" s="2">
        <f t="shared" si="5"/>
        <v>0</v>
      </c>
      <c r="X7" s="3">
        <v>0</v>
      </c>
      <c r="Y7" s="3">
        <v>0</v>
      </c>
      <c r="Z7" s="2">
        <f t="shared" si="6"/>
        <v>0</v>
      </c>
      <c r="AA7" s="2"/>
      <c r="AB7" s="2"/>
      <c r="AC7" s="2">
        <f t="shared" si="7"/>
        <v>0</v>
      </c>
      <c r="AD7" s="2">
        <v>0</v>
      </c>
      <c r="AE7" s="2">
        <v>0</v>
      </c>
      <c r="AF7" s="2">
        <f t="shared" si="8"/>
        <v>0</v>
      </c>
      <c r="AG7" s="6">
        <f t="shared" si="9"/>
        <v>0</v>
      </c>
      <c r="AH7" s="5">
        <f t="shared" si="10"/>
        <v>0</v>
      </c>
      <c r="AI7" s="7">
        <f t="shared" si="11"/>
        <v>0</v>
      </c>
    </row>
    <row r="8" spans="1:35" x14ac:dyDescent="0.2">
      <c r="A8" s="11">
        <v>102</v>
      </c>
      <c r="B8" s="10" t="s">
        <v>108</v>
      </c>
      <c r="C8" s="8">
        <v>415</v>
      </c>
      <c r="D8" s="8">
        <v>409</v>
      </c>
      <c r="E8" s="7">
        <f t="shared" si="0"/>
        <v>0</v>
      </c>
      <c r="F8" s="8">
        <v>7936</v>
      </c>
      <c r="G8" s="8">
        <v>6427</v>
      </c>
      <c r="H8" s="4">
        <f t="shared" si="1"/>
        <v>-1500</v>
      </c>
      <c r="I8" s="8">
        <v>9012</v>
      </c>
      <c r="J8" s="8">
        <v>9878</v>
      </c>
      <c r="K8" s="9">
        <f t="shared" si="2"/>
        <v>900</v>
      </c>
      <c r="L8" s="26"/>
      <c r="M8" s="26"/>
      <c r="N8" s="7">
        <f>+M8-L8</f>
        <v>0</v>
      </c>
      <c r="O8" s="21">
        <v>838.84</v>
      </c>
      <c r="P8" s="3">
        <v>244.46</v>
      </c>
      <c r="Q8" s="2">
        <f t="shared" si="3"/>
        <v>-600</v>
      </c>
      <c r="R8" s="3">
        <v>2051.23</v>
      </c>
      <c r="S8" s="3">
        <v>1193.8699999999999</v>
      </c>
      <c r="T8" s="2">
        <f t="shared" si="4"/>
        <v>-900</v>
      </c>
      <c r="U8" s="3">
        <v>53.68</v>
      </c>
      <c r="V8" s="3">
        <v>30.2</v>
      </c>
      <c r="W8" s="2">
        <f t="shared" si="5"/>
        <v>0</v>
      </c>
      <c r="X8" s="3">
        <v>170.18</v>
      </c>
      <c r="Y8" s="3">
        <f>215.56+128.54</f>
        <v>344.1</v>
      </c>
      <c r="Z8" s="2">
        <f t="shared" si="6"/>
        <v>200</v>
      </c>
      <c r="AA8" s="2"/>
      <c r="AB8" s="2"/>
      <c r="AC8" s="2">
        <f t="shared" si="7"/>
        <v>0</v>
      </c>
      <c r="AD8" s="2">
        <v>0</v>
      </c>
      <c r="AE8" s="2">
        <v>0</v>
      </c>
      <c r="AF8" s="2">
        <f t="shared" si="8"/>
        <v>0</v>
      </c>
      <c r="AG8" s="6">
        <f t="shared" si="9"/>
        <v>3113.93</v>
      </c>
      <c r="AH8" s="5">
        <f t="shared" si="10"/>
        <v>1812.63</v>
      </c>
      <c r="AI8" s="7">
        <f t="shared" si="11"/>
        <v>-1300</v>
      </c>
    </row>
    <row r="9" spans="1:35" x14ac:dyDescent="0.2">
      <c r="A9" s="24">
        <v>104</v>
      </c>
      <c r="B9" s="23" t="s">
        <v>107</v>
      </c>
      <c r="C9" s="8">
        <v>51</v>
      </c>
      <c r="D9" s="8">
        <v>45</v>
      </c>
      <c r="E9" s="7">
        <f t="shared" si="0"/>
        <v>0</v>
      </c>
      <c r="F9" s="8">
        <v>967</v>
      </c>
      <c r="G9" s="8">
        <v>720</v>
      </c>
      <c r="H9" s="4">
        <f t="shared" si="1"/>
        <v>-200</v>
      </c>
      <c r="I9" s="8">
        <v>1445</v>
      </c>
      <c r="J9" s="8">
        <v>1424</v>
      </c>
      <c r="K9" s="9">
        <f t="shared" si="2"/>
        <v>0</v>
      </c>
      <c r="L9" s="26"/>
      <c r="M9" s="26"/>
      <c r="N9" s="7">
        <f>+M9-L9</f>
        <v>0</v>
      </c>
      <c r="O9" s="21">
        <v>541.79</v>
      </c>
      <c r="P9" s="3">
        <v>14.65</v>
      </c>
      <c r="Q9" s="2">
        <f t="shared" si="3"/>
        <v>-500</v>
      </c>
      <c r="R9" s="3">
        <v>122.94</v>
      </c>
      <c r="S9" s="3">
        <v>71.55</v>
      </c>
      <c r="T9" s="2">
        <f t="shared" si="4"/>
        <v>-100</v>
      </c>
      <c r="U9" s="3">
        <v>0</v>
      </c>
      <c r="V9" s="3">
        <v>0</v>
      </c>
      <c r="W9" s="2">
        <f t="shared" si="5"/>
        <v>0</v>
      </c>
      <c r="X9" s="3">
        <v>38.43</v>
      </c>
      <c r="Y9" s="3">
        <f>24.97+8.48</f>
        <v>33.450000000000003</v>
      </c>
      <c r="Z9" s="2">
        <f t="shared" si="6"/>
        <v>0</v>
      </c>
      <c r="AA9" s="2"/>
      <c r="AB9" s="2"/>
      <c r="AC9" s="2">
        <f t="shared" si="7"/>
        <v>0</v>
      </c>
      <c r="AD9" s="2">
        <v>0</v>
      </c>
      <c r="AE9" s="2">
        <v>0</v>
      </c>
      <c r="AF9" s="2">
        <f t="shared" si="8"/>
        <v>0</v>
      </c>
      <c r="AG9" s="6">
        <f t="shared" si="9"/>
        <v>703.16</v>
      </c>
      <c r="AH9" s="5">
        <f t="shared" si="10"/>
        <v>119.65</v>
      </c>
      <c r="AI9" s="7">
        <f t="shared" si="11"/>
        <v>-600</v>
      </c>
    </row>
    <row r="10" spans="1:35" x14ac:dyDescent="0.2">
      <c r="A10" s="11">
        <v>110</v>
      </c>
      <c r="B10" s="10" t="s">
        <v>106</v>
      </c>
      <c r="C10" s="8">
        <v>4019</v>
      </c>
      <c r="D10" s="8">
        <v>3081</v>
      </c>
      <c r="E10" s="7">
        <f t="shared" si="0"/>
        <v>-900</v>
      </c>
      <c r="F10" s="8">
        <v>31547</v>
      </c>
      <c r="G10" s="8">
        <v>26536</v>
      </c>
      <c r="H10" s="4">
        <f t="shared" si="1"/>
        <v>-5000</v>
      </c>
      <c r="I10" s="8">
        <v>73186</v>
      </c>
      <c r="J10" s="8">
        <v>81230</v>
      </c>
      <c r="K10" s="9">
        <f t="shared" si="2"/>
        <v>8000</v>
      </c>
      <c r="L10" s="26"/>
      <c r="M10" s="26"/>
      <c r="N10" s="25" t="s">
        <v>89</v>
      </c>
      <c r="O10" s="21">
        <f>8822.71+1138.3+20488.51+9193.09</f>
        <v>39642.61</v>
      </c>
      <c r="P10" s="3">
        <f>44081.64+1156.75+7264.52+21730.39</f>
        <v>74233.3</v>
      </c>
      <c r="Q10" s="2">
        <f t="shared" si="3"/>
        <v>34600</v>
      </c>
      <c r="R10" s="3">
        <f>11953.21</f>
        <v>11953.21</v>
      </c>
      <c r="S10" s="3">
        <v>14644.21</v>
      </c>
      <c r="T10" s="2">
        <f t="shared" si="4"/>
        <v>2700</v>
      </c>
      <c r="U10" s="3">
        <v>80.52</v>
      </c>
      <c r="V10" s="3">
        <v>45.3</v>
      </c>
      <c r="W10" s="2">
        <f t="shared" si="5"/>
        <v>0</v>
      </c>
      <c r="X10" s="3">
        <f>1205.75+65.81+1184.48+531.47</f>
        <v>2987.51</v>
      </c>
      <c r="Y10" s="3">
        <f>793.53+4545.62+88.29+554.5+1658.69</f>
        <v>7640.6299999999992</v>
      </c>
      <c r="Z10" s="2">
        <f t="shared" si="6"/>
        <v>4700</v>
      </c>
      <c r="AA10" s="2"/>
      <c r="AB10" s="2"/>
      <c r="AC10" s="2">
        <f t="shared" si="7"/>
        <v>0</v>
      </c>
      <c r="AD10" s="2">
        <v>0</v>
      </c>
      <c r="AE10" s="2">
        <v>0</v>
      </c>
      <c r="AF10" s="2">
        <f t="shared" si="8"/>
        <v>0</v>
      </c>
      <c r="AG10" s="6">
        <f t="shared" si="9"/>
        <v>54663.85</v>
      </c>
      <c r="AH10" s="5">
        <f t="shared" si="10"/>
        <v>96563.440000000017</v>
      </c>
      <c r="AI10" s="7">
        <f t="shared" si="11"/>
        <v>42000</v>
      </c>
    </row>
    <row r="11" spans="1:35" x14ac:dyDescent="0.2">
      <c r="A11" s="11">
        <v>120</v>
      </c>
      <c r="B11" s="10" t="s">
        <v>105</v>
      </c>
      <c r="C11" s="8">
        <v>26</v>
      </c>
      <c r="D11" s="8">
        <v>20</v>
      </c>
      <c r="E11" s="7">
        <f t="shared" si="0"/>
        <v>0</v>
      </c>
      <c r="F11" s="8">
        <v>273</v>
      </c>
      <c r="G11" s="8">
        <v>243</v>
      </c>
      <c r="H11" s="4">
        <f t="shared" si="1"/>
        <v>0</v>
      </c>
      <c r="I11" s="8">
        <v>366</v>
      </c>
      <c r="J11" s="8">
        <v>553</v>
      </c>
      <c r="K11" s="9">
        <f t="shared" si="2"/>
        <v>200</v>
      </c>
      <c r="L11" s="26"/>
      <c r="M11" s="26"/>
      <c r="N11" s="25" t="s">
        <v>89</v>
      </c>
      <c r="O11" s="21">
        <v>682.8</v>
      </c>
      <c r="P11" s="3">
        <v>4.08</v>
      </c>
      <c r="Q11" s="2">
        <f t="shared" si="3"/>
        <v>-700</v>
      </c>
      <c r="R11" s="3">
        <v>34.31</v>
      </c>
      <c r="S11" s="3">
        <v>19.96</v>
      </c>
      <c r="T11" s="2">
        <f t="shared" si="4"/>
        <v>0</v>
      </c>
      <c r="U11" s="3">
        <v>53.68</v>
      </c>
      <c r="V11" s="3">
        <v>30.2</v>
      </c>
      <c r="W11" s="2">
        <f t="shared" si="5"/>
        <v>0</v>
      </c>
      <c r="X11" s="3">
        <v>44.56</v>
      </c>
      <c r="Y11" s="3">
        <f>6.24+4.61</f>
        <v>10.850000000000001</v>
      </c>
      <c r="Z11" s="2">
        <f t="shared" si="6"/>
        <v>0</v>
      </c>
      <c r="AA11" s="2"/>
      <c r="AB11" s="2"/>
      <c r="AC11" s="2">
        <f t="shared" si="7"/>
        <v>0</v>
      </c>
      <c r="AD11" s="2">
        <v>0</v>
      </c>
      <c r="AE11" s="2">
        <v>0</v>
      </c>
      <c r="AF11" s="2">
        <f t="shared" si="8"/>
        <v>0</v>
      </c>
      <c r="AG11" s="6">
        <f t="shared" si="9"/>
        <v>815.34999999999991</v>
      </c>
      <c r="AH11" s="5">
        <f t="shared" si="10"/>
        <v>65.09</v>
      </c>
      <c r="AI11" s="7">
        <f t="shared" si="11"/>
        <v>-700</v>
      </c>
    </row>
    <row r="12" spans="1:35" x14ac:dyDescent="0.2">
      <c r="A12" s="11">
        <v>130</v>
      </c>
      <c r="B12" s="10" t="s">
        <v>104</v>
      </c>
      <c r="C12" s="8">
        <v>408</v>
      </c>
      <c r="D12" s="8">
        <v>348</v>
      </c>
      <c r="E12" s="7">
        <f t="shared" si="0"/>
        <v>-100</v>
      </c>
      <c r="F12" s="8">
        <v>4363</v>
      </c>
      <c r="G12" s="8">
        <v>3628</v>
      </c>
      <c r="H12" s="4">
        <f t="shared" si="1"/>
        <v>-700</v>
      </c>
      <c r="I12" s="8">
        <v>4655</v>
      </c>
      <c r="J12" s="8">
        <v>5223</v>
      </c>
      <c r="K12" s="9">
        <f t="shared" si="2"/>
        <v>600</v>
      </c>
      <c r="L12" s="26"/>
      <c r="M12" s="26"/>
      <c r="N12" s="25" t="s">
        <v>89</v>
      </c>
      <c r="O12" s="21">
        <v>565.77</v>
      </c>
      <c r="P12" s="3">
        <v>813.18</v>
      </c>
      <c r="Q12" s="2">
        <f t="shared" si="3"/>
        <v>200</v>
      </c>
      <c r="R12" s="3">
        <v>171.13</v>
      </c>
      <c r="S12" s="3">
        <v>99.6</v>
      </c>
      <c r="T12" s="2">
        <f t="shared" si="4"/>
        <v>-100</v>
      </c>
      <c r="U12" s="3">
        <v>53.68</v>
      </c>
      <c r="V12" s="3">
        <v>30.2</v>
      </c>
      <c r="W12" s="2">
        <f t="shared" si="5"/>
        <v>0</v>
      </c>
      <c r="X12" s="3">
        <v>45.7</v>
      </c>
      <c r="Y12" s="3">
        <f>64.37+76.89</f>
        <v>141.26</v>
      </c>
      <c r="Z12" s="2">
        <f t="shared" si="6"/>
        <v>100</v>
      </c>
      <c r="AA12" s="2"/>
      <c r="AB12" s="2"/>
      <c r="AC12" s="2">
        <f t="shared" si="7"/>
        <v>0</v>
      </c>
      <c r="AD12" s="2">
        <v>0</v>
      </c>
      <c r="AE12" s="2">
        <v>0</v>
      </c>
      <c r="AF12" s="2">
        <f t="shared" si="8"/>
        <v>0</v>
      </c>
      <c r="AG12" s="6">
        <f t="shared" si="9"/>
        <v>836.28</v>
      </c>
      <c r="AH12" s="5">
        <f t="shared" si="10"/>
        <v>1084.24</v>
      </c>
      <c r="AI12" s="7">
        <f t="shared" si="11"/>
        <v>200</v>
      </c>
    </row>
    <row r="13" spans="1:35" x14ac:dyDescent="0.2">
      <c r="A13" s="11">
        <v>131</v>
      </c>
      <c r="B13" s="10" t="s">
        <v>103</v>
      </c>
      <c r="C13" s="8">
        <v>3</v>
      </c>
      <c r="D13" s="8">
        <v>1</v>
      </c>
      <c r="E13" s="7">
        <f t="shared" si="0"/>
        <v>0</v>
      </c>
      <c r="F13" s="8">
        <v>0</v>
      </c>
      <c r="G13" s="8">
        <v>0</v>
      </c>
      <c r="H13" s="4">
        <f t="shared" si="1"/>
        <v>0</v>
      </c>
      <c r="I13" s="8">
        <v>0</v>
      </c>
      <c r="J13" s="8">
        <v>0</v>
      </c>
      <c r="K13" s="9">
        <f t="shared" si="2"/>
        <v>0</v>
      </c>
      <c r="L13" s="8">
        <v>0</v>
      </c>
      <c r="M13" s="8">
        <v>0</v>
      </c>
      <c r="N13" s="7">
        <f>+M13-L13</f>
        <v>0</v>
      </c>
      <c r="O13" s="21">
        <v>0</v>
      </c>
      <c r="P13" s="3">
        <v>0</v>
      </c>
      <c r="Q13" s="2">
        <f t="shared" si="3"/>
        <v>0</v>
      </c>
      <c r="R13" s="3">
        <v>0</v>
      </c>
      <c r="S13" s="3">
        <v>0</v>
      </c>
      <c r="T13" s="2">
        <f t="shared" si="4"/>
        <v>0</v>
      </c>
      <c r="U13" s="3">
        <v>0</v>
      </c>
      <c r="V13" s="3">
        <v>0</v>
      </c>
      <c r="W13" s="2">
        <f t="shared" si="5"/>
        <v>0</v>
      </c>
      <c r="X13" s="3">
        <v>0</v>
      </c>
      <c r="Y13" s="3">
        <v>0</v>
      </c>
      <c r="Z13" s="2">
        <f t="shared" si="6"/>
        <v>0</v>
      </c>
      <c r="AA13" s="2"/>
      <c r="AB13" s="2"/>
      <c r="AC13" s="2">
        <f t="shared" si="7"/>
        <v>0</v>
      </c>
      <c r="AD13" s="2">
        <v>0</v>
      </c>
      <c r="AE13" s="2">
        <v>0</v>
      </c>
      <c r="AF13" s="2">
        <f t="shared" si="8"/>
        <v>0</v>
      </c>
      <c r="AG13" s="6">
        <f t="shared" si="9"/>
        <v>0</v>
      </c>
      <c r="AH13" s="5">
        <f t="shared" si="10"/>
        <v>0</v>
      </c>
      <c r="AI13" s="7">
        <f t="shared" si="11"/>
        <v>0</v>
      </c>
    </row>
    <row r="14" spans="1:35" x14ac:dyDescent="0.2">
      <c r="A14" s="11">
        <v>133</v>
      </c>
      <c r="B14" s="10" t="s">
        <v>102</v>
      </c>
      <c r="C14" s="8">
        <v>1</v>
      </c>
      <c r="D14" s="8">
        <v>2</v>
      </c>
      <c r="E14" s="7">
        <f t="shared" si="0"/>
        <v>0</v>
      </c>
      <c r="F14" s="8">
        <v>295</v>
      </c>
      <c r="G14" s="8">
        <v>313</v>
      </c>
      <c r="H14" s="4">
        <f t="shared" si="1"/>
        <v>0</v>
      </c>
      <c r="I14" s="8">
        <v>680</v>
      </c>
      <c r="J14" s="8">
        <v>723</v>
      </c>
      <c r="K14" s="9">
        <f t="shared" si="2"/>
        <v>0</v>
      </c>
      <c r="L14" s="8">
        <v>0</v>
      </c>
      <c r="M14" s="8">
        <v>0</v>
      </c>
      <c r="N14" s="7">
        <f>+M14-L14</f>
        <v>0</v>
      </c>
      <c r="O14" s="21">
        <v>0</v>
      </c>
      <c r="P14" s="3">
        <v>0</v>
      </c>
      <c r="Q14" s="2">
        <f t="shared" si="3"/>
        <v>0</v>
      </c>
      <c r="R14" s="3">
        <v>0</v>
      </c>
      <c r="S14" s="3">
        <v>0</v>
      </c>
      <c r="T14" s="2">
        <f t="shared" si="4"/>
        <v>0</v>
      </c>
      <c r="U14" s="3">
        <v>0</v>
      </c>
      <c r="V14" s="3">
        <v>0</v>
      </c>
      <c r="W14" s="2">
        <f t="shared" si="5"/>
        <v>0</v>
      </c>
      <c r="X14" s="3">
        <v>0</v>
      </c>
      <c r="Y14" s="3">
        <v>0</v>
      </c>
      <c r="Z14" s="2">
        <f t="shared" si="6"/>
        <v>0</v>
      </c>
      <c r="AA14" s="2"/>
      <c r="AB14" s="2"/>
      <c r="AC14" s="2">
        <f t="shared" si="7"/>
        <v>0</v>
      </c>
      <c r="AD14" s="2">
        <v>0</v>
      </c>
      <c r="AE14" s="2">
        <v>0</v>
      </c>
      <c r="AF14" s="2">
        <f t="shared" si="8"/>
        <v>0</v>
      </c>
      <c r="AG14" s="6">
        <f t="shared" si="9"/>
        <v>0</v>
      </c>
      <c r="AH14" s="5">
        <f t="shared" si="10"/>
        <v>0</v>
      </c>
      <c r="AI14" s="7">
        <f t="shared" si="11"/>
        <v>0</v>
      </c>
    </row>
    <row r="15" spans="1:35" x14ac:dyDescent="0.2">
      <c r="A15" s="11">
        <v>140</v>
      </c>
      <c r="B15" s="10" t="s">
        <v>101</v>
      </c>
      <c r="C15" s="8">
        <v>78</v>
      </c>
      <c r="D15" s="8">
        <v>44</v>
      </c>
      <c r="E15" s="7">
        <f t="shared" si="0"/>
        <v>0</v>
      </c>
      <c r="F15" s="8">
        <v>12434</v>
      </c>
      <c r="G15" s="8">
        <v>19354</v>
      </c>
      <c r="H15" s="4">
        <f t="shared" si="1"/>
        <v>6900</v>
      </c>
      <c r="I15" s="8">
        <v>12527</v>
      </c>
      <c r="J15" s="8">
        <v>15872</v>
      </c>
      <c r="K15" s="9">
        <f t="shared" si="2"/>
        <v>3300</v>
      </c>
      <c r="L15" s="26"/>
      <c r="M15" s="26"/>
      <c r="N15" s="25" t="s">
        <v>89</v>
      </c>
      <c r="O15" s="21">
        <v>0</v>
      </c>
      <c r="P15" s="3">
        <v>0</v>
      </c>
      <c r="Q15" s="2">
        <f t="shared" si="3"/>
        <v>0</v>
      </c>
      <c r="R15" s="3">
        <v>0</v>
      </c>
      <c r="S15" s="3">
        <v>0</v>
      </c>
      <c r="T15" s="2">
        <f t="shared" si="4"/>
        <v>0</v>
      </c>
      <c r="U15" s="3">
        <v>0</v>
      </c>
      <c r="V15" s="3">
        <v>0</v>
      </c>
      <c r="W15" s="2">
        <f t="shared" si="5"/>
        <v>0</v>
      </c>
      <c r="X15" s="3">
        <v>0</v>
      </c>
      <c r="Y15" s="3">
        <v>0</v>
      </c>
      <c r="Z15" s="2">
        <f t="shared" si="6"/>
        <v>0</v>
      </c>
      <c r="AA15" s="2"/>
      <c r="AB15" s="2"/>
      <c r="AC15" s="2">
        <f t="shared" si="7"/>
        <v>0</v>
      </c>
      <c r="AD15" s="2">
        <v>0</v>
      </c>
      <c r="AE15" s="2">
        <v>0</v>
      </c>
      <c r="AF15" s="2">
        <f t="shared" si="8"/>
        <v>0</v>
      </c>
      <c r="AG15" s="6">
        <f t="shared" si="9"/>
        <v>0</v>
      </c>
      <c r="AH15" s="5">
        <f t="shared" si="10"/>
        <v>0</v>
      </c>
      <c r="AI15" s="7">
        <f t="shared" si="11"/>
        <v>0</v>
      </c>
    </row>
    <row r="16" spans="1:35" x14ac:dyDescent="0.2">
      <c r="A16" s="11">
        <v>140</v>
      </c>
      <c r="B16" s="10" t="s">
        <v>100</v>
      </c>
      <c r="C16" s="8">
        <v>305</v>
      </c>
      <c r="D16" s="8">
        <v>321</v>
      </c>
      <c r="E16" s="7">
        <f t="shared" si="0"/>
        <v>0</v>
      </c>
      <c r="F16" s="8">
        <v>10006</v>
      </c>
      <c r="G16" s="8">
        <v>10267</v>
      </c>
      <c r="H16" s="4">
        <f t="shared" si="1"/>
        <v>300</v>
      </c>
      <c r="I16" s="8">
        <v>11418</v>
      </c>
      <c r="J16" s="8">
        <v>14467</v>
      </c>
      <c r="K16" s="9">
        <f t="shared" si="2"/>
        <v>3000</v>
      </c>
      <c r="L16" s="26"/>
      <c r="M16" s="26"/>
      <c r="N16" s="25" t="s">
        <v>89</v>
      </c>
      <c r="O16" s="21">
        <v>1901.66</v>
      </c>
      <c r="P16" s="3">
        <v>6489.16</v>
      </c>
      <c r="Q16" s="2">
        <f t="shared" si="3"/>
        <v>4600</v>
      </c>
      <c r="R16" s="3">
        <v>2684.93</v>
      </c>
      <c r="S16" s="3">
        <v>1391.07</v>
      </c>
      <c r="T16" s="2">
        <f t="shared" si="4"/>
        <v>-1300</v>
      </c>
      <c r="U16" s="3">
        <v>53.68</v>
      </c>
      <c r="V16" s="3">
        <v>30.2</v>
      </c>
      <c r="W16" s="2">
        <f t="shared" si="5"/>
        <v>0</v>
      </c>
      <c r="X16" s="3">
        <v>268.26</v>
      </c>
      <c r="Y16" s="3">
        <f>138.07+614.34</f>
        <v>752.41000000000008</v>
      </c>
      <c r="Z16" s="2">
        <f t="shared" si="6"/>
        <v>500</v>
      </c>
      <c r="AA16" s="2"/>
      <c r="AB16" s="2"/>
      <c r="AC16" s="2">
        <f t="shared" si="7"/>
        <v>0</v>
      </c>
      <c r="AD16" s="2">
        <v>0</v>
      </c>
      <c r="AE16" s="2">
        <v>0</v>
      </c>
      <c r="AF16" s="2">
        <f t="shared" si="8"/>
        <v>0</v>
      </c>
      <c r="AG16" s="6">
        <f t="shared" si="9"/>
        <v>4908.5300000000007</v>
      </c>
      <c r="AH16" s="5">
        <f t="shared" si="10"/>
        <v>8662.84</v>
      </c>
      <c r="AI16" s="7">
        <f t="shared" si="11"/>
        <v>3800</v>
      </c>
    </row>
    <row r="17" spans="1:35" x14ac:dyDescent="0.2">
      <c r="A17" s="11">
        <v>150</v>
      </c>
      <c r="B17" s="10" t="s">
        <v>99</v>
      </c>
      <c r="C17" s="8">
        <v>6198</v>
      </c>
      <c r="D17" s="8">
        <v>6610</v>
      </c>
      <c r="E17" s="7">
        <f t="shared" si="0"/>
        <v>400</v>
      </c>
      <c r="F17" s="8">
        <v>17577</v>
      </c>
      <c r="G17" s="8">
        <v>18108</v>
      </c>
      <c r="H17" s="4">
        <f t="shared" si="1"/>
        <v>500</v>
      </c>
      <c r="I17" s="8">
        <v>5335</v>
      </c>
      <c r="J17" s="8">
        <v>5634</v>
      </c>
      <c r="K17" s="9">
        <f t="shared" si="2"/>
        <v>300</v>
      </c>
      <c r="L17" s="26"/>
      <c r="M17" s="26"/>
      <c r="N17" s="25" t="s">
        <v>89</v>
      </c>
      <c r="O17" s="21">
        <v>1866.39</v>
      </c>
      <c r="P17" s="3">
        <v>862.56</v>
      </c>
      <c r="Q17" s="2">
        <f t="shared" si="3"/>
        <v>-1000</v>
      </c>
      <c r="R17" s="3">
        <v>715.74</v>
      </c>
      <c r="S17" s="3">
        <v>428.06</v>
      </c>
      <c r="T17" s="2">
        <f t="shared" si="4"/>
        <v>-300</v>
      </c>
      <c r="U17" s="3">
        <v>53.68</v>
      </c>
      <c r="V17" s="3">
        <v>30.2</v>
      </c>
      <c r="W17" s="2">
        <f t="shared" si="5"/>
        <v>0</v>
      </c>
      <c r="X17" s="3">
        <v>152.38</v>
      </c>
      <c r="Y17" s="3">
        <f>81.17+107.01</f>
        <v>188.18</v>
      </c>
      <c r="Z17" s="2">
        <f t="shared" si="6"/>
        <v>0</v>
      </c>
      <c r="AA17" s="2"/>
      <c r="AB17" s="2"/>
      <c r="AC17" s="2">
        <f t="shared" si="7"/>
        <v>0</v>
      </c>
      <c r="AD17" s="2">
        <v>0</v>
      </c>
      <c r="AE17" s="2">
        <v>0</v>
      </c>
      <c r="AF17" s="2">
        <f t="shared" si="8"/>
        <v>0</v>
      </c>
      <c r="AG17" s="6">
        <f t="shared" si="9"/>
        <v>2788.19</v>
      </c>
      <c r="AH17" s="5">
        <f t="shared" si="10"/>
        <v>1509</v>
      </c>
      <c r="AI17" s="7">
        <f t="shared" si="11"/>
        <v>-1300</v>
      </c>
    </row>
    <row r="18" spans="1:35" x14ac:dyDescent="0.2">
      <c r="A18" s="11">
        <v>160</v>
      </c>
      <c r="B18" s="10" t="s">
        <v>98</v>
      </c>
      <c r="C18" s="8">
        <v>885</v>
      </c>
      <c r="D18" s="8">
        <v>601</v>
      </c>
      <c r="E18" s="7">
        <f t="shared" si="0"/>
        <v>-300</v>
      </c>
      <c r="F18" s="8">
        <v>24919</v>
      </c>
      <c r="G18" s="8">
        <v>19351</v>
      </c>
      <c r="H18" s="4">
        <f t="shared" si="1"/>
        <v>-5600</v>
      </c>
      <c r="I18" s="8">
        <v>35687</v>
      </c>
      <c r="J18" s="8">
        <v>38708</v>
      </c>
      <c r="K18" s="9">
        <f t="shared" si="2"/>
        <v>3000</v>
      </c>
      <c r="L18" s="26"/>
      <c r="M18" s="26"/>
      <c r="N18" s="25" t="s">
        <v>89</v>
      </c>
      <c r="O18" s="21">
        <v>10882.11</v>
      </c>
      <c r="P18" s="3">
        <v>25425.02</v>
      </c>
      <c r="Q18" s="2">
        <f t="shared" si="3"/>
        <v>14500</v>
      </c>
      <c r="R18" s="3">
        <v>1517.24</v>
      </c>
      <c r="S18" s="3">
        <v>883.07</v>
      </c>
      <c r="T18" s="2">
        <f t="shared" si="4"/>
        <v>-600</v>
      </c>
      <c r="U18" s="3">
        <v>748.52</v>
      </c>
      <c r="V18" s="3">
        <v>712.02</v>
      </c>
      <c r="W18" s="2">
        <f t="shared" si="5"/>
        <v>0</v>
      </c>
      <c r="X18" s="3">
        <v>760.1</v>
      </c>
      <c r="Y18" s="3">
        <f>513.28+2101.64</f>
        <v>2614.92</v>
      </c>
      <c r="Z18" s="2">
        <f t="shared" si="6"/>
        <v>1900</v>
      </c>
      <c r="AA18" s="2"/>
      <c r="AB18" s="2"/>
      <c r="AC18" s="2">
        <f t="shared" si="7"/>
        <v>0</v>
      </c>
      <c r="AD18" s="2">
        <v>0</v>
      </c>
      <c r="AE18" s="2">
        <v>0</v>
      </c>
      <c r="AF18" s="2">
        <f t="shared" si="8"/>
        <v>0</v>
      </c>
      <c r="AG18" s="6">
        <f t="shared" si="9"/>
        <v>13907.970000000001</v>
      </c>
      <c r="AH18" s="5">
        <f t="shared" si="10"/>
        <v>29635.03</v>
      </c>
      <c r="AI18" s="7">
        <f t="shared" si="11"/>
        <v>15800</v>
      </c>
    </row>
    <row r="19" spans="1:35" x14ac:dyDescent="0.2">
      <c r="A19" s="11">
        <v>170</v>
      </c>
      <c r="B19" s="10" t="s">
        <v>97</v>
      </c>
      <c r="C19" s="8">
        <v>8313</v>
      </c>
      <c r="D19" s="8">
        <v>7278</v>
      </c>
      <c r="E19" s="7">
        <f t="shared" si="0"/>
        <v>-1000</v>
      </c>
      <c r="F19" s="8">
        <v>46912</v>
      </c>
      <c r="G19" s="8">
        <v>39936</v>
      </c>
      <c r="H19" s="4">
        <f t="shared" si="1"/>
        <v>-7000</v>
      </c>
      <c r="I19" s="8">
        <v>22440</v>
      </c>
      <c r="J19" s="8">
        <v>21225</v>
      </c>
      <c r="K19" s="9">
        <f t="shared" si="2"/>
        <v>-1200</v>
      </c>
      <c r="L19" s="8">
        <v>36024</v>
      </c>
      <c r="M19" s="8">
        <v>50166</v>
      </c>
      <c r="N19" s="7">
        <f t="shared" ref="N19:N25" si="12">ROUND(+M19-L19,-2)</f>
        <v>14100</v>
      </c>
      <c r="O19" s="21">
        <v>31591.88</v>
      </c>
      <c r="P19" s="3">
        <v>9841.76</v>
      </c>
      <c r="Q19" s="2">
        <f t="shared" si="3"/>
        <v>-21800</v>
      </c>
      <c r="R19" s="3">
        <v>2089.2199999999998</v>
      </c>
      <c r="S19" s="3">
        <v>387.6</v>
      </c>
      <c r="T19" s="2">
        <f t="shared" si="4"/>
        <v>-1700</v>
      </c>
      <c r="U19" s="3">
        <v>53.68</v>
      </c>
      <c r="V19" s="3">
        <v>30.2</v>
      </c>
      <c r="W19" s="2">
        <f t="shared" si="5"/>
        <v>0</v>
      </c>
      <c r="X19" s="3">
        <v>1950.27</v>
      </c>
      <c r="Y19" s="3">
        <f>377.75+811.95</f>
        <v>1189.7</v>
      </c>
      <c r="Z19" s="2">
        <f t="shared" si="6"/>
        <v>-800</v>
      </c>
      <c r="AA19" s="2"/>
      <c r="AB19" s="2"/>
      <c r="AC19" s="2">
        <f t="shared" si="7"/>
        <v>0</v>
      </c>
      <c r="AD19" s="2">
        <v>0</v>
      </c>
      <c r="AE19" s="2">
        <v>0</v>
      </c>
      <c r="AF19" s="2">
        <f t="shared" si="8"/>
        <v>0</v>
      </c>
      <c r="AG19" s="6">
        <f t="shared" si="9"/>
        <v>35685.049999999996</v>
      </c>
      <c r="AH19" s="5">
        <f t="shared" si="10"/>
        <v>11449.260000000002</v>
      </c>
      <c r="AI19" s="7">
        <f t="shared" si="11"/>
        <v>-24300</v>
      </c>
    </row>
    <row r="20" spans="1:35" x14ac:dyDescent="0.2">
      <c r="A20" s="11">
        <v>177</v>
      </c>
      <c r="B20" s="10" t="s">
        <v>96</v>
      </c>
      <c r="C20" s="8">
        <v>398</v>
      </c>
      <c r="D20" s="8">
        <v>417</v>
      </c>
      <c r="E20" s="7">
        <f t="shared" si="0"/>
        <v>0</v>
      </c>
      <c r="F20" s="8">
        <v>16038</v>
      </c>
      <c r="G20" s="8">
        <v>22282</v>
      </c>
      <c r="H20" s="4">
        <f t="shared" si="1"/>
        <v>6200</v>
      </c>
      <c r="I20" s="8">
        <v>9624</v>
      </c>
      <c r="J20" s="8">
        <v>20368</v>
      </c>
      <c r="K20" s="9">
        <f t="shared" si="2"/>
        <v>10700</v>
      </c>
      <c r="L20" s="8">
        <v>0</v>
      </c>
      <c r="M20" s="8">
        <v>15920</v>
      </c>
      <c r="N20" s="7">
        <f t="shared" si="12"/>
        <v>15900</v>
      </c>
      <c r="O20" s="21">
        <v>118.13</v>
      </c>
      <c r="P20" s="3">
        <v>0</v>
      </c>
      <c r="Q20" s="2">
        <f t="shared" si="3"/>
        <v>-100</v>
      </c>
      <c r="R20" s="3">
        <v>765.68</v>
      </c>
      <c r="S20" s="3">
        <v>0</v>
      </c>
      <c r="T20" s="2">
        <f t="shared" si="4"/>
        <v>-800</v>
      </c>
      <c r="U20" s="3">
        <v>53.04</v>
      </c>
      <c r="V20" s="3">
        <v>0</v>
      </c>
      <c r="W20" s="2">
        <f t="shared" si="5"/>
        <v>-100</v>
      </c>
      <c r="X20" s="3">
        <v>54.16</v>
      </c>
      <c r="Y20" s="3">
        <v>0</v>
      </c>
      <c r="Z20" s="2">
        <f t="shared" si="6"/>
        <v>-100</v>
      </c>
      <c r="AA20" s="2"/>
      <c r="AB20" s="2"/>
      <c r="AC20" s="2">
        <f t="shared" si="7"/>
        <v>0</v>
      </c>
      <c r="AD20" s="2">
        <v>0</v>
      </c>
      <c r="AE20" s="2">
        <v>0</v>
      </c>
      <c r="AF20" s="2">
        <f t="shared" si="8"/>
        <v>0</v>
      </c>
      <c r="AG20" s="6">
        <f t="shared" si="9"/>
        <v>991.00999999999988</v>
      </c>
      <c r="AH20" s="5">
        <f t="shared" si="10"/>
        <v>0</v>
      </c>
      <c r="AI20" s="7">
        <f t="shared" si="11"/>
        <v>-1100</v>
      </c>
    </row>
    <row r="21" spans="1:35" x14ac:dyDescent="0.2">
      <c r="A21" s="11">
        <v>177</v>
      </c>
      <c r="B21" s="10" t="s">
        <v>95</v>
      </c>
      <c r="C21" s="8">
        <v>86</v>
      </c>
      <c r="D21" s="8">
        <v>256</v>
      </c>
      <c r="E21" s="7">
        <f t="shared" si="0"/>
        <v>200</v>
      </c>
      <c r="F21" s="8">
        <v>1359</v>
      </c>
      <c r="G21" s="8">
        <v>2294</v>
      </c>
      <c r="H21" s="4">
        <f t="shared" si="1"/>
        <v>900</v>
      </c>
      <c r="I21" s="8">
        <v>1544</v>
      </c>
      <c r="J21" s="8">
        <v>3267</v>
      </c>
      <c r="K21" s="9">
        <f t="shared" si="2"/>
        <v>1700</v>
      </c>
      <c r="L21" s="8">
        <v>0</v>
      </c>
      <c r="M21" s="8">
        <v>0</v>
      </c>
      <c r="N21" s="7">
        <f t="shared" si="12"/>
        <v>0</v>
      </c>
      <c r="O21" s="21">
        <v>251.01</v>
      </c>
      <c r="P21" s="3">
        <v>14407.32</v>
      </c>
      <c r="Q21" s="2">
        <f t="shared" si="3"/>
        <v>14200</v>
      </c>
      <c r="R21" s="3">
        <v>1627.04</v>
      </c>
      <c r="S21" s="3">
        <v>2124.35</v>
      </c>
      <c r="T21" s="2">
        <f t="shared" si="4"/>
        <v>500</v>
      </c>
      <c r="U21" s="3">
        <v>112.69</v>
      </c>
      <c r="V21" s="3">
        <v>135.91</v>
      </c>
      <c r="W21" s="2">
        <f t="shared" si="5"/>
        <v>0</v>
      </c>
      <c r="X21" s="3">
        <v>115.09</v>
      </c>
      <c r="Y21" s="3">
        <f>168.04+1285.07</f>
        <v>1453.11</v>
      </c>
      <c r="Z21" s="2">
        <f t="shared" si="6"/>
        <v>1300</v>
      </c>
      <c r="AA21" s="2"/>
      <c r="AB21" s="2"/>
      <c r="AC21" s="2">
        <f t="shared" si="7"/>
        <v>0</v>
      </c>
      <c r="AD21" s="2">
        <v>0</v>
      </c>
      <c r="AE21" s="2">
        <v>0</v>
      </c>
      <c r="AF21" s="2">
        <f t="shared" si="8"/>
        <v>0</v>
      </c>
      <c r="AG21" s="6">
        <f t="shared" si="9"/>
        <v>2105.83</v>
      </c>
      <c r="AH21" s="5">
        <f t="shared" si="10"/>
        <v>18120.689999999999</v>
      </c>
      <c r="AI21" s="7">
        <f t="shared" si="11"/>
        <v>16000</v>
      </c>
    </row>
    <row r="22" spans="1:35" x14ac:dyDescent="0.2">
      <c r="A22" s="11">
        <v>178</v>
      </c>
      <c r="B22" s="10" t="s">
        <v>94</v>
      </c>
      <c r="C22" s="8">
        <v>202</v>
      </c>
      <c r="D22" s="8">
        <v>222</v>
      </c>
      <c r="E22" s="7">
        <f t="shared" si="0"/>
        <v>0</v>
      </c>
      <c r="F22" s="8">
        <v>1497</v>
      </c>
      <c r="G22" s="8">
        <v>1541</v>
      </c>
      <c r="H22" s="4">
        <f t="shared" si="1"/>
        <v>0</v>
      </c>
      <c r="I22" s="8">
        <v>850</v>
      </c>
      <c r="J22" s="8">
        <v>935</v>
      </c>
      <c r="K22" s="9">
        <f t="shared" si="2"/>
        <v>100</v>
      </c>
      <c r="L22" s="8">
        <v>0</v>
      </c>
      <c r="M22" s="8">
        <v>3694</v>
      </c>
      <c r="N22" s="7">
        <f t="shared" si="12"/>
        <v>3700</v>
      </c>
      <c r="O22" s="21">
        <v>100</v>
      </c>
      <c r="P22" s="3">
        <v>2.94</v>
      </c>
      <c r="Q22" s="2">
        <f t="shared" si="3"/>
        <v>-100</v>
      </c>
      <c r="R22" s="3">
        <v>24.67</v>
      </c>
      <c r="S22" s="3">
        <v>14.36</v>
      </c>
      <c r="T22" s="2">
        <f t="shared" si="4"/>
        <v>0</v>
      </c>
      <c r="U22" s="3">
        <v>53.68</v>
      </c>
      <c r="V22" s="3">
        <v>30.2</v>
      </c>
      <c r="W22" s="2">
        <f t="shared" si="5"/>
        <v>0</v>
      </c>
      <c r="X22" s="3">
        <v>4.53</v>
      </c>
      <c r="Y22" s="3">
        <f>15.6+4.81</f>
        <v>20.41</v>
      </c>
      <c r="Z22" s="2">
        <f t="shared" si="6"/>
        <v>0</v>
      </c>
      <c r="AA22" s="2"/>
      <c r="AB22" s="2"/>
      <c r="AC22" s="2">
        <f t="shared" si="7"/>
        <v>0</v>
      </c>
      <c r="AD22" s="2">
        <v>0</v>
      </c>
      <c r="AE22" s="2">
        <v>0</v>
      </c>
      <c r="AF22" s="2">
        <f t="shared" si="8"/>
        <v>0</v>
      </c>
      <c r="AG22" s="6">
        <f t="shared" si="9"/>
        <v>182.88</v>
      </c>
      <c r="AH22" s="5">
        <f t="shared" si="10"/>
        <v>67.91</v>
      </c>
      <c r="AI22" s="7">
        <f t="shared" si="11"/>
        <v>-100</v>
      </c>
    </row>
    <row r="23" spans="1:35" x14ac:dyDescent="0.2">
      <c r="A23" s="11">
        <v>179</v>
      </c>
      <c r="B23" s="10" t="s">
        <v>93</v>
      </c>
      <c r="C23" s="8">
        <v>680</v>
      </c>
      <c r="D23" s="8">
        <v>461</v>
      </c>
      <c r="E23" s="7">
        <f t="shared" si="0"/>
        <v>-200</v>
      </c>
      <c r="F23" s="8">
        <v>2209</v>
      </c>
      <c r="G23" s="8">
        <v>1306</v>
      </c>
      <c r="H23" s="4">
        <f t="shared" si="1"/>
        <v>-900</v>
      </c>
      <c r="I23" s="8">
        <v>1020</v>
      </c>
      <c r="J23" s="8">
        <v>1106</v>
      </c>
      <c r="K23" s="9">
        <f t="shared" si="2"/>
        <v>100</v>
      </c>
      <c r="L23" s="8">
        <v>0</v>
      </c>
      <c r="M23" s="8">
        <v>0</v>
      </c>
      <c r="N23" s="7">
        <f t="shared" si="12"/>
        <v>0</v>
      </c>
      <c r="O23" s="21">
        <v>100</v>
      </c>
      <c r="P23" s="3">
        <v>3.74</v>
      </c>
      <c r="Q23" s="2">
        <f t="shared" si="3"/>
        <v>-100</v>
      </c>
      <c r="R23" s="3">
        <v>31.39</v>
      </c>
      <c r="S23" s="3">
        <v>18.260000000000002</v>
      </c>
      <c r="T23" s="2">
        <f t="shared" si="4"/>
        <v>0</v>
      </c>
      <c r="U23" s="3">
        <v>0</v>
      </c>
      <c r="V23" s="3">
        <v>0</v>
      </c>
      <c r="W23" s="2">
        <f t="shared" si="5"/>
        <v>0</v>
      </c>
      <c r="X23" s="3">
        <v>1.81</v>
      </c>
      <c r="Y23" s="3">
        <f>18.73+3.1</f>
        <v>21.830000000000002</v>
      </c>
      <c r="Z23" s="2">
        <f t="shared" si="6"/>
        <v>0</v>
      </c>
      <c r="AA23" s="2"/>
      <c r="AB23" s="2"/>
      <c r="AC23" s="2">
        <f t="shared" si="7"/>
        <v>0</v>
      </c>
      <c r="AD23" s="2">
        <v>0</v>
      </c>
      <c r="AE23" s="2">
        <v>0</v>
      </c>
      <c r="AF23" s="2">
        <f t="shared" si="8"/>
        <v>0</v>
      </c>
      <c r="AG23" s="6">
        <f t="shared" si="9"/>
        <v>133.19999999999999</v>
      </c>
      <c r="AH23" s="5">
        <f t="shared" si="10"/>
        <v>43.83</v>
      </c>
      <c r="AI23" s="7">
        <f t="shared" si="11"/>
        <v>-100</v>
      </c>
    </row>
    <row r="24" spans="1:35" x14ac:dyDescent="0.2">
      <c r="A24" s="11">
        <v>180</v>
      </c>
      <c r="B24" s="10" t="s">
        <v>92</v>
      </c>
      <c r="C24" s="8">
        <v>16</v>
      </c>
      <c r="D24" s="8">
        <v>13</v>
      </c>
      <c r="E24" s="7">
        <f t="shared" si="0"/>
        <v>0</v>
      </c>
      <c r="F24" s="8">
        <v>628</v>
      </c>
      <c r="G24" s="8">
        <v>566</v>
      </c>
      <c r="H24" s="4">
        <f t="shared" si="1"/>
        <v>-100</v>
      </c>
      <c r="I24" s="8">
        <v>614</v>
      </c>
      <c r="J24" s="8">
        <v>655</v>
      </c>
      <c r="K24" s="9"/>
      <c r="L24" s="8">
        <v>0</v>
      </c>
      <c r="M24" s="8">
        <v>0</v>
      </c>
      <c r="N24" s="7">
        <f t="shared" si="12"/>
        <v>0</v>
      </c>
      <c r="O24" s="21">
        <v>0</v>
      </c>
      <c r="P24" s="3">
        <v>0</v>
      </c>
      <c r="Q24" s="2">
        <f t="shared" si="3"/>
        <v>0</v>
      </c>
      <c r="R24" s="3"/>
      <c r="S24" s="3">
        <v>0</v>
      </c>
      <c r="T24" s="2"/>
      <c r="U24" s="3"/>
      <c r="V24" s="3">
        <v>0</v>
      </c>
      <c r="W24" s="2"/>
      <c r="X24" s="3"/>
      <c r="Y24" s="3">
        <v>0</v>
      </c>
      <c r="Z24" s="2">
        <f t="shared" si="6"/>
        <v>0</v>
      </c>
      <c r="AA24" s="2"/>
      <c r="AB24" s="2"/>
      <c r="AC24" s="2">
        <f t="shared" si="7"/>
        <v>0</v>
      </c>
      <c r="AD24" s="2">
        <v>0</v>
      </c>
      <c r="AE24" s="2">
        <v>0</v>
      </c>
      <c r="AF24" s="2">
        <f t="shared" si="8"/>
        <v>0</v>
      </c>
      <c r="AG24" s="6">
        <f t="shared" si="9"/>
        <v>0</v>
      </c>
      <c r="AH24" s="5">
        <f t="shared" si="10"/>
        <v>0</v>
      </c>
      <c r="AI24" s="7">
        <f t="shared" si="11"/>
        <v>0</v>
      </c>
    </row>
    <row r="25" spans="1:35" x14ac:dyDescent="0.2">
      <c r="A25" s="11">
        <v>180</v>
      </c>
      <c r="B25" s="10" t="s">
        <v>91</v>
      </c>
      <c r="C25" s="8">
        <v>75</v>
      </c>
      <c r="D25" s="8">
        <v>64</v>
      </c>
      <c r="E25" s="7">
        <f t="shared" si="0"/>
        <v>0</v>
      </c>
      <c r="F25" s="8">
        <v>2535</v>
      </c>
      <c r="G25" s="8">
        <v>2122</v>
      </c>
      <c r="H25" s="4">
        <f t="shared" si="1"/>
        <v>-400</v>
      </c>
      <c r="I25" s="8">
        <v>2302</v>
      </c>
      <c r="J25" s="8">
        <v>2456</v>
      </c>
      <c r="K25" s="9">
        <f t="shared" ref="K25:K56" si="13">ROUND(+J25-I25,-2)</f>
        <v>200</v>
      </c>
      <c r="L25" s="8">
        <v>0</v>
      </c>
      <c r="M25" s="8">
        <v>0</v>
      </c>
      <c r="N25" s="7">
        <f t="shared" si="12"/>
        <v>0</v>
      </c>
      <c r="O25" s="21">
        <v>1359.07</v>
      </c>
      <c r="P25" s="3">
        <v>8.17</v>
      </c>
      <c r="Q25" s="2">
        <f t="shared" si="3"/>
        <v>-1400</v>
      </c>
      <c r="R25" s="3">
        <v>68.58</v>
      </c>
      <c r="S25" s="3">
        <v>39.909999999999997</v>
      </c>
      <c r="T25" s="2">
        <f t="shared" ref="T25:T56" si="14">ROUND(S25-R25,-2)</f>
        <v>0</v>
      </c>
      <c r="U25" s="3">
        <v>53.68</v>
      </c>
      <c r="V25" s="3">
        <v>30.2</v>
      </c>
      <c r="W25" s="2">
        <f t="shared" ref="W25:W56" si="15">ROUND(V25-U25,-2)</f>
        <v>0</v>
      </c>
      <c r="X25" s="3">
        <v>85.64</v>
      </c>
      <c r="Y25" s="3">
        <f>59.31+10.5</f>
        <v>69.81</v>
      </c>
      <c r="Z25" s="2">
        <f t="shared" si="6"/>
        <v>0</v>
      </c>
      <c r="AA25" s="2"/>
      <c r="AB25" s="2"/>
      <c r="AC25" s="2">
        <f t="shared" si="7"/>
        <v>0</v>
      </c>
      <c r="AD25" s="2">
        <v>0</v>
      </c>
      <c r="AE25" s="2">
        <v>0</v>
      </c>
      <c r="AF25" s="2">
        <f t="shared" si="8"/>
        <v>0</v>
      </c>
      <c r="AG25" s="6">
        <f t="shared" si="9"/>
        <v>1566.97</v>
      </c>
      <c r="AH25" s="5">
        <f t="shared" si="10"/>
        <v>148.09</v>
      </c>
      <c r="AI25" s="7">
        <f t="shared" si="11"/>
        <v>-1400</v>
      </c>
    </row>
    <row r="26" spans="1:35" x14ac:dyDescent="0.2">
      <c r="A26" s="11">
        <v>181</v>
      </c>
      <c r="B26" s="10" t="s">
        <v>90</v>
      </c>
      <c r="C26" s="8">
        <v>186</v>
      </c>
      <c r="D26" s="8">
        <v>776</v>
      </c>
      <c r="E26" s="7">
        <f t="shared" si="0"/>
        <v>600</v>
      </c>
      <c r="F26" s="8">
        <v>2537</v>
      </c>
      <c r="G26" s="8">
        <v>3136</v>
      </c>
      <c r="H26" s="4">
        <f t="shared" si="1"/>
        <v>600</v>
      </c>
      <c r="I26" s="8">
        <v>3590</v>
      </c>
      <c r="J26" s="8">
        <v>3699</v>
      </c>
      <c r="K26" s="9">
        <f t="shared" si="13"/>
        <v>100</v>
      </c>
      <c r="L26" s="26"/>
      <c r="M26" s="26"/>
      <c r="N26" s="25" t="s">
        <v>89</v>
      </c>
      <c r="O26" s="21">
        <v>5976.14</v>
      </c>
      <c r="P26" s="3">
        <v>38.1</v>
      </c>
      <c r="Q26" s="2">
        <f t="shared" si="3"/>
        <v>-5900</v>
      </c>
      <c r="R26" s="3">
        <v>319.72000000000003</v>
      </c>
      <c r="S26" s="3">
        <v>186.08</v>
      </c>
      <c r="T26" s="2">
        <f t="shared" si="14"/>
        <v>-100</v>
      </c>
      <c r="U26" s="3">
        <v>53.68</v>
      </c>
      <c r="V26" s="3">
        <v>30.2</v>
      </c>
      <c r="W26" s="2">
        <f t="shared" si="15"/>
        <v>0</v>
      </c>
      <c r="X26" s="3">
        <v>367.08</v>
      </c>
      <c r="Y26" s="3">
        <f>65.56+24.42</f>
        <v>89.98</v>
      </c>
      <c r="Z26" s="2">
        <f t="shared" si="6"/>
        <v>-300</v>
      </c>
      <c r="AA26" s="2"/>
      <c r="AB26" s="2"/>
      <c r="AC26" s="2">
        <f t="shared" si="7"/>
        <v>0</v>
      </c>
      <c r="AD26" s="2">
        <v>0</v>
      </c>
      <c r="AE26" s="2">
        <v>0</v>
      </c>
      <c r="AF26" s="2">
        <f t="shared" si="8"/>
        <v>0</v>
      </c>
      <c r="AG26" s="6">
        <f t="shared" si="9"/>
        <v>6716.6200000000008</v>
      </c>
      <c r="AH26" s="5">
        <f t="shared" si="10"/>
        <v>344.36</v>
      </c>
      <c r="AI26" s="7">
        <f t="shared" si="11"/>
        <v>-6300</v>
      </c>
    </row>
    <row r="27" spans="1:35" x14ac:dyDescent="0.2">
      <c r="A27" s="11">
        <v>183</v>
      </c>
      <c r="B27" s="10" t="s">
        <v>88</v>
      </c>
      <c r="C27" s="8">
        <v>18831</v>
      </c>
      <c r="D27" s="8">
        <v>17670</v>
      </c>
      <c r="E27" s="7">
        <f t="shared" si="0"/>
        <v>-1200</v>
      </c>
      <c r="F27" s="8">
        <v>26909</v>
      </c>
      <c r="G27" s="8">
        <v>26411</v>
      </c>
      <c r="H27" s="4">
        <f t="shared" si="1"/>
        <v>-500</v>
      </c>
      <c r="I27" s="8">
        <v>11462</v>
      </c>
      <c r="J27" s="8">
        <v>12416</v>
      </c>
      <c r="K27" s="9">
        <f t="shared" si="13"/>
        <v>1000</v>
      </c>
      <c r="L27" s="8">
        <v>154457</v>
      </c>
      <c r="M27" s="8">
        <v>148710</v>
      </c>
      <c r="N27" s="7">
        <f t="shared" ref="N27:N58" si="16">ROUND(+M27-L27,-2)</f>
        <v>-5700</v>
      </c>
      <c r="O27" s="21">
        <v>15286.28</v>
      </c>
      <c r="P27" s="3">
        <v>817.71</v>
      </c>
      <c r="Q27" s="2">
        <f t="shared" si="3"/>
        <v>-14500</v>
      </c>
      <c r="R27" s="3">
        <v>6806.89</v>
      </c>
      <c r="S27" s="3">
        <v>3993.43</v>
      </c>
      <c r="T27" s="2">
        <f t="shared" si="14"/>
        <v>-2800</v>
      </c>
      <c r="U27" s="3">
        <v>0</v>
      </c>
      <c r="V27" s="3">
        <v>0</v>
      </c>
      <c r="W27" s="2">
        <f t="shared" si="15"/>
        <v>0</v>
      </c>
      <c r="X27" s="3">
        <f>1277.25+366.18</f>
        <v>1643.43</v>
      </c>
      <c r="Y27" s="3">
        <f>488.19+147.63+415.77</f>
        <v>1051.5899999999999</v>
      </c>
      <c r="Z27" s="2">
        <f t="shared" si="6"/>
        <v>-600</v>
      </c>
      <c r="AA27" s="2"/>
      <c r="AB27" s="2"/>
      <c r="AC27" s="2">
        <f t="shared" si="7"/>
        <v>0</v>
      </c>
      <c r="AD27" s="2">
        <v>0</v>
      </c>
      <c r="AE27" s="2">
        <v>0</v>
      </c>
      <c r="AF27" s="2">
        <f t="shared" si="8"/>
        <v>0</v>
      </c>
      <c r="AG27" s="6">
        <f t="shared" si="9"/>
        <v>23736.600000000002</v>
      </c>
      <c r="AH27" s="5">
        <f t="shared" si="10"/>
        <v>5862.73</v>
      </c>
      <c r="AI27" s="7">
        <f t="shared" si="11"/>
        <v>-17900</v>
      </c>
    </row>
    <row r="28" spans="1:35" x14ac:dyDescent="0.2">
      <c r="A28" s="11">
        <v>185</v>
      </c>
      <c r="B28" s="10" t="s">
        <v>87</v>
      </c>
      <c r="C28" s="8">
        <v>5897</v>
      </c>
      <c r="D28" s="8">
        <v>5652</v>
      </c>
      <c r="E28" s="7">
        <f t="shared" si="0"/>
        <v>-200</v>
      </c>
      <c r="F28" s="8">
        <v>120925</v>
      </c>
      <c r="G28" s="8">
        <v>121904</v>
      </c>
      <c r="H28" s="4">
        <f t="shared" si="1"/>
        <v>1000</v>
      </c>
      <c r="I28" s="8">
        <v>69001</v>
      </c>
      <c r="J28" s="8">
        <v>79585</v>
      </c>
      <c r="K28" s="9">
        <f t="shared" si="13"/>
        <v>10600</v>
      </c>
      <c r="L28" s="8">
        <v>25984</v>
      </c>
      <c r="M28" s="8">
        <v>12097</v>
      </c>
      <c r="N28" s="7">
        <f t="shared" si="16"/>
        <v>-13900</v>
      </c>
      <c r="O28" s="21">
        <v>38930.49</v>
      </c>
      <c r="P28" s="3">
        <v>31114.7</v>
      </c>
      <c r="Q28" s="2">
        <f t="shared" si="3"/>
        <v>-7800</v>
      </c>
      <c r="R28" s="3">
        <v>20686.12</v>
      </c>
      <c r="S28" s="3">
        <v>15224.47</v>
      </c>
      <c r="T28" s="2">
        <f t="shared" si="14"/>
        <v>-5500</v>
      </c>
      <c r="U28" s="3">
        <v>214.7</v>
      </c>
      <c r="V28" s="3">
        <v>120.8</v>
      </c>
      <c r="W28" s="2">
        <f t="shared" si="15"/>
        <v>-100</v>
      </c>
      <c r="X28" s="3">
        <f>3458.96+556.25</f>
        <v>4015.21</v>
      </c>
      <c r="Y28" s="3">
        <f>735.75+666.63+3653.37</f>
        <v>5055.75</v>
      </c>
      <c r="Z28" s="2">
        <f t="shared" si="6"/>
        <v>1000</v>
      </c>
      <c r="AA28" s="2"/>
      <c r="AB28" s="2"/>
      <c r="AC28" s="2">
        <f t="shared" si="7"/>
        <v>0</v>
      </c>
      <c r="AD28" s="2">
        <v>0</v>
      </c>
      <c r="AE28" s="2">
        <v>0</v>
      </c>
      <c r="AF28" s="2">
        <f t="shared" si="8"/>
        <v>0</v>
      </c>
      <c r="AG28" s="6">
        <f t="shared" si="9"/>
        <v>63846.52</v>
      </c>
      <c r="AH28" s="5">
        <f t="shared" si="10"/>
        <v>51515.72</v>
      </c>
      <c r="AI28" s="7">
        <f t="shared" si="11"/>
        <v>-12400</v>
      </c>
    </row>
    <row r="29" spans="1:35" x14ac:dyDescent="0.2">
      <c r="A29" s="11">
        <v>186</v>
      </c>
      <c r="B29" s="10" t="s">
        <v>86</v>
      </c>
      <c r="C29" s="8">
        <v>54882</v>
      </c>
      <c r="D29" s="8">
        <v>50948</v>
      </c>
      <c r="E29" s="7">
        <f t="shared" si="0"/>
        <v>-3900</v>
      </c>
      <c r="F29" s="8">
        <v>75346</v>
      </c>
      <c r="G29" s="8">
        <v>71008</v>
      </c>
      <c r="H29" s="4">
        <f t="shared" si="1"/>
        <v>-4300</v>
      </c>
      <c r="I29" s="8">
        <v>44233</v>
      </c>
      <c r="J29" s="8">
        <v>45455</v>
      </c>
      <c r="K29" s="9">
        <f t="shared" si="13"/>
        <v>1200</v>
      </c>
      <c r="L29" s="8">
        <v>0</v>
      </c>
      <c r="M29" s="8">
        <v>0</v>
      </c>
      <c r="N29" s="7">
        <f t="shared" si="16"/>
        <v>0</v>
      </c>
      <c r="O29" s="21">
        <v>29750.74</v>
      </c>
      <c r="P29" s="3">
        <v>2080.4699999999998</v>
      </c>
      <c r="Q29" s="2">
        <f t="shared" si="3"/>
        <v>-27700</v>
      </c>
      <c r="R29" s="3">
        <v>12977.51</v>
      </c>
      <c r="S29" s="3">
        <v>7579.16</v>
      </c>
      <c r="T29" s="2">
        <f t="shared" si="14"/>
        <v>-5400</v>
      </c>
      <c r="U29" s="3">
        <v>53.68</v>
      </c>
      <c r="V29" s="3">
        <v>30.2</v>
      </c>
      <c r="W29" s="2">
        <f t="shared" si="15"/>
        <v>0</v>
      </c>
      <c r="X29" s="3">
        <f>2473.3+569.24</f>
        <v>3042.54</v>
      </c>
      <c r="Y29" s="3">
        <f>759.31+722.13+852.71</f>
        <v>2334.15</v>
      </c>
      <c r="Z29" s="2">
        <f t="shared" si="6"/>
        <v>-700</v>
      </c>
      <c r="AA29" s="2"/>
      <c r="AB29" s="2"/>
      <c r="AC29" s="2">
        <f t="shared" si="7"/>
        <v>0</v>
      </c>
      <c r="AD29" s="2">
        <v>0</v>
      </c>
      <c r="AE29" s="2">
        <v>0</v>
      </c>
      <c r="AF29" s="2">
        <f t="shared" si="8"/>
        <v>0</v>
      </c>
      <c r="AG29" s="6">
        <f t="shared" si="9"/>
        <v>45824.47</v>
      </c>
      <c r="AH29" s="5">
        <f t="shared" si="10"/>
        <v>12023.98</v>
      </c>
      <c r="AI29" s="7">
        <f t="shared" si="11"/>
        <v>-33800</v>
      </c>
    </row>
    <row r="30" spans="1:35" x14ac:dyDescent="0.2">
      <c r="A30" s="11">
        <v>187</v>
      </c>
      <c r="B30" s="10" t="s">
        <v>85</v>
      </c>
      <c r="C30" s="8">
        <v>307</v>
      </c>
      <c r="D30" s="8">
        <v>263</v>
      </c>
      <c r="E30" s="7">
        <f t="shared" si="0"/>
        <v>0</v>
      </c>
      <c r="F30" s="8">
        <v>5886</v>
      </c>
      <c r="G30" s="8">
        <v>5281</v>
      </c>
      <c r="H30" s="4">
        <f t="shared" si="1"/>
        <v>-600</v>
      </c>
      <c r="I30" s="8">
        <v>3439</v>
      </c>
      <c r="J30" s="8">
        <v>3976</v>
      </c>
      <c r="K30" s="9">
        <f t="shared" si="13"/>
        <v>500</v>
      </c>
      <c r="L30" s="8">
        <v>538</v>
      </c>
      <c r="M30" s="8">
        <v>0</v>
      </c>
      <c r="N30" s="7">
        <f t="shared" si="16"/>
        <v>-500</v>
      </c>
      <c r="O30" s="21">
        <v>2119.89</v>
      </c>
      <c r="P30" s="3">
        <v>14776.32</v>
      </c>
      <c r="Q30" s="2">
        <f t="shared" si="3"/>
        <v>12700</v>
      </c>
      <c r="R30" s="3">
        <v>69.430000000000007</v>
      </c>
      <c r="S30" s="3">
        <v>40.409999999999997</v>
      </c>
      <c r="T30" s="2">
        <f t="shared" si="14"/>
        <v>0</v>
      </c>
      <c r="U30" s="3">
        <v>53.68</v>
      </c>
      <c r="V30" s="3">
        <v>30.2</v>
      </c>
      <c r="W30" s="2">
        <f t="shared" si="15"/>
        <v>0</v>
      </c>
      <c r="X30" s="3">
        <v>129.66999999999999</v>
      </c>
      <c r="Y30" s="3">
        <f>40.58+1136.37</f>
        <v>1176.9499999999998</v>
      </c>
      <c r="Z30" s="2">
        <f t="shared" si="6"/>
        <v>1000</v>
      </c>
      <c r="AA30" s="2"/>
      <c r="AB30" s="2"/>
      <c r="AC30" s="2">
        <f t="shared" si="7"/>
        <v>0</v>
      </c>
      <c r="AD30" s="2">
        <v>0</v>
      </c>
      <c r="AE30" s="2">
        <v>0</v>
      </c>
      <c r="AF30" s="2">
        <f t="shared" si="8"/>
        <v>0</v>
      </c>
      <c r="AG30" s="6">
        <f t="shared" si="9"/>
        <v>2372.6699999999996</v>
      </c>
      <c r="AH30" s="5">
        <f t="shared" si="10"/>
        <v>16023.880000000001</v>
      </c>
      <c r="AI30" s="7">
        <f t="shared" si="11"/>
        <v>13700</v>
      </c>
    </row>
    <row r="31" spans="1:35" x14ac:dyDescent="0.2">
      <c r="A31" s="11">
        <v>240</v>
      </c>
      <c r="B31" s="10" t="s">
        <v>84</v>
      </c>
      <c r="C31" s="8">
        <v>0</v>
      </c>
      <c r="D31" s="8">
        <v>0</v>
      </c>
      <c r="E31" s="7">
        <f t="shared" si="0"/>
        <v>0</v>
      </c>
      <c r="F31" s="8">
        <v>0</v>
      </c>
      <c r="G31" s="8">
        <v>0</v>
      </c>
      <c r="H31" s="4">
        <f t="shared" si="1"/>
        <v>0</v>
      </c>
      <c r="I31" s="8">
        <v>0</v>
      </c>
      <c r="J31" s="8">
        <v>0</v>
      </c>
      <c r="K31" s="9">
        <f t="shared" si="13"/>
        <v>0</v>
      </c>
      <c r="L31" s="8">
        <v>0</v>
      </c>
      <c r="M31" s="8">
        <v>1795</v>
      </c>
      <c r="N31" s="7">
        <f t="shared" si="16"/>
        <v>1800</v>
      </c>
      <c r="O31" s="21">
        <v>0</v>
      </c>
      <c r="P31" s="3">
        <v>0</v>
      </c>
      <c r="Q31" s="2">
        <f t="shared" si="3"/>
        <v>0</v>
      </c>
      <c r="R31" s="3">
        <v>0</v>
      </c>
      <c r="S31" s="3">
        <v>0</v>
      </c>
      <c r="T31" s="2">
        <f t="shared" si="14"/>
        <v>0</v>
      </c>
      <c r="U31" s="3">
        <v>0</v>
      </c>
      <c r="V31" s="3">
        <v>0</v>
      </c>
      <c r="W31" s="2">
        <f t="shared" si="15"/>
        <v>0</v>
      </c>
      <c r="X31" s="3">
        <v>0</v>
      </c>
      <c r="Y31" s="3">
        <v>0</v>
      </c>
      <c r="Z31" s="2">
        <f t="shared" si="6"/>
        <v>0</v>
      </c>
      <c r="AA31" s="2"/>
      <c r="AB31" s="2"/>
      <c r="AC31" s="2">
        <f t="shared" si="7"/>
        <v>0</v>
      </c>
      <c r="AD31" s="2">
        <v>0</v>
      </c>
      <c r="AE31" s="2">
        <v>0</v>
      </c>
      <c r="AF31" s="2">
        <f t="shared" si="8"/>
        <v>0</v>
      </c>
      <c r="AG31" s="6">
        <f t="shared" si="9"/>
        <v>0</v>
      </c>
      <c r="AH31" s="5">
        <f t="shared" si="10"/>
        <v>0</v>
      </c>
      <c r="AI31" s="7">
        <f t="shared" si="11"/>
        <v>0</v>
      </c>
    </row>
    <row r="32" spans="1:35" x14ac:dyDescent="0.2">
      <c r="A32" s="11">
        <v>189</v>
      </c>
      <c r="B32" s="10" t="s">
        <v>83</v>
      </c>
      <c r="C32" s="8">
        <v>934</v>
      </c>
      <c r="D32" s="8">
        <v>728</v>
      </c>
      <c r="E32" s="7">
        <f t="shared" si="0"/>
        <v>-200</v>
      </c>
      <c r="F32" s="8">
        <v>10184</v>
      </c>
      <c r="G32" s="8">
        <v>8907</v>
      </c>
      <c r="H32" s="4">
        <f t="shared" si="1"/>
        <v>-1300</v>
      </c>
      <c r="I32" s="8">
        <v>7264</v>
      </c>
      <c r="J32" s="8">
        <v>8228</v>
      </c>
      <c r="K32" s="9">
        <f t="shared" si="13"/>
        <v>1000</v>
      </c>
      <c r="L32" s="8">
        <v>8006</v>
      </c>
      <c r="M32" s="8">
        <v>6017</v>
      </c>
      <c r="N32" s="7">
        <f t="shared" si="16"/>
        <v>-2000</v>
      </c>
      <c r="O32" s="21">
        <v>5038.68</v>
      </c>
      <c r="P32" s="3">
        <v>11791.57</v>
      </c>
      <c r="Q32" s="2">
        <f t="shared" si="3"/>
        <v>6800</v>
      </c>
      <c r="R32" s="3">
        <v>8500.77</v>
      </c>
      <c r="S32" s="3">
        <v>5392.2</v>
      </c>
      <c r="T32" s="2">
        <f t="shared" si="14"/>
        <v>-3100</v>
      </c>
      <c r="U32" s="3">
        <v>565.29999999999995</v>
      </c>
      <c r="V32" s="3">
        <v>322.14999999999998</v>
      </c>
      <c r="W32" s="2">
        <f t="shared" si="15"/>
        <v>-200</v>
      </c>
      <c r="X32" s="3">
        <f>430.34+815.42</f>
        <v>1245.76</v>
      </c>
      <c r="Y32" s="3">
        <f>573.78+104.96+1388.05</f>
        <v>2066.79</v>
      </c>
      <c r="Z32" s="2">
        <f t="shared" si="6"/>
        <v>800</v>
      </c>
      <c r="AA32" s="2"/>
      <c r="AB32" s="2"/>
      <c r="AC32" s="2">
        <f t="shared" si="7"/>
        <v>0</v>
      </c>
      <c r="AD32" s="2">
        <v>0</v>
      </c>
      <c r="AE32" s="2">
        <v>0</v>
      </c>
      <c r="AF32" s="2">
        <f t="shared" si="8"/>
        <v>0</v>
      </c>
      <c r="AG32" s="6">
        <f t="shared" si="9"/>
        <v>15350.51</v>
      </c>
      <c r="AH32" s="5">
        <f t="shared" si="10"/>
        <v>19572.710000000003</v>
      </c>
      <c r="AI32" s="7">
        <f t="shared" si="11"/>
        <v>4300</v>
      </c>
    </row>
    <row r="33" spans="1:35" x14ac:dyDescent="0.2">
      <c r="A33" s="11">
        <v>190</v>
      </c>
      <c r="B33" s="10" t="s">
        <v>82</v>
      </c>
      <c r="C33" s="8">
        <v>82</v>
      </c>
      <c r="D33" s="8">
        <v>79</v>
      </c>
      <c r="E33" s="7">
        <f t="shared" si="0"/>
        <v>0</v>
      </c>
      <c r="F33" s="8">
        <v>4364</v>
      </c>
      <c r="G33" s="8">
        <v>3743</v>
      </c>
      <c r="H33" s="4">
        <f t="shared" si="1"/>
        <v>-600</v>
      </c>
      <c r="I33" s="8">
        <v>4329</v>
      </c>
      <c r="J33" s="8">
        <v>5223</v>
      </c>
      <c r="K33" s="9">
        <f t="shared" si="13"/>
        <v>900</v>
      </c>
      <c r="L33" s="8">
        <v>0</v>
      </c>
      <c r="M33" s="8">
        <v>0</v>
      </c>
      <c r="N33" s="7">
        <f t="shared" si="16"/>
        <v>0</v>
      </c>
      <c r="O33" s="21">
        <v>1307.2</v>
      </c>
      <c r="P33" s="3">
        <v>0</v>
      </c>
      <c r="Q33" s="2">
        <f t="shared" si="3"/>
        <v>-1300</v>
      </c>
      <c r="R33" s="3">
        <v>0</v>
      </c>
      <c r="S33" s="3">
        <v>0</v>
      </c>
      <c r="T33" s="2">
        <f t="shared" si="14"/>
        <v>0</v>
      </c>
      <c r="U33" s="3">
        <v>0</v>
      </c>
      <c r="V33" s="3">
        <v>0</v>
      </c>
      <c r="W33" s="2">
        <f t="shared" si="15"/>
        <v>0</v>
      </c>
      <c r="X33" s="3">
        <v>75.569999999999993</v>
      </c>
      <c r="Y33" s="3">
        <v>0</v>
      </c>
      <c r="Z33" s="2">
        <f t="shared" si="6"/>
        <v>-100</v>
      </c>
      <c r="AA33" s="2"/>
      <c r="AB33" s="2"/>
      <c r="AC33" s="2">
        <f t="shared" si="7"/>
        <v>0</v>
      </c>
      <c r="AD33" s="2">
        <v>0</v>
      </c>
      <c r="AE33" s="2">
        <v>0</v>
      </c>
      <c r="AF33" s="2">
        <f t="shared" si="8"/>
        <v>0</v>
      </c>
      <c r="AG33" s="6">
        <f t="shared" si="9"/>
        <v>1382.77</v>
      </c>
      <c r="AH33" s="5">
        <f t="shared" si="10"/>
        <v>0</v>
      </c>
      <c r="AI33" s="7">
        <f t="shared" si="11"/>
        <v>-1400</v>
      </c>
    </row>
    <row r="34" spans="1:35" x14ac:dyDescent="0.2">
      <c r="A34" s="11">
        <v>190</v>
      </c>
      <c r="B34" s="10" t="s">
        <v>81</v>
      </c>
      <c r="C34" s="8">
        <v>4353</v>
      </c>
      <c r="D34" s="8">
        <v>3800</v>
      </c>
      <c r="E34" s="7">
        <f t="shared" si="0"/>
        <v>-600</v>
      </c>
      <c r="F34" s="8">
        <v>63897</v>
      </c>
      <c r="G34" s="8">
        <v>55915</v>
      </c>
      <c r="H34" s="4">
        <f t="shared" si="1"/>
        <v>-8000</v>
      </c>
      <c r="I34" s="8">
        <v>68954</v>
      </c>
      <c r="J34" s="8">
        <v>83192</v>
      </c>
      <c r="K34" s="9">
        <f t="shared" si="13"/>
        <v>14200</v>
      </c>
      <c r="L34" s="8">
        <v>31133</v>
      </c>
      <c r="M34" s="8">
        <v>25724</v>
      </c>
      <c r="N34" s="7">
        <f t="shared" si="16"/>
        <v>-5400</v>
      </c>
      <c r="O34" s="21">
        <v>38242.99</v>
      </c>
      <c r="P34" s="3">
        <v>90748.479999999996</v>
      </c>
      <c r="Q34" s="2">
        <f t="shared" si="3"/>
        <v>52500</v>
      </c>
      <c r="R34" s="3">
        <v>78547.67</v>
      </c>
      <c r="S34" s="3">
        <v>46062.25</v>
      </c>
      <c r="T34" s="2">
        <f t="shared" si="14"/>
        <v>-32500</v>
      </c>
      <c r="U34" s="3">
        <v>13705.91</v>
      </c>
      <c r="V34" s="3">
        <v>10485.84</v>
      </c>
      <c r="W34" s="2">
        <f t="shared" si="15"/>
        <v>-3200</v>
      </c>
      <c r="X34" s="3">
        <f>3718.45+7544.24</f>
        <v>11262.689999999999</v>
      </c>
      <c r="Y34" s="3">
        <f>4959.79+843.69+11686.25</f>
        <v>17489.73</v>
      </c>
      <c r="Z34" s="2">
        <f t="shared" si="6"/>
        <v>6200</v>
      </c>
      <c r="AA34" s="2"/>
      <c r="AB34" s="2"/>
      <c r="AC34" s="2">
        <f t="shared" si="7"/>
        <v>0</v>
      </c>
      <c r="AD34" s="2">
        <v>0</v>
      </c>
      <c r="AE34" s="2">
        <v>0</v>
      </c>
      <c r="AF34" s="2">
        <f t="shared" si="8"/>
        <v>0</v>
      </c>
      <c r="AG34" s="6">
        <f t="shared" si="9"/>
        <v>141759.26</v>
      </c>
      <c r="AH34" s="5">
        <f t="shared" si="10"/>
        <v>164786.29999999999</v>
      </c>
      <c r="AI34" s="7">
        <f t="shared" si="11"/>
        <v>23000</v>
      </c>
    </row>
    <row r="35" spans="1:35" x14ac:dyDescent="0.2">
      <c r="A35" s="11">
        <v>192</v>
      </c>
      <c r="B35" s="10" t="s">
        <v>80</v>
      </c>
      <c r="C35" s="8">
        <v>0</v>
      </c>
      <c r="D35" s="8">
        <v>0</v>
      </c>
      <c r="E35" s="7">
        <f t="shared" si="0"/>
        <v>0</v>
      </c>
      <c r="F35" s="8">
        <v>0</v>
      </c>
      <c r="G35" s="8">
        <v>0</v>
      </c>
      <c r="H35" s="4">
        <f t="shared" si="1"/>
        <v>0</v>
      </c>
      <c r="I35" s="8">
        <v>0</v>
      </c>
      <c r="J35" s="8">
        <v>0</v>
      </c>
      <c r="K35" s="9">
        <f t="shared" si="13"/>
        <v>0</v>
      </c>
      <c r="L35" s="8">
        <v>0</v>
      </c>
      <c r="M35" s="8">
        <v>0</v>
      </c>
      <c r="N35" s="7">
        <f t="shared" si="16"/>
        <v>0</v>
      </c>
      <c r="O35" s="21">
        <v>0</v>
      </c>
      <c r="P35" s="3">
        <v>0</v>
      </c>
      <c r="Q35" s="2">
        <f t="shared" si="3"/>
        <v>0</v>
      </c>
      <c r="R35" s="3">
        <v>0</v>
      </c>
      <c r="S35" s="3">
        <v>0</v>
      </c>
      <c r="T35" s="2">
        <f t="shared" si="14"/>
        <v>0</v>
      </c>
      <c r="U35" s="3">
        <v>0</v>
      </c>
      <c r="V35" s="3">
        <v>0</v>
      </c>
      <c r="W35" s="2">
        <f t="shared" si="15"/>
        <v>0</v>
      </c>
      <c r="X35" s="3">
        <v>0</v>
      </c>
      <c r="Y35" s="3">
        <v>0</v>
      </c>
      <c r="Z35" s="2">
        <f t="shared" si="6"/>
        <v>0</v>
      </c>
      <c r="AA35" s="2"/>
      <c r="AB35" s="2"/>
      <c r="AC35" s="2">
        <f t="shared" si="7"/>
        <v>0</v>
      </c>
      <c r="AD35" s="2">
        <v>0</v>
      </c>
      <c r="AE35" s="2">
        <v>0</v>
      </c>
      <c r="AF35" s="2">
        <f t="shared" si="8"/>
        <v>0</v>
      </c>
      <c r="AG35" s="6">
        <f t="shared" si="9"/>
        <v>0</v>
      </c>
      <c r="AH35" s="5">
        <f t="shared" si="10"/>
        <v>0</v>
      </c>
      <c r="AI35" s="7">
        <f t="shared" si="11"/>
        <v>0</v>
      </c>
    </row>
    <row r="36" spans="1:35" x14ac:dyDescent="0.2">
      <c r="A36" s="11">
        <v>194</v>
      </c>
      <c r="B36" s="10" t="s">
        <v>79</v>
      </c>
      <c r="C36" s="8">
        <v>128</v>
      </c>
      <c r="D36" s="8">
        <v>117</v>
      </c>
      <c r="E36" s="7">
        <f t="shared" si="0"/>
        <v>0</v>
      </c>
      <c r="F36" s="8">
        <v>2391</v>
      </c>
      <c r="G36" s="8">
        <v>2246</v>
      </c>
      <c r="H36" s="4">
        <f t="shared" si="1"/>
        <v>-100</v>
      </c>
      <c r="I36" s="8">
        <v>3531</v>
      </c>
      <c r="J36" s="8">
        <v>3891</v>
      </c>
      <c r="K36" s="9">
        <f t="shared" si="13"/>
        <v>400</v>
      </c>
      <c r="L36" s="8">
        <v>23866</v>
      </c>
      <c r="M36" s="8">
        <v>23442</v>
      </c>
      <c r="N36" s="7">
        <f t="shared" si="16"/>
        <v>-400</v>
      </c>
      <c r="O36" s="21">
        <v>1411.06</v>
      </c>
      <c r="P36" s="3">
        <v>9.2200000000000006</v>
      </c>
      <c r="Q36" s="2">
        <f t="shared" si="3"/>
        <v>-1400</v>
      </c>
      <c r="R36" s="3">
        <v>77.38</v>
      </c>
      <c r="S36" s="3">
        <v>45.03</v>
      </c>
      <c r="T36" s="2">
        <f t="shared" si="14"/>
        <v>0</v>
      </c>
      <c r="U36" s="3">
        <v>53.68</v>
      </c>
      <c r="V36" s="3">
        <v>30.2</v>
      </c>
      <c r="W36" s="2">
        <f t="shared" si="15"/>
        <v>0</v>
      </c>
      <c r="X36" s="3">
        <v>89.15</v>
      </c>
      <c r="Y36" s="3">
        <f>53.07+10.49</f>
        <v>63.56</v>
      </c>
      <c r="Z36" s="2">
        <f t="shared" si="6"/>
        <v>0</v>
      </c>
      <c r="AA36" s="2"/>
      <c r="AB36" s="2"/>
      <c r="AC36" s="2">
        <f t="shared" si="7"/>
        <v>0</v>
      </c>
      <c r="AD36" s="2">
        <v>0</v>
      </c>
      <c r="AE36" s="2">
        <v>0</v>
      </c>
      <c r="AF36" s="2">
        <f t="shared" si="8"/>
        <v>0</v>
      </c>
      <c r="AG36" s="6">
        <f t="shared" si="9"/>
        <v>1631.2700000000002</v>
      </c>
      <c r="AH36" s="5">
        <f t="shared" si="10"/>
        <v>148.01</v>
      </c>
      <c r="AI36" s="7">
        <f t="shared" si="11"/>
        <v>-1400</v>
      </c>
    </row>
    <row r="37" spans="1:35" x14ac:dyDescent="0.2">
      <c r="A37" s="11">
        <v>195</v>
      </c>
      <c r="B37" s="10" t="s">
        <v>78</v>
      </c>
      <c r="C37" s="8">
        <v>374</v>
      </c>
      <c r="D37" s="8">
        <v>335</v>
      </c>
      <c r="E37" s="7">
        <f t="shared" ref="E37:E68" si="17">ROUND(+D37-C37,-2)</f>
        <v>0</v>
      </c>
      <c r="F37" s="8">
        <v>6369</v>
      </c>
      <c r="G37" s="8">
        <v>3770</v>
      </c>
      <c r="H37" s="4">
        <f t="shared" ref="H37:H68" si="18">ROUND(+G37-F37,-2)</f>
        <v>-2600</v>
      </c>
      <c r="I37" s="8">
        <v>2158</v>
      </c>
      <c r="J37" s="8">
        <v>2289</v>
      </c>
      <c r="K37" s="9">
        <f t="shared" si="13"/>
        <v>100</v>
      </c>
      <c r="L37" s="8">
        <v>13888</v>
      </c>
      <c r="M37" s="8">
        <v>4935</v>
      </c>
      <c r="N37" s="7">
        <f t="shared" si="16"/>
        <v>-9000</v>
      </c>
      <c r="O37" s="21">
        <v>630.99</v>
      </c>
      <c r="P37" s="3">
        <v>2414.08</v>
      </c>
      <c r="Q37" s="2">
        <f t="shared" ref="Q37:Q68" si="19">ROUND(P37-O37,-2)</f>
        <v>1800</v>
      </c>
      <c r="R37" s="3">
        <v>89.62</v>
      </c>
      <c r="S37" s="3">
        <v>57.4</v>
      </c>
      <c r="T37" s="2">
        <f t="shared" si="14"/>
        <v>0</v>
      </c>
      <c r="U37" s="3">
        <v>107.36</v>
      </c>
      <c r="V37" s="3">
        <v>90.6</v>
      </c>
      <c r="W37" s="2">
        <f t="shared" si="15"/>
        <v>0</v>
      </c>
      <c r="X37" s="3">
        <v>47.87</v>
      </c>
      <c r="Y37" s="3">
        <f>46.82+199.13</f>
        <v>245.95</v>
      </c>
      <c r="Z37" s="2">
        <f t="shared" ref="Z37:Z68" si="20">ROUND(Y37-X37,-2)</f>
        <v>200</v>
      </c>
      <c r="AA37" s="2"/>
      <c r="AB37" s="2"/>
      <c r="AC37" s="2">
        <f t="shared" ref="AC37:AC68" si="21">ROUND(AB37-AA37,-2)</f>
        <v>0</v>
      </c>
      <c r="AD37" s="2">
        <v>0</v>
      </c>
      <c r="AE37" s="2">
        <v>0</v>
      </c>
      <c r="AF37" s="2">
        <f t="shared" ref="AF37:AF68" si="22">ROUND(AE37-AD37,-2)</f>
        <v>0</v>
      </c>
      <c r="AG37" s="6">
        <f t="shared" ref="AG37:AG68" si="23">O37+R37+U37+X37+AA37+AD37</f>
        <v>875.84</v>
      </c>
      <c r="AH37" s="5">
        <f t="shared" ref="AH37:AH68" si="24">P37+S37+V37+Y37+AB37+AE37</f>
        <v>2808.0299999999997</v>
      </c>
      <c r="AI37" s="7">
        <f t="shared" ref="AI37:AI68" si="25">Q37+T37+W37+Z37+AC37+AF37</f>
        <v>2000</v>
      </c>
    </row>
    <row r="38" spans="1:35" x14ac:dyDescent="0.2">
      <c r="A38" s="11">
        <v>196</v>
      </c>
      <c r="B38" s="10" t="s">
        <v>77</v>
      </c>
      <c r="C38" s="8">
        <v>527</v>
      </c>
      <c r="D38" s="8">
        <v>393</v>
      </c>
      <c r="E38" s="7">
        <f t="shared" si="17"/>
        <v>-100</v>
      </c>
      <c r="F38" s="8">
        <v>2517</v>
      </c>
      <c r="G38" s="8">
        <v>1919</v>
      </c>
      <c r="H38" s="4">
        <f t="shared" si="18"/>
        <v>-600</v>
      </c>
      <c r="I38" s="8">
        <v>1517</v>
      </c>
      <c r="J38" s="8">
        <v>1474</v>
      </c>
      <c r="K38" s="9">
        <f t="shared" si="13"/>
        <v>0</v>
      </c>
      <c r="L38" s="8">
        <v>2850</v>
      </c>
      <c r="M38" s="8">
        <v>685</v>
      </c>
      <c r="N38" s="7">
        <f t="shared" si="16"/>
        <v>-2200</v>
      </c>
      <c r="O38" s="21">
        <v>1164.1400000000001</v>
      </c>
      <c r="P38" s="3">
        <v>13.92</v>
      </c>
      <c r="Q38" s="2">
        <f t="shared" si="19"/>
        <v>-1200</v>
      </c>
      <c r="R38" s="3">
        <v>116.82</v>
      </c>
      <c r="S38" s="3">
        <v>67.989999999999995</v>
      </c>
      <c r="T38" s="2">
        <f t="shared" si="14"/>
        <v>0</v>
      </c>
      <c r="U38" s="3">
        <v>53.68</v>
      </c>
      <c r="V38" s="3">
        <v>30.2</v>
      </c>
      <c r="W38" s="2">
        <f t="shared" si="15"/>
        <v>0</v>
      </c>
      <c r="X38" s="3">
        <v>77.16</v>
      </c>
      <c r="Y38" s="3">
        <f>24.97+10.47</f>
        <v>35.44</v>
      </c>
      <c r="Z38" s="2">
        <f t="shared" si="20"/>
        <v>0</v>
      </c>
      <c r="AA38" s="2"/>
      <c r="AB38" s="2"/>
      <c r="AC38" s="2">
        <f t="shared" si="21"/>
        <v>0</v>
      </c>
      <c r="AD38" s="2">
        <v>0</v>
      </c>
      <c r="AE38" s="2">
        <v>0</v>
      </c>
      <c r="AF38" s="2">
        <f t="shared" si="22"/>
        <v>0</v>
      </c>
      <c r="AG38" s="6">
        <f t="shared" si="23"/>
        <v>1411.8000000000002</v>
      </c>
      <c r="AH38" s="5">
        <f t="shared" si="24"/>
        <v>147.55000000000001</v>
      </c>
      <c r="AI38" s="7">
        <f t="shared" si="25"/>
        <v>-1200</v>
      </c>
    </row>
    <row r="39" spans="1:35" x14ac:dyDescent="0.2">
      <c r="A39" s="24">
        <v>197</v>
      </c>
      <c r="B39" s="23" t="s">
        <v>76</v>
      </c>
      <c r="C39" s="8">
        <v>7</v>
      </c>
      <c r="D39" s="8">
        <v>5</v>
      </c>
      <c r="E39" s="7">
        <f t="shared" si="17"/>
        <v>0</v>
      </c>
      <c r="F39" s="8">
        <v>102</v>
      </c>
      <c r="G39" s="8">
        <v>95</v>
      </c>
      <c r="H39" s="4">
        <f t="shared" si="18"/>
        <v>0</v>
      </c>
      <c r="I39" s="8">
        <v>0</v>
      </c>
      <c r="J39" s="8">
        <v>0</v>
      </c>
      <c r="K39" s="9">
        <f t="shared" si="13"/>
        <v>0</v>
      </c>
      <c r="L39" s="8">
        <v>0</v>
      </c>
      <c r="M39" s="8">
        <v>0</v>
      </c>
      <c r="N39" s="7">
        <f t="shared" si="16"/>
        <v>0</v>
      </c>
      <c r="O39" s="21">
        <v>0</v>
      </c>
      <c r="P39" s="3">
        <v>0</v>
      </c>
      <c r="Q39" s="2">
        <f t="shared" si="19"/>
        <v>0</v>
      </c>
      <c r="R39" s="3">
        <v>0</v>
      </c>
      <c r="S39" s="3">
        <v>0</v>
      </c>
      <c r="T39" s="2">
        <f t="shared" si="14"/>
        <v>0</v>
      </c>
      <c r="U39" s="3">
        <v>0</v>
      </c>
      <c r="V39" s="3">
        <v>0</v>
      </c>
      <c r="W39" s="2">
        <f t="shared" si="15"/>
        <v>0</v>
      </c>
      <c r="X39" s="3">
        <v>0</v>
      </c>
      <c r="Y39" s="3">
        <v>0</v>
      </c>
      <c r="Z39" s="2">
        <f t="shared" si="20"/>
        <v>0</v>
      </c>
      <c r="AA39" s="2"/>
      <c r="AB39" s="2"/>
      <c r="AC39" s="2">
        <f t="shared" si="21"/>
        <v>0</v>
      </c>
      <c r="AD39" s="2">
        <v>0</v>
      </c>
      <c r="AE39" s="2">
        <v>0</v>
      </c>
      <c r="AF39" s="2">
        <f t="shared" si="22"/>
        <v>0</v>
      </c>
      <c r="AG39" s="6">
        <f t="shared" si="23"/>
        <v>0</v>
      </c>
      <c r="AH39" s="5">
        <f t="shared" si="24"/>
        <v>0</v>
      </c>
      <c r="AI39" s="7">
        <f t="shared" si="25"/>
        <v>0</v>
      </c>
    </row>
    <row r="40" spans="1:35" x14ac:dyDescent="0.2">
      <c r="A40" s="11">
        <v>198</v>
      </c>
      <c r="B40" s="10" t="s">
        <v>75</v>
      </c>
      <c r="C40" s="8">
        <v>336</v>
      </c>
      <c r="D40" s="8">
        <v>283</v>
      </c>
      <c r="E40" s="7">
        <f t="shared" si="17"/>
        <v>-100</v>
      </c>
      <c r="F40" s="8">
        <v>1556</v>
      </c>
      <c r="G40" s="8">
        <v>1332</v>
      </c>
      <c r="H40" s="4">
        <f t="shared" si="18"/>
        <v>-200</v>
      </c>
      <c r="I40" s="8">
        <v>1013</v>
      </c>
      <c r="J40" s="8">
        <v>964</v>
      </c>
      <c r="K40" s="9">
        <f t="shared" si="13"/>
        <v>0</v>
      </c>
      <c r="L40" s="8">
        <v>0</v>
      </c>
      <c r="M40" s="8">
        <v>1333</v>
      </c>
      <c r="N40" s="7">
        <f t="shared" si="16"/>
        <v>1300</v>
      </c>
      <c r="O40" s="21">
        <v>443.54</v>
      </c>
      <c r="P40" s="3">
        <v>2.4300000000000002</v>
      </c>
      <c r="Q40" s="2">
        <f t="shared" si="19"/>
        <v>-400</v>
      </c>
      <c r="R40" s="3">
        <v>20.399999999999999</v>
      </c>
      <c r="S40" s="3">
        <v>11.87</v>
      </c>
      <c r="T40" s="2">
        <f t="shared" si="14"/>
        <v>0</v>
      </c>
      <c r="U40" s="3">
        <v>53.68</v>
      </c>
      <c r="V40" s="3">
        <v>30.2</v>
      </c>
      <c r="W40" s="2">
        <f t="shared" si="15"/>
        <v>0</v>
      </c>
      <c r="X40" s="3">
        <v>29.92</v>
      </c>
      <c r="Y40" s="3">
        <f>18.73+4.82</f>
        <v>23.55</v>
      </c>
      <c r="Z40" s="2">
        <f t="shared" si="20"/>
        <v>0</v>
      </c>
      <c r="AA40" s="2"/>
      <c r="AB40" s="2"/>
      <c r="AC40" s="2">
        <f t="shared" si="21"/>
        <v>0</v>
      </c>
      <c r="AD40" s="2">
        <v>0</v>
      </c>
      <c r="AE40" s="2">
        <v>0</v>
      </c>
      <c r="AF40" s="2">
        <f t="shared" si="22"/>
        <v>0</v>
      </c>
      <c r="AG40" s="6">
        <f t="shared" si="23"/>
        <v>547.54</v>
      </c>
      <c r="AH40" s="5">
        <f t="shared" si="24"/>
        <v>68.05</v>
      </c>
      <c r="AI40" s="7">
        <f t="shared" si="25"/>
        <v>-400</v>
      </c>
    </row>
    <row r="41" spans="1:35" x14ac:dyDescent="0.2">
      <c r="A41" s="11">
        <v>199</v>
      </c>
      <c r="B41" s="10" t="s">
        <v>74</v>
      </c>
      <c r="C41" s="8">
        <v>103</v>
      </c>
      <c r="D41" s="8">
        <v>62</v>
      </c>
      <c r="E41" s="7">
        <f t="shared" si="17"/>
        <v>0</v>
      </c>
      <c r="F41" s="8">
        <v>2956</v>
      </c>
      <c r="G41" s="8">
        <v>2050</v>
      </c>
      <c r="H41" s="4">
        <f t="shared" si="18"/>
        <v>-900</v>
      </c>
      <c r="I41" s="8">
        <v>1321</v>
      </c>
      <c r="J41" s="8">
        <v>1396</v>
      </c>
      <c r="K41" s="9">
        <f t="shared" si="13"/>
        <v>100</v>
      </c>
      <c r="L41" s="8">
        <v>0</v>
      </c>
      <c r="M41" s="8">
        <v>0</v>
      </c>
      <c r="N41" s="7">
        <f t="shared" si="16"/>
        <v>0</v>
      </c>
      <c r="O41" s="21">
        <v>3227.93</v>
      </c>
      <c r="P41" s="3">
        <v>11.41</v>
      </c>
      <c r="Q41" s="2">
        <f t="shared" si="19"/>
        <v>-3200</v>
      </c>
      <c r="R41" s="3">
        <v>95.76</v>
      </c>
      <c r="S41" s="3">
        <v>55.73</v>
      </c>
      <c r="T41" s="2">
        <f t="shared" si="14"/>
        <v>0</v>
      </c>
      <c r="U41" s="3">
        <v>53.68</v>
      </c>
      <c r="V41" s="3">
        <v>30.2</v>
      </c>
      <c r="W41" s="2">
        <f t="shared" si="15"/>
        <v>0</v>
      </c>
      <c r="X41" s="3">
        <v>195.25</v>
      </c>
      <c r="Y41" s="3">
        <f>24.97+9.33</f>
        <v>34.299999999999997</v>
      </c>
      <c r="Z41" s="2">
        <f t="shared" si="20"/>
        <v>-200</v>
      </c>
      <c r="AA41" s="2"/>
      <c r="AB41" s="2"/>
      <c r="AC41" s="2">
        <f t="shared" si="21"/>
        <v>0</v>
      </c>
      <c r="AD41" s="2">
        <v>0</v>
      </c>
      <c r="AE41" s="2">
        <v>0</v>
      </c>
      <c r="AF41" s="2">
        <f t="shared" si="22"/>
        <v>0</v>
      </c>
      <c r="AG41" s="6">
        <f t="shared" si="23"/>
        <v>3572.62</v>
      </c>
      <c r="AH41" s="5">
        <f t="shared" si="24"/>
        <v>131.63999999999999</v>
      </c>
      <c r="AI41" s="7">
        <f t="shared" si="25"/>
        <v>-3400</v>
      </c>
    </row>
    <row r="42" spans="1:35" x14ac:dyDescent="0.2">
      <c r="A42" s="11">
        <v>200</v>
      </c>
      <c r="B42" s="10" t="s">
        <v>73</v>
      </c>
      <c r="C42" s="8">
        <v>173</v>
      </c>
      <c r="D42" s="8">
        <v>164</v>
      </c>
      <c r="E42" s="7">
        <f t="shared" si="17"/>
        <v>0</v>
      </c>
      <c r="F42" s="8">
        <v>3883</v>
      </c>
      <c r="G42" s="8">
        <v>3500</v>
      </c>
      <c r="H42" s="4">
        <f t="shared" si="18"/>
        <v>-400</v>
      </c>
      <c r="I42" s="8">
        <v>50</v>
      </c>
      <c r="J42" s="8">
        <v>54</v>
      </c>
      <c r="K42" s="9">
        <f t="shared" si="13"/>
        <v>0</v>
      </c>
      <c r="L42" s="8">
        <v>167835</v>
      </c>
      <c r="M42" s="8">
        <v>125129</v>
      </c>
      <c r="N42" s="7">
        <f t="shared" si="16"/>
        <v>-42700</v>
      </c>
      <c r="O42" s="21">
        <v>0</v>
      </c>
      <c r="P42" s="3">
        <v>0</v>
      </c>
      <c r="Q42" s="2">
        <f t="shared" si="19"/>
        <v>0</v>
      </c>
      <c r="R42" s="3">
        <v>0</v>
      </c>
      <c r="S42" s="3">
        <v>0</v>
      </c>
      <c r="T42" s="2">
        <f t="shared" si="14"/>
        <v>0</v>
      </c>
      <c r="U42" s="3">
        <v>0</v>
      </c>
      <c r="V42" s="3">
        <v>0</v>
      </c>
      <c r="W42" s="2">
        <f t="shared" si="15"/>
        <v>0</v>
      </c>
      <c r="X42" s="3">
        <v>0</v>
      </c>
      <c r="Y42" s="3">
        <v>0</v>
      </c>
      <c r="Z42" s="2">
        <f t="shared" si="20"/>
        <v>0</v>
      </c>
      <c r="AA42" s="2"/>
      <c r="AB42" s="2"/>
      <c r="AC42" s="2">
        <f t="shared" si="21"/>
        <v>0</v>
      </c>
      <c r="AD42" s="2">
        <v>0</v>
      </c>
      <c r="AE42" s="2">
        <v>0</v>
      </c>
      <c r="AF42" s="2">
        <f t="shared" si="22"/>
        <v>0</v>
      </c>
      <c r="AG42" s="6">
        <f t="shared" si="23"/>
        <v>0</v>
      </c>
      <c r="AH42" s="5">
        <f t="shared" si="24"/>
        <v>0</v>
      </c>
      <c r="AI42" s="7">
        <f t="shared" si="25"/>
        <v>0</v>
      </c>
    </row>
    <row r="43" spans="1:35" x14ac:dyDescent="0.2">
      <c r="A43" s="11">
        <v>200</v>
      </c>
      <c r="B43" s="10" t="s">
        <v>72</v>
      </c>
      <c r="C43" s="8">
        <f>166+388+59+24+5111</f>
        <v>5748</v>
      </c>
      <c r="D43" s="8">
        <f>201+416+63+33+4754</f>
        <v>5467</v>
      </c>
      <c r="E43" s="7">
        <f t="shared" si="17"/>
        <v>-300</v>
      </c>
      <c r="F43" s="8">
        <f>2402+14959+2313+5311+14963</f>
        <v>39948</v>
      </c>
      <c r="G43" s="8">
        <f>3709+14950+1984+5662+16958</f>
        <v>43263</v>
      </c>
      <c r="H43" s="4">
        <f t="shared" si="18"/>
        <v>3300</v>
      </c>
      <c r="I43" s="8">
        <f>36+239+105+38+19599</f>
        <v>20017</v>
      </c>
      <c r="J43" s="8">
        <f>39+259+113+41+20577+3</f>
        <v>21032</v>
      </c>
      <c r="K43" s="9">
        <f t="shared" si="13"/>
        <v>1000</v>
      </c>
      <c r="L43" s="8">
        <v>68414</v>
      </c>
      <c r="M43" s="8">
        <v>79060</v>
      </c>
      <c r="N43" s="7">
        <f t="shared" si="16"/>
        <v>10600</v>
      </c>
      <c r="O43" s="21">
        <f>53510.22+190.22+58481.57+2628.3+476.34+880.31</f>
        <v>116166.96</v>
      </c>
      <c r="P43" s="3">
        <f>79301.85</f>
        <v>79301.850000000006</v>
      </c>
      <c r="Q43" s="2">
        <f t="shared" si="19"/>
        <v>-36900</v>
      </c>
      <c r="R43" s="3">
        <f>515445.75</f>
        <v>515445.75</v>
      </c>
      <c r="S43" s="3">
        <f>301402.49</f>
        <v>301402.49</v>
      </c>
      <c r="T43" s="2">
        <f t="shared" si="14"/>
        <v>-214000</v>
      </c>
      <c r="U43" s="3">
        <f>187.88+420.19+202.05+26.84</f>
        <v>836.95999999999992</v>
      </c>
      <c r="V43" s="3">
        <f>105.7+211.41+105.7+30.65</f>
        <v>453.46</v>
      </c>
      <c r="W43" s="2">
        <f t="shared" si="15"/>
        <v>-400</v>
      </c>
      <c r="X43" s="3">
        <f>31807.44+32892.37+21.86+3405.22+163.63+27.54+1.55+50.89</f>
        <v>68370.5</v>
      </c>
      <c r="Y43" s="3">
        <f>42419.92+313.81+32355.78</f>
        <v>75089.509999999995</v>
      </c>
      <c r="Z43" s="2">
        <f t="shared" si="20"/>
        <v>6700</v>
      </c>
      <c r="AA43" s="2"/>
      <c r="AB43" s="2"/>
      <c r="AC43" s="2">
        <f t="shared" si="21"/>
        <v>0</v>
      </c>
      <c r="AD43" s="2">
        <v>0</v>
      </c>
      <c r="AE43" s="2">
        <v>0</v>
      </c>
      <c r="AF43" s="2">
        <f t="shared" si="22"/>
        <v>0</v>
      </c>
      <c r="AG43" s="6">
        <f t="shared" si="23"/>
        <v>700820.16999999993</v>
      </c>
      <c r="AH43" s="5">
        <f t="shared" si="24"/>
        <v>456247.31</v>
      </c>
      <c r="AI43" s="7">
        <f t="shared" si="25"/>
        <v>-244600</v>
      </c>
    </row>
    <row r="44" spans="1:35" x14ac:dyDescent="0.2">
      <c r="A44" s="11">
        <v>210</v>
      </c>
      <c r="B44" s="10" t="s">
        <v>71</v>
      </c>
      <c r="C44" s="8">
        <v>2751</v>
      </c>
      <c r="D44" s="8">
        <v>2384</v>
      </c>
      <c r="E44" s="7">
        <f t="shared" si="17"/>
        <v>-400</v>
      </c>
      <c r="F44" s="8">
        <v>72950</v>
      </c>
      <c r="G44" s="8">
        <v>63393</v>
      </c>
      <c r="H44" s="4">
        <f t="shared" si="18"/>
        <v>-9600</v>
      </c>
      <c r="I44" s="8">
        <v>64319</v>
      </c>
      <c r="J44" s="8">
        <v>66326</v>
      </c>
      <c r="K44" s="9">
        <f t="shared" si="13"/>
        <v>2000</v>
      </c>
      <c r="L44" s="8">
        <v>231462</v>
      </c>
      <c r="M44" s="8">
        <v>217947</v>
      </c>
      <c r="N44" s="7">
        <f t="shared" si="16"/>
        <v>-13500</v>
      </c>
      <c r="O44" s="21">
        <f>109323.13+943.06</f>
        <v>110266.19</v>
      </c>
      <c r="P44" s="3">
        <v>94155.99</v>
      </c>
      <c r="Q44" s="2">
        <f t="shared" si="19"/>
        <v>-16100</v>
      </c>
      <c r="R44" s="3">
        <f>20069.63</f>
        <v>20069.63</v>
      </c>
      <c r="S44" s="3">
        <v>11928.05</v>
      </c>
      <c r="T44" s="2">
        <f t="shared" si="14"/>
        <v>-8100</v>
      </c>
      <c r="U44" s="3">
        <v>11100.84</v>
      </c>
      <c r="V44" s="3">
        <v>4949.58</v>
      </c>
      <c r="W44" s="2">
        <f t="shared" si="15"/>
        <v>-6200</v>
      </c>
      <c r="X44" s="3">
        <f>1005.19+8122.19+54.52</f>
        <v>9181.9</v>
      </c>
      <c r="Y44" s="3">
        <f>1340.54+646.02+8626.92</f>
        <v>10613.48</v>
      </c>
      <c r="Z44" s="2">
        <f t="shared" si="20"/>
        <v>1400</v>
      </c>
      <c r="AA44" s="2"/>
      <c r="AB44" s="2"/>
      <c r="AC44" s="2">
        <f t="shared" si="21"/>
        <v>0</v>
      </c>
      <c r="AD44" s="2">
        <v>0</v>
      </c>
      <c r="AE44" s="2">
        <v>0</v>
      </c>
      <c r="AF44" s="2">
        <f t="shared" si="22"/>
        <v>0</v>
      </c>
      <c r="AG44" s="6">
        <f t="shared" si="23"/>
        <v>150618.56</v>
      </c>
      <c r="AH44" s="5">
        <f t="shared" si="24"/>
        <v>121647.1</v>
      </c>
      <c r="AI44" s="7">
        <f t="shared" si="25"/>
        <v>-29000</v>
      </c>
    </row>
    <row r="45" spans="1:35" x14ac:dyDescent="0.2">
      <c r="A45" s="11">
        <v>215</v>
      </c>
      <c r="B45" s="10" t="s">
        <v>70</v>
      </c>
      <c r="C45" s="8">
        <v>188</v>
      </c>
      <c r="D45" s="8">
        <v>162</v>
      </c>
      <c r="E45" s="7">
        <f t="shared" si="17"/>
        <v>0</v>
      </c>
      <c r="F45" s="8">
        <v>7080</v>
      </c>
      <c r="G45" s="8">
        <v>5293</v>
      </c>
      <c r="H45" s="4">
        <f t="shared" si="18"/>
        <v>-1800</v>
      </c>
      <c r="I45" s="8">
        <v>4054</v>
      </c>
      <c r="J45" s="8">
        <v>3820</v>
      </c>
      <c r="K45" s="9">
        <f t="shared" si="13"/>
        <v>-200</v>
      </c>
      <c r="L45" s="8">
        <v>34645</v>
      </c>
      <c r="M45" s="8">
        <v>19675</v>
      </c>
      <c r="N45" s="7">
        <f t="shared" si="16"/>
        <v>-15000</v>
      </c>
      <c r="O45" s="21">
        <v>22530.71</v>
      </c>
      <c r="P45" s="3">
        <v>6567.79</v>
      </c>
      <c r="Q45" s="2">
        <f t="shared" si="19"/>
        <v>-16000</v>
      </c>
      <c r="R45" s="3">
        <v>148.38</v>
      </c>
      <c r="S45" s="3">
        <v>86.28</v>
      </c>
      <c r="T45" s="2">
        <f t="shared" si="14"/>
        <v>-100</v>
      </c>
      <c r="U45" s="3">
        <v>545.74</v>
      </c>
      <c r="V45" s="3">
        <v>271.82</v>
      </c>
      <c r="W45" s="2">
        <f t="shared" si="15"/>
        <v>-300</v>
      </c>
      <c r="X45" s="3">
        <v>1342.67</v>
      </c>
      <c r="Y45" s="3">
        <f>61.77+533.37</f>
        <v>595.14</v>
      </c>
      <c r="Z45" s="2">
        <f t="shared" si="20"/>
        <v>-700</v>
      </c>
      <c r="AA45" s="2"/>
      <c r="AB45" s="2"/>
      <c r="AC45" s="2">
        <f t="shared" si="21"/>
        <v>0</v>
      </c>
      <c r="AD45" s="2">
        <v>0</v>
      </c>
      <c r="AE45" s="2">
        <v>0</v>
      </c>
      <c r="AF45" s="2">
        <f t="shared" si="22"/>
        <v>0</v>
      </c>
      <c r="AG45" s="6">
        <f t="shared" si="23"/>
        <v>24567.5</v>
      </c>
      <c r="AH45" s="5">
        <f t="shared" si="24"/>
        <v>7521.03</v>
      </c>
      <c r="AI45" s="7">
        <f t="shared" si="25"/>
        <v>-17100</v>
      </c>
    </row>
    <row r="46" spans="1:35" x14ac:dyDescent="0.2">
      <c r="A46" s="11">
        <v>220</v>
      </c>
      <c r="B46" s="10" t="s">
        <v>69</v>
      </c>
      <c r="C46" s="8">
        <v>1040</v>
      </c>
      <c r="D46" s="8">
        <v>839</v>
      </c>
      <c r="E46" s="7">
        <f t="shared" si="17"/>
        <v>-200</v>
      </c>
      <c r="F46" s="8">
        <v>10891</v>
      </c>
      <c r="G46" s="8">
        <v>9554</v>
      </c>
      <c r="H46" s="4">
        <f t="shared" si="18"/>
        <v>-1300</v>
      </c>
      <c r="I46" s="8">
        <v>9089</v>
      </c>
      <c r="J46" s="8">
        <v>9305</v>
      </c>
      <c r="K46" s="9">
        <f t="shared" si="13"/>
        <v>200</v>
      </c>
      <c r="L46" s="8">
        <v>27722</v>
      </c>
      <c r="M46" s="8">
        <v>76377</v>
      </c>
      <c r="N46" s="7">
        <f t="shared" si="16"/>
        <v>48700</v>
      </c>
      <c r="O46" s="21">
        <v>1157.55</v>
      </c>
      <c r="P46" s="3">
        <v>19380.16</v>
      </c>
      <c r="Q46" s="2">
        <f t="shared" si="19"/>
        <v>18200</v>
      </c>
      <c r="R46" s="3">
        <v>588.97</v>
      </c>
      <c r="S46" s="3">
        <v>342.79</v>
      </c>
      <c r="T46" s="2">
        <f t="shared" si="14"/>
        <v>-200</v>
      </c>
      <c r="U46" s="3">
        <v>84.48</v>
      </c>
      <c r="V46" s="3">
        <v>45.3</v>
      </c>
      <c r="W46" s="2">
        <f t="shared" si="15"/>
        <v>0</v>
      </c>
      <c r="X46" s="3">
        <v>105.85</v>
      </c>
      <c r="Y46" s="3">
        <f>99.38+1516.51</f>
        <v>1615.8899999999999</v>
      </c>
      <c r="Z46" s="2">
        <f t="shared" si="20"/>
        <v>1500</v>
      </c>
      <c r="AA46" s="2"/>
      <c r="AB46" s="2"/>
      <c r="AC46" s="2">
        <f t="shared" si="21"/>
        <v>0</v>
      </c>
      <c r="AD46" s="2">
        <v>0</v>
      </c>
      <c r="AE46" s="2">
        <v>0</v>
      </c>
      <c r="AF46" s="2">
        <f t="shared" si="22"/>
        <v>0</v>
      </c>
      <c r="AG46" s="6">
        <f t="shared" si="23"/>
        <v>1936.85</v>
      </c>
      <c r="AH46" s="5">
        <f t="shared" si="24"/>
        <v>21384.14</v>
      </c>
      <c r="AI46" s="7">
        <f t="shared" si="25"/>
        <v>19500</v>
      </c>
    </row>
    <row r="47" spans="1:35" x14ac:dyDescent="0.2">
      <c r="A47" s="11">
        <v>230</v>
      </c>
      <c r="B47" s="10" t="s">
        <v>68</v>
      </c>
      <c r="C47" s="8">
        <v>12118</v>
      </c>
      <c r="D47" s="8">
        <v>11615</v>
      </c>
      <c r="E47" s="7">
        <f t="shared" si="17"/>
        <v>-500</v>
      </c>
      <c r="F47" s="8">
        <v>272005</v>
      </c>
      <c r="G47" s="8">
        <v>284511</v>
      </c>
      <c r="H47" s="4">
        <f t="shared" si="18"/>
        <v>12500</v>
      </c>
      <c r="I47" s="8">
        <v>333595</v>
      </c>
      <c r="J47" s="8">
        <v>351040</v>
      </c>
      <c r="K47" s="9">
        <f t="shared" si="13"/>
        <v>17400</v>
      </c>
      <c r="L47" s="8">
        <v>640915</v>
      </c>
      <c r="M47" s="8">
        <v>544082</v>
      </c>
      <c r="N47" s="7">
        <f t="shared" si="16"/>
        <v>-96800</v>
      </c>
      <c r="O47" s="21">
        <f>1126833.18+1824.07+176398.16+84906.12+6960.55+205705.29+160908.55+17034.17+41837.85</f>
        <v>1822407.94</v>
      </c>
      <c r="P47" s="3">
        <v>1016742.68</v>
      </c>
      <c r="Q47" s="2">
        <f t="shared" si="19"/>
        <v>-805700</v>
      </c>
      <c r="R47" s="3">
        <f>370923.14</f>
        <v>370923.14</v>
      </c>
      <c r="S47" s="3">
        <f>217369.72</f>
        <v>217369.72</v>
      </c>
      <c r="T47" s="2">
        <f t="shared" si="14"/>
        <v>-153600</v>
      </c>
      <c r="U47" s="3">
        <v>14582.96</v>
      </c>
      <c r="V47" s="3">
        <f>12597.5</f>
        <v>12597.5</v>
      </c>
      <c r="W47" s="2">
        <f t="shared" si="15"/>
        <v>-2000</v>
      </c>
      <c r="X47" s="3">
        <f>21946.99+87431.06+105.45+10197.9+4908.58+402.4+11892.19+9302.41+984.78+2418.72</f>
        <v>149590.47999999998</v>
      </c>
      <c r="Y47" s="3">
        <f>29269.32+3100.4+100675.87</f>
        <v>133045.59</v>
      </c>
      <c r="Z47" s="2">
        <f t="shared" si="20"/>
        <v>-16500</v>
      </c>
      <c r="AA47" s="2"/>
      <c r="AB47" s="2">
        <f>4982.68+4982.68+4982.68+4982.68+4982.68+4982.68+4982.68+4982.68</f>
        <v>39861.440000000002</v>
      </c>
      <c r="AC47" s="2">
        <f t="shared" si="21"/>
        <v>39900</v>
      </c>
      <c r="AD47" s="2">
        <v>0</v>
      </c>
      <c r="AE47" s="2">
        <v>0</v>
      </c>
      <c r="AF47" s="2">
        <f t="shared" si="22"/>
        <v>0</v>
      </c>
      <c r="AG47" s="6">
        <f t="shared" si="23"/>
        <v>2357504.52</v>
      </c>
      <c r="AH47" s="5">
        <f t="shared" si="24"/>
        <v>1419616.9300000002</v>
      </c>
      <c r="AI47" s="7">
        <f t="shared" si="25"/>
        <v>-937900</v>
      </c>
    </row>
    <row r="48" spans="1:35" x14ac:dyDescent="0.2">
      <c r="A48" s="11">
        <v>231</v>
      </c>
      <c r="B48" s="10" t="s">
        <v>67</v>
      </c>
      <c r="C48" s="8">
        <v>1416</v>
      </c>
      <c r="D48" s="8">
        <v>1061</v>
      </c>
      <c r="E48" s="7">
        <f t="shared" si="17"/>
        <v>-400</v>
      </c>
      <c r="F48" s="8">
        <v>11642</v>
      </c>
      <c r="G48" s="8">
        <v>8863</v>
      </c>
      <c r="H48" s="4">
        <f t="shared" si="18"/>
        <v>-2800</v>
      </c>
      <c r="I48" s="8">
        <v>6565</v>
      </c>
      <c r="J48" s="8">
        <v>6456</v>
      </c>
      <c r="K48" s="9">
        <f t="shared" si="13"/>
        <v>-100</v>
      </c>
      <c r="L48" s="8">
        <v>0</v>
      </c>
      <c r="M48" s="8">
        <v>1189</v>
      </c>
      <c r="N48" s="7">
        <f t="shared" si="16"/>
        <v>1200</v>
      </c>
      <c r="O48" s="21">
        <v>48582.16</v>
      </c>
      <c r="P48" s="3">
        <v>25508.38</v>
      </c>
      <c r="Q48" s="2">
        <f t="shared" si="19"/>
        <v>-23100</v>
      </c>
      <c r="R48" s="3">
        <v>12802.38</v>
      </c>
      <c r="S48" s="3">
        <v>4206.18</v>
      </c>
      <c r="T48" s="2">
        <f t="shared" si="14"/>
        <v>-8600</v>
      </c>
      <c r="U48" s="3">
        <v>4260.38</v>
      </c>
      <c r="V48" s="3">
        <v>3113.19</v>
      </c>
      <c r="W48" s="2">
        <f t="shared" si="15"/>
        <v>-1100</v>
      </c>
      <c r="X48" s="3">
        <f>318.47+3795.05</f>
        <v>4113.5200000000004</v>
      </c>
      <c r="Y48" s="3">
        <f>199.87+109.87+2529.41</f>
        <v>2839.1499999999996</v>
      </c>
      <c r="Z48" s="2">
        <f t="shared" si="20"/>
        <v>-1300</v>
      </c>
      <c r="AA48" s="2"/>
      <c r="AB48" s="2"/>
      <c r="AC48" s="2">
        <f t="shared" si="21"/>
        <v>0</v>
      </c>
      <c r="AD48" s="2">
        <v>0</v>
      </c>
      <c r="AE48" s="2">
        <v>0</v>
      </c>
      <c r="AF48" s="2">
        <f t="shared" si="22"/>
        <v>0</v>
      </c>
      <c r="AG48" s="6">
        <f t="shared" si="23"/>
        <v>69758.44</v>
      </c>
      <c r="AH48" s="5">
        <f t="shared" si="24"/>
        <v>35666.9</v>
      </c>
      <c r="AI48" s="7">
        <f t="shared" si="25"/>
        <v>-34100</v>
      </c>
    </row>
    <row r="49" spans="1:35" x14ac:dyDescent="0.2">
      <c r="A49" s="11">
        <v>232</v>
      </c>
      <c r="B49" s="10" t="s">
        <v>66</v>
      </c>
      <c r="C49" s="8">
        <v>424</v>
      </c>
      <c r="D49" s="8">
        <v>187</v>
      </c>
      <c r="E49" s="7">
        <f t="shared" si="17"/>
        <v>-200</v>
      </c>
      <c r="F49" s="8">
        <v>4579</v>
      </c>
      <c r="G49" s="8">
        <v>4146</v>
      </c>
      <c r="H49" s="4">
        <f t="shared" si="18"/>
        <v>-400</v>
      </c>
      <c r="I49" s="8">
        <v>6865</v>
      </c>
      <c r="J49" s="8">
        <v>7725</v>
      </c>
      <c r="K49" s="9">
        <f t="shared" si="13"/>
        <v>900</v>
      </c>
      <c r="L49" s="8">
        <v>0</v>
      </c>
      <c r="M49" s="8">
        <v>0</v>
      </c>
      <c r="N49" s="7">
        <f t="shared" si="16"/>
        <v>0</v>
      </c>
      <c r="O49" s="21">
        <v>6748.56</v>
      </c>
      <c r="P49" s="3">
        <v>11940.64</v>
      </c>
      <c r="Q49" s="2">
        <f t="shared" si="19"/>
        <v>5200</v>
      </c>
      <c r="R49" s="3">
        <v>133.76</v>
      </c>
      <c r="S49" s="3">
        <v>77.849999999999994</v>
      </c>
      <c r="T49" s="2">
        <f t="shared" si="14"/>
        <v>-100</v>
      </c>
      <c r="U49" s="3">
        <v>53.68</v>
      </c>
      <c r="V49" s="3">
        <v>30.2</v>
      </c>
      <c r="W49" s="2">
        <f t="shared" si="15"/>
        <v>0</v>
      </c>
      <c r="X49" s="3">
        <v>400.98</v>
      </c>
      <c r="Y49" s="3">
        <f>101.68+927.44</f>
        <v>1029.1200000000001</v>
      </c>
      <c r="Z49" s="2">
        <f t="shared" si="20"/>
        <v>600</v>
      </c>
      <c r="AA49" s="2"/>
      <c r="AB49" s="2"/>
      <c r="AC49" s="2">
        <f t="shared" si="21"/>
        <v>0</v>
      </c>
      <c r="AD49" s="2">
        <v>0</v>
      </c>
      <c r="AE49" s="2">
        <v>0</v>
      </c>
      <c r="AF49" s="2">
        <f t="shared" si="22"/>
        <v>0</v>
      </c>
      <c r="AG49" s="6">
        <f t="shared" si="23"/>
        <v>7336.9800000000014</v>
      </c>
      <c r="AH49" s="5">
        <f t="shared" si="24"/>
        <v>13077.810000000001</v>
      </c>
      <c r="AI49" s="7">
        <f t="shared" si="25"/>
        <v>5700</v>
      </c>
    </row>
    <row r="50" spans="1:35" x14ac:dyDescent="0.2">
      <c r="A50" s="11">
        <v>240</v>
      </c>
      <c r="B50" s="10" t="s">
        <v>65</v>
      </c>
      <c r="C50" s="8">
        <v>14432</v>
      </c>
      <c r="D50" s="8">
        <v>12238</v>
      </c>
      <c r="E50" s="7">
        <f t="shared" si="17"/>
        <v>-2200</v>
      </c>
      <c r="F50" s="8">
        <v>104206</v>
      </c>
      <c r="G50" s="8">
        <v>98413</v>
      </c>
      <c r="H50" s="4">
        <f t="shared" si="18"/>
        <v>-5800</v>
      </c>
      <c r="I50" s="8">
        <v>83392</v>
      </c>
      <c r="J50" s="8">
        <v>103659</v>
      </c>
      <c r="K50" s="9">
        <f t="shared" si="13"/>
        <v>20300</v>
      </c>
      <c r="L50" s="8">
        <v>472116</v>
      </c>
      <c r="M50" s="8">
        <f>-108900+428313</f>
        <v>319413</v>
      </c>
      <c r="N50" s="7">
        <f t="shared" si="16"/>
        <v>-152700</v>
      </c>
      <c r="O50" s="21">
        <v>23101.35</v>
      </c>
      <c r="P50" s="3">
        <v>82091.55</v>
      </c>
      <c r="Q50" s="2">
        <f t="shared" si="19"/>
        <v>59000</v>
      </c>
      <c r="R50" s="3">
        <v>26257.95</v>
      </c>
      <c r="S50" s="3">
        <v>15235.61</v>
      </c>
      <c r="T50" s="2">
        <f t="shared" si="14"/>
        <v>-11000</v>
      </c>
      <c r="U50" s="3">
        <v>2628.23</v>
      </c>
      <c r="V50" s="3">
        <v>1279.25</v>
      </c>
      <c r="W50" s="2">
        <f t="shared" si="15"/>
        <v>-1300</v>
      </c>
      <c r="X50" s="3">
        <f>1316.99+3005.49</f>
        <v>4322.4799999999996</v>
      </c>
      <c r="Y50" s="3">
        <f>1756.56+915.28+7730.65</f>
        <v>10402.49</v>
      </c>
      <c r="Z50" s="2">
        <f t="shared" si="20"/>
        <v>6100</v>
      </c>
      <c r="AA50" s="2"/>
      <c r="AB50" s="2"/>
      <c r="AC50" s="2">
        <f t="shared" si="21"/>
        <v>0</v>
      </c>
      <c r="AD50" s="2">
        <v>0</v>
      </c>
      <c r="AE50" s="2">
        <v>0</v>
      </c>
      <c r="AF50" s="2">
        <f t="shared" si="22"/>
        <v>0</v>
      </c>
      <c r="AG50" s="6">
        <f t="shared" si="23"/>
        <v>56310.010000000009</v>
      </c>
      <c r="AH50" s="5">
        <f t="shared" si="24"/>
        <v>109008.90000000001</v>
      </c>
      <c r="AI50" s="7">
        <f t="shared" si="25"/>
        <v>52800</v>
      </c>
    </row>
    <row r="51" spans="1:35" x14ac:dyDescent="0.2">
      <c r="A51" s="11">
        <v>245</v>
      </c>
      <c r="B51" s="10" t="s">
        <v>64</v>
      </c>
      <c r="C51" s="8">
        <v>3100</v>
      </c>
      <c r="D51" s="8">
        <v>2130</v>
      </c>
      <c r="E51" s="7">
        <f t="shared" si="17"/>
        <v>-1000</v>
      </c>
      <c r="F51" s="8">
        <v>127058</v>
      </c>
      <c r="G51" s="8">
        <v>104838</v>
      </c>
      <c r="H51" s="4">
        <f t="shared" si="18"/>
        <v>-22200</v>
      </c>
      <c r="I51" s="8">
        <v>64123</v>
      </c>
      <c r="J51" s="8">
        <v>66581</v>
      </c>
      <c r="K51" s="9">
        <f t="shared" si="13"/>
        <v>2500</v>
      </c>
      <c r="L51" s="8">
        <v>932710</v>
      </c>
      <c r="M51" s="8">
        <v>956361</v>
      </c>
      <c r="N51" s="7">
        <f t="shared" si="16"/>
        <v>23700</v>
      </c>
      <c r="O51" s="21">
        <v>75581.11</v>
      </c>
      <c r="P51" s="3">
        <v>68539.06</v>
      </c>
      <c r="Q51" s="2">
        <f t="shared" si="19"/>
        <v>-7000</v>
      </c>
      <c r="R51" s="3">
        <v>5637.68</v>
      </c>
      <c r="S51" s="3">
        <v>3279.23</v>
      </c>
      <c r="T51" s="2">
        <f t="shared" si="14"/>
        <v>-2400</v>
      </c>
      <c r="U51" s="3">
        <v>2979.16</v>
      </c>
      <c r="V51" s="3">
        <v>1721.53</v>
      </c>
      <c r="W51" s="2">
        <f t="shared" si="15"/>
        <v>-1300</v>
      </c>
      <c r="X51" s="3">
        <v>4867.6400000000003</v>
      </c>
      <c r="Y51" s="3">
        <f>1073.9+5695.33</f>
        <v>6769.23</v>
      </c>
      <c r="Z51" s="2">
        <f t="shared" si="20"/>
        <v>1900</v>
      </c>
      <c r="AA51" s="2"/>
      <c r="AB51" s="2"/>
      <c r="AC51" s="2">
        <f t="shared" si="21"/>
        <v>0</v>
      </c>
      <c r="AD51" s="2">
        <v>0</v>
      </c>
      <c r="AE51" s="2">
        <v>0</v>
      </c>
      <c r="AF51" s="2">
        <f t="shared" si="22"/>
        <v>0</v>
      </c>
      <c r="AG51" s="6">
        <f t="shared" si="23"/>
        <v>89065.590000000011</v>
      </c>
      <c r="AH51" s="5">
        <f t="shared" si="24"/>
        <v>80309.049999999988</v>
      </c>
      <c r="AI51" s="7">
        <f t="shared" si="25"/>
        <v>-8800</v>
      </c>
    </row>
    <row r="52" spans="1:35" x14ac:dyDescent="0.2">
      <c r="A52" s="11">
        <v>250</v>
      </c>
      <c r="B52" s="10" t="s">
        <v>63</v>
      </c>
      <c r="C52" s="8">
        <v>436</v>
      </c>
      <c r="D52" s="8">
        <v>277</v>
      </c>
      <c r="E52" s="7">
        <f t="shared" si="17"/>
        <v>-200</v>
      </c>
      <c r="F52" s="8">
        <v>14876</v>
      </c>
      <c r="G52" s="8">
        <v>14141</v>
      </c>
      <c r="H52" s="4">
        <f t="shared" si="18"/>
        <v>-700</v>
      </c>
      <c r="I52" s="8">
        <v>9827</v>
      </c>
      <c r="J52" s="8">
        <v>11665</v>
      </c>
      <c r="K52" s="9">
        <f t="shared" si="13"/>
        <v>1800</v>
      </c>
      <c r="L52" s="8">
        <v>473065</v>
      </c>
      <c r="M52" s="8">
        <v>482996</v>
      </c>
      <c r="N52" s="7">
        <f t="shared" si="16"/>
        <v>9900</v>
      </c>
      <c r="O52" s="21">
        <v>3836.64</v>
      </c>
      <c r="P52" s="3">
        <v>10216.299999999999</v>
      </c>
      <c r="Q52" s="2">
        <f t="shared" si="19"/>
        <v>6400</v>
      </c>
      <c r="R52" s="3">
        <v>533.41</v>
      </c>
      <c r="S52" s="3">
        <v>310.45999999999998</v>
      </c>
      <c r="T52" s="2">
        <f t="shared" si="14"/>
        <v>-200</v>
      </c>
      <c r="U52" s="3">
        <v>268.39</v>
      </c>
      <c r="V52" s="3">
        <v>151.01</v>
      </c>
      <c r="W52" s="2">
        <f t="shared" si="15"/>
        <v>-100</v>
      </c>
      <c r="X52" s="3">
        <v>268.16000000000003</v>
      </c>
      <c r="Y52" s="3">
        <f>170.67+828.07</f>
        <v>998.74</v>
      </c>
      <c r="Z52" s="2">
        <f t="shared" si="20"/>
        <v>700</v>
      </c>
      <c r="AA52" s="2"/>
      <c r="AB52" s="2"/>
      <c r="AC52" s="2">
        <f t="shared" si="21"/>
        <v>0</v>
      </c>
      <c r="AD52" s="2">
        <v>0</v>
      </c>
      <c r="AE52" s="2">
        <v>0</v>
      </c>
      <c r="AF52" s="2">
        <f t="shared" si="22"/>
        <v>0</v>
      </c>
      <c r="AG52" s="6">
        <f t="shared" si="23"/>
        <v>4906.6000000000004</v>
      </c>
      <c r="AH52" s="5">
        <f t="shared" si="24"/>
        <v>11676.509999999998</v>
      </c>
      <c r="AI52" s="7">
        <f t="shared" si="25"/>
        <v>6800</v>
      </c>
    </row>
    <row r="53" spans="1:35" x14ac:dyDescent="0.2">
      <c r="A53" s="11">
        <v>260</v>
      </c>
      <c r="B53" s="10" t="s">
        <v>62</v>
      </c>
      <c r="C53" s="8">
        <v>11229</v>
      </c>
      <c r="D53" s="8">
        <v>10185</v>
      </c>
      <c r="E53" s="7">
        <f t="shared" si="17"/>
        <v>-1000</v>
      </c>
      <c r="F53" s="8">
        <v>327048</v>
      </c>
      <c r="G53" s="8">
        <v>275844</v>
      </c>
      <c r="H53" s="4">
        <f t="shared" si="18"/>
        <v>-51200</v>
      </c>
      <c r="I53" s="8">
        <v>137538</v>
      </c>
      <c r="J53" s="8">
        <v>144671</v>
      </c>
      <c r="K53" s="9">
        <f t="shared" si="13"/>
        <v>7100</v>
      </c>
      <c r="L53" s="8">
        <v>298369</v>
      </c>
      <c r="M53" s="8">
        <v>304345</v>
      </c>
      <c r="N53" s="7">
        <f t="shared" si="16"/>
        <v>6000</v>
      </c>
      <c r="O53" s="21">
        <v>132208.82999999999</v>
      </c>
      <c r="P53" s="3">
        <v>326602.46000000002</v>
      </c>
      <c r="Q53" s="2">
        <f t="shared" si="19"/>
        <v>194400</v>
      </c>
      <c r="R53" s="3">
        <v>74348.039999999994</v>
      </c>
      <c r="S53" s="3">
        <v>42567.58</v>
      </c>
      <c r="T53" s="2">
        <f t="shared" si="14"/>
        <v>-31800</v>
      </c>
      <c r="U53" s="3">
        <v>50202.1</v>
      </c>
      <c r="V53" s="3">
        <v>48750.37</v>
      </c>
      <c r="W53" s="2">
        <f t="shared" si="15"/>
        <v>-1500</v>
      </c>
      <c r="X53" s="3">
        <f>3615.34+14843.7</f>
        <v>18459.04</v>
      </c>
      <c r="Y53" s="3">
        <f>4740.2+1887.9+33109.56</f>
        <v>39737.659999999996</v>
      </c>
      <c r="Z53" s="2">
        <f t="shared" si="20"/>
        <v>21300</v>
      </c>
      <c r="AA53" s="2"/>
      <c r="AB53" s="2">
        <v>9215.2800000000007</v>
      </c>
      <c r="AC53" s="2">
        <f t="shared" si="21"/>
        <v>9200</v>
      </c>
      <c r="AD53" s="2">
        <v>0</v>
      </c>
      <c r="AE53" s="2">
        <v>0</v>
      </c>
      <c r="AF53" s="2">
        <f t="shared" si="22"/>
        <v>0</v>
      </c>
      <c r="AG53" s="6">
        <f t="shared" si="23"/>
        <v>275218.01</v>
      </c>
      <c r="AH53" s="5">
        <f t="shared" si="24"/>
        <v>466873.35000000003</v>
      </c>
      <c r="AI53" s="7">
        <f t="shared" si="25"/>
        <v>191600</v>
      </c>
    </row>
    <row r="54" spans="1:35" x14ac:dyDescent="0.2">
      <c r="A54" s="11">
        <v>270</v>
      </c>
      <c r="B54" s="10" t="s">
        <v>61</v>
      </c>
      <c r="C54" s="8">
        <v>274560</v>
      </c>
      <c r="D54" s="8">
        <v>266404</v>
      </c>
      <c r="E54" s="7">
        <f t="shared" si="17"/>
        <v>-8200</v>
      </c>
      <c r="F54" s="8">
        <v>1292194</v>
      </c>
      <c r="G54" s="8">
        <v>1296583</v>
      </c>
      <c r="H54" s="4">
        <f t="shared" si="18"/>
        <v>4400</v>
      </c>
      <c r="I54" s="8">
        <v>506983</v>
      </c>
      <c r="J54" s="8">
        <v>545234</v>
      </c>
      <c r="K54" s="9">
        <f t="shared" si="13"/>
        <v>38300</v>
      </c>
      <c r="L54" s="8">
        <v>3768682</v>
      </c>
      <c r="M54" s="8">
        <v>4143970</v>
      </c>
      <c r="N54" s="7">
        <f t="shared" si="16"/>
        <v>375300</v>
      </c>
      <c r="O54" s="21">
        <f>11165.21+41416.87+38309.7+48319.59+7114.24+26509.61+29771.56+34157.06+60258.18+64150.49+44729.12+44547.17+71204.99+890.74+367.89+30065.2+34746.48+8824.55+2543.26+49959.37</f>
        <v>649051.27999999991</v>
      </c>
      <c r="P54" s="3">
        <v>547018.98</v>
      </c>
      <c r="Q54" s="2">
        <f t="shared" si="19"/>
        <v>-102000</v>
      </c>
      <c r="R54" s="3">
        <f>287.31+37690.73+11666.26+30062.44+11457.28+15084.63+473.4+3301.76+2629.33+2568.34+127.56+2713.47+5508.8+1901.62+554.8+560.34+3671.08+2613.04+586.9+3356.03</f>
        <v>136815.12</v>
      </c>
      <c r="S54" s="3">
        <f>167.22+21999.51+6819.79+17575.61+6686.87+8779.68+275.52+1926.55+1533.17+5915.8+74.24+1584.47+3217.75+1106.79+322.9+326.13+2136.67+1520.86+341.58+1953.3</f>
        <v>84264.410000000018</v>
      </c>
      <c r="T54" s="2">
        <f t="shared" si="14"/>
        <v>-52600</v>
      </c>
      <c r="U54" s="3">
        <f>107.36+217.39+1145.13+295.22+616.02+134.19+483.11+1825.08+1073.56+1422.49+2254.5+1234.61+1503.01+1856.27</f>
        <v>14167.94</v>
      </c>
      <c r="V54" s="3">
        <f>60.4+105.7+666.33+135.91+473.27+75.5+362.42+1087.28+634.24+785.26+1268.49+679.55+845.66+1014.22</f>
        <v>8194.23</v>
      </c>
      <c r="W54" s="2">
        <f t="shared" si="15"/>
        <v>-6000</v>
      </c>
      <c r="X54" s="3">
        <f>668.3+12.57+1384.34+4639.55+659.38+2906.27+1740.33+4567.02+404.75+1081.41+872.07+1587.87+106.63+2017.54+62.07+2188.75+3714.35+3846.37+113.28+2814.12+252.52+2980.72+4333.74+83.57+53.66+1950.36+2159.82+510.16+180.96+3082.26</f>
        <v>50974.740000000005</v>
      </c>
      <c r="Y54" s="3">
        <f>6888.68+3690.6+56027.69</f>
        <v>66606.97</v>
      </c>
      <c r="Z54" s="2">
        <f t="shared" si="20"/>
        <v>15600</v>
      </c>
      <c r="AA54" s="2"/>
      <c r="AB54" s="2">
        <f>4982.68+4982.68+4982.68+4982.68+4982.68+4982.68+4982.68+4982.68+14197.87+4982.68+4982.68+4982.68+4982.68+4982.68+4982.68</f>
        <v>83955.389999999985</v>
      </c>
      <c r="AC54" s="2">
        <f t="shared" si="21"/>
        <v>84000</v>
      </c>
      <c r="AD54" s="2">
        <v>0</v>
      </c>
      <c r="AE54" s="2">
        <v>0</v>
      </c>
      <c r="AF54" s="2">
        <f t="shared" si="22"/>
        <v>0</v>
      </c>
      <c r="AG54" s="6">
        <f t="shared" si="23"/>
        <v>851009.07999999984</v>
      </c>
      <c r="AH54" s="5">
        <f t="shared" si="24"/>
        <v>790039.98</v>
      </c>
      <c r="AI54" s="7">
        <f t="shared" si="25"/>
        <v>-61000</v>
      </c>
    </row>
    <row r="55" spans="1:35" x14ac:dyDescent="0.2">
      <c r="A55" s="11">
        <v>280</v>
      </c>
      <c r="B55" s="10" t="s">
        <v>60</v>
      </c>
      <c r="C55" s="8">
        <v>1131</v>
      </c>
      <c r="D55" s="8">
        <v>744</v>
      </c>
      <c r="E55" s="7">
        <f t="shared" si="17"/>
        <v>-400</v>
      </c>
      <c r="F55" s="8">
        <v>12167</v>
      </c>
      <c r="G55" s="8">
        <v>9545</v>
      </c>
      <c r="H55" s="4">
        <f t="shared" si="18"/>
        <v>-2600</v>
      </c>
      <c r="I55" s="8">
        <v>11920</v>
      </c>
      <c r="J55" s="8">
        <v>11906</v>
      </c>
      <c r="K55" s="9">
        <f t="shared" si="13"/>
        <v>0</v>
      </c>
      <c r="L55" s="8">
        <v>676703</v>
      </c>
      <c r="M55" s="8">
        <v>630316</v>
      </c>
      <c r="N55" s="7">
        <f t="shared" si="16"/>
        <v>-46400</v>
      </c>
      <c r="O55" s="21">
        <v>2652.62</v>
      </c>
      <c r="P55" s="3">
        <v>17411.740000000002</v>
      </c>
      <c r="Q55" s="2">
        <f t="shared" si="19"/>
        <v>14800</v>
      </c>
      <c r="R55" s="3">
        <v>908.75</v>
      </c>
      <c r="S55" s="3">
        <v>528.91</v>
      </c>
      <c r="T55" s="2">
        <f t="shared" si="14"/>
        <v>-400</v>
      </c>
      <c r="U55" s="3">
        <v>562.83000000000004</v>
      </c>
      <c r="V55" s="3">
        <v>196.31</v>
      </c>
      <c r="W55" s="2">
        <f t="shared" si="15"/>
        <v>-400</v>
      </c>
      <c r="X55" s="3">
        <v>238.43</v>
      </c>
      <c r="Y55" s="3">
        <f>167.18+1397.17</f>
        <v>1564.3500000000001</v>
      </c>
      <c r="Z55" s="2">
        <f t="shared" si="20"/>
        <v>1300</v>
      </c>
      <c r="AA55" s="2"/>
      <c r="AB55" s="2"/>
      <c r="AC55" s="2">
        <f t="shared" si="21"/>
        <v>0</v>
      </c>
      <c r="AD55" s="2">
        <v>0</v>
      </c>
      <c r="AE55" s="2">
        <v>0</v>
      </c>
      <c r="AF55" s="2">
        <f t="shared" si="22"/>
        <v>0</v>
      </c>
      <c r="AG55" s="6">
        <f t="shared" si="23"/>
        <v>4362.63</v>
      </c>
      <c r="AH55" s="5">
        <f t="shared" si="24"/>
        <v>19701.310000000001</v>
      </c>
      <c r="AI55" s="7">
        <f t="shared" si="25"/>
        <v>15300</v>
      </c>
    </row>
    <row r="56" spans="1:35" x14ac:dyDescent="0.2">
      <c r="A56" s="11">
        <v>285</v>
      </c>
      <c r="B56" s="1" t="s">
        <v>59</v>
      </c>
      <c r="C56" s="8">
        <v>3857</v>
      </c>
      <c r="D56" s="8">
        <v>3059</v>
      </c>
      <c r="E56" s="7">
        <f t="shared" si="17"/>
        <v>-800</v>
      </c>
      <c r="F56" s="8">
        <v>62916</v>
      </c>
      <c r="G56" s="8">
        <v>55608</v>
      </c>
      <c r="H56" s="4">
        <f t="shared" si="18"/>
        <v>-7300</v>
      </c>
      <c r="I56" s="8">
        <v>68471</v>
      </c>
      <c r="J56" s="8">
        <v>72676</v>
      </c>
      <c r="K56" s="9">
        <f t="shared" si="13"/>
        <v>4200</v>
      </c>
      <c r="L56" s="8">
        <v>121070</v>
      </c>
      <c r="M56" s="8">
        <v>120976</v>
      </c>
      <c r="N56" s="7">
        <f t="shared" si="16"/>
        <v>-100</v>
      </c>
      <c r="O56" s="21">
        <v>33233.25</v>
      </c>
      <c r="P56" s="3">
        <v>74215.210000000006</v>
      </c>
      <c r="Q56" s="2">
        <f t="shared" si="19"/>
        <v>41000</v>
      </c>
      <c r="R56" s="3">
        <v>34355.279999999999</v>
      </c>
      <c r="S56" s="3">
        <v>20121.91</v>
      </c>
      <c r="T56" s="2">
        <f t="shared" si="14"/>
        <v>-14200</v>
      </c>
      <c r="U56" s="3">
        <v>1679.91</v>
      </c>
      <c r="V56" s="3">
        <v>1144.22</v>
      </c>
      <c r="W56" s="2">
        <f t="shared" si="15"/>
        <v>-500</v>
      </c>
      <c r="X56" s="3">
        <f>1942.71+4004.53</f>
        <v>5947.24</v>
      </c>
      <c r="Y56" s="3">
        <f>2596.19+763.49+7924.95</f>
        <v>11284.630000000001</v>
      </c>
      <c r="Z56" s="2">
        <f t="shared" si="20"/>
        <v>5300</v>
      </c>
      <c r="AA56" s="2"/>
      <c r="AB56" s="2">
        <v>4982.68</v>
      </c>
      <c r="AC56" s="2">
        <f t="shared" si="21"/>
        <v>5000</v>
      </c>
      <c r="AD56" s="2">
        <v>0</v>
      </c>
      <c r="AE56" s="2">
        <v>0</v>
      </c>
      <c r="AF56" s="2">
        <f t="shared" si="22"/>
        <v>0</v>
      </c>
      <c r="AG56" s="6">
        <f t="shared" si="23"/>
        <v>75215.680000000008</v>
      </c>
      <c r="AH56" s="5">
        <f t="shared" si="24"/>
        <v>111748.65000000002</v>
      </c>
      <c r="AI56" s="7">
        <f t="shared" si="25"/>
        <v>36600</v>
      </c>
    </row>
    <row r="57" spans="1:35" x14ac:dyDescent="0.2">
      <c r="A57" s="11">
        <v>290</v>
      </c>
      <c r="B57" s="10" t="s">
        <v>58</v>
      </c>
      <c r="C57" s="8">
        <v>20291</v>
      </c>
      <c r="D57" s="8">
        <v>17600</v>
      </c>
      <c r="E57" s="7">
        <f t="shared" si="17"/>
        <v>-2700</v>
      </c>
      <c r="F57" s="8">
        <v>297394</v>
      </c>
      <c r="G57" s="8">
        <v>290107</v>
      </c>
      <c r="H57" s="4">
        <f t="shared" si="18"/>
        <v>-7300</v>
      </c>
      <c r="I57" s="8">
        <v>274912</v>
      </c>
      <c r="J57" s="8">
        <v>306521</v>
      </c>
      <c r="K57" s="9">
        <f t="shared" ref="K57:K88" si="26">ROUND(+J57-I57,-2)</f>
        <v>31600</v>
      </c>
      <c r="L57" s="8">
        <v>679097</v>
      </c>
      <c r="M57" s="8">
        <f>-108900+764878</f>
        <v>655978</v>
      </c>
      <c r="N57" s="7">
        <f t="shared" si="16"/>
        <v>-23100</v>
      </c>
      <c r="O57" s="21">
        <f>2206538.23+19615.98</f>
        <v>2226154.21</v>
      </c>
      <c r="P57" s="3">
        <f>1272377.6+4419.06</f>
        <v>1276796.6600000001</v>
      </c>
      <c r="Q57" s="2">
        <f t="shared" si="19"/>
        <v>-949400</v>
      </c>
      <c r="R57" s="3">
        <f>195322.05+2368.54</f>
        <v>197690.59</v>
      </c>
      <c r="S57" s="3">
        <f>130016.05+1383.32</f>
        <v>131399.37</v>
      </c>
      <c r="T57" s="2">
        <f t="shared" ref="T57:T88" si="27">ROUND(S57-R57,-2)</f>
        <v>-66300</v>
      </c>
      <c r="U57" s="3">
        <f>381804.66+607.79</f>
        <v>382412.44999999995</v>
      </c>
      <c r="V57" s="3">
        <f>222667.02+583.69</f>
        <v>223250.71</v>
      </c>
      <c r="W57" s="2">
        <f t="shared" ref="W57:W88" si="28">ROUND(V57-U57,-2)</f>
        <v>-159200</v>
      </c>
      <c r="X57" s="3">
        <f>8199.04+160928.67+118.2+1306.1</f>
        <v>170552.01000000004</v>
      </c>
      <c r="Y57" s="3">
        <f>10934.57+157.56+2197+40.58+125748.95+502.57</f>
        <v>139581.23000000001</v>
      </c>
      <c r="Z57" s="2">
        <f t="shared" si="20"/>
        <v>-31000</v>
      </c>
      <c r="AA57" s="2"/>
      <c r="AB57" s="2">
        <f>9215.19</f>
        <v>9215.19</v>
      </c>
      <c r="AC57" s="2">
        <f t="shared" si="21"/>
        <v>9200</v>
      </c>
      <c r="AD57" s="2">
        <v>0</v>
      </c>
      <c r="AE57" s="2">
        <v>0</v>
      </c>
      <c r="AF57" s="2">
        <f t="shared" si="22"/>
        <v>0</v>
      </c>
      <c r="AG57" s="6">
        <f t="shared" si="23"/>
        <v>2976809.2600000002</v>
      </c>
      <c r="AH57" s="5">
        <f t="shared" si="24"/>
        <v>1780243.1600000001</v>
      </c>
      <c r="AI57" s="7">
        <f t="shared" si="25"/>
        <v>-1196700</v>
      </c>
    </row>
    <row r="58" spans="1:35" x14ac:dyDescent="0.2">
      <c r="A58" s="11">
        <v>300</v>
      </c>
      <c r="B58" s="10" t="s">
        <v>57</v>
      </c>
      <c r="C58" s="8">
        <v>2756</v>
      </c>
      <c r="D58" s="8">
        <v>2087</v>
      </c>
      <c r="E58" s="7">
        <f t="shared" si="17"/>
        <v>-700</v>
      </c>
      <c r="F58" s="8">
        <v>23219</v>
      </c>
      <c r="G58" s="8">
        <v>19842</v>
      </c>
      <c r="H58" s="4">
        <f t="shared" si="18"/>
        <v>-3400</v>
      </c>
      <c r="I58" s="8">
        <v>21642</v>
      </c>
      <c r="J58" s="8">
        <v>22940</v>
      </c>
      <c r="K58" s="9">
        <f t="shared" si="26"/>
        <v>1300</v>
      </c>
      <c r="L58" s="8">
        <v>124665</v>
      </c>
      <c r="M58" s="8">
        <v>120538</v>
      </c>
      <c r="N58" s="7">
        <f t="shared" si="16"/>
        <v>-4100</v>
      </c>
      <c r="O58" s="21">
        <v>28288.55</v>
      </c>
      <c r="P58" s="3">
        <v>21941.17</v>
      </c>
      <c r="Q58" s="2">
        <f t="shared" si="19"/>
        <v>-6300</v>
      </c>
      <c r="R58" s="3">
        <v>926.87</v>
      </c>
      <c r="S58" s="3">
        <v>808.55</v>
      </c>
      <c r="T58" s="2">
        <f t="shared" si="27"/>
        <v>-100</v>
      </c>
      <c r="U58" s="3">
        <v>1004.23</v>
      </c>
      <c r="V58" s="3">
        <v>558.74</v>
      </c>
      <c r="W58" s="2">
        <f t="shared" si="28"/>
        <v>-400</v>
      </c>
      <c r="X58" s="3">
        <v>1747.05</v>
      </c>
      <c r="Y58" s="3">
        <f>216.27+1795.66</f>
        <v>2011.93</v>
      </c>
      <c r="Z58" s="2">
        <f t="shared" si="20"/>
        <v>300</v>
      </c>
      <c r="AA58" s="2"/>
      <c r="AB58" s="2"/>
      <c r="AC58" s="2">
        <f t="shared" si="21"/>
        <v>0</v>
      </c>
      <c r="AD58" s="2">
        <v>0</v>
      </c>
      <c r="AE58" s="2">
        <v>0</v>
      </c>
      <c r="AF58" s="2">
        <f t="shared" si="22"/>
        <v>0</v>
      </c>
      <c r="AG58" s="6">
        <f t="shared" si="23"/>
        <v>31966.699999999997</v>
      </c>
      <c r="AH58" s="5">
        <f t="shared" si="24"/>
        <v>25320.39</v>
      </c>
      <c r="AI58" s="7">
        <f t="shared" si="25"/>
        <v>-6500</v>
      </c>
    </row>
    <row r="59" spans="1:35" x14ac:dyDescent="0.2">
      <c r="A59" s="11">
        <v>320</v>
      </c>
      <c r="B59" s="10" t="s">
        <v>56</v>
      </c>
      <c r="C59" s="8">
        <v>3736</v>
      </c>
      <c r="D59" s="8">
        <v>3506</v>
      </c>
      <c r="E59" s="7">
        <f t="shared" si="17"/>
        <v>-200</v>
      </c>
      <c r="F59" s="8">
        <v>171373</v>
      </c>
      <c r="G59" s="8">
        <v>145942</v>
      </c>
      <c r="H59" s="4">
        <f t="shared" si="18"/>
        <v>-25400</v>
      </c>
      <c r="I59" s="8">
        <v>73754</v>
      </c>
      <c r="J59" s="8">
        <v>82930</v>
      </c>
      <c r="K59" s="9">
        <f t="shared" si="26"/>
        <v>9200</v>
      </c>
      <c r="L59" s="8">
        <v>339587</v>
      </c>
      <c r="M59" s="8">
        <v>353557</v>
      </c>
      <c r="N59" s="7">
        <f t="shared" ref="N59:N90" si="29">ROUND(+M59-L59,-2)</f>
        <v>14000</v>
      </c>
      <c r="O59" s="21">
        <v>72325.740000000005</v>
      </c>
      <c r="P59" s="3">
        <v>154709.72</v>
      </c>
      <c r="Q59" s="2">
        <f t="shared" si="19"/>
        <v>82400</v>
      </c>
      <c r="R59" s="3">
        <v>29031.18</v>
      </c>
      <c r="S59" s="3">
        <v>16911.04</v>
      </c>
      <c r="T59" s="2">
        <f t="shared" si="27"/>
        <v>-12100</v>
      </c>
      <c r="U59" s="3">
        <v>20106.64</v>
      </c>
      <c r="V59" s="3">
        <v>17189.71</v>
      </c>
      <c r="W59" s="2">
        <f t="shared" si="28"/>
        <v>-2900</v>
      </c>
      <c r="X59" s="3">
        <f>1102.34+7022.03</f>
        <v>8124.37</v>
      </c>
      <c r="Y59" s="3">
        <f>1474.39+1039.6+15307.36</f>
        <v>17821.349999999999</v>
      </c>
      <c r="Z59" s="2">
        <f t="shared" si="20"/>
        <v>9700</v>
      </c>
      <c r="AA59" s="2"/>
      <c r="AB59" s="2">
        <v>9215.19</v>
      </c>
      <c r="AC59" s="2">
        <f t="shared" si="21"/>
        <v>9200</v>
      </c>
      <c r="AD59" s="2">
        <v>0</v>
      </c>
      <c r="AE59" s="2">
        <v>0</v>
      </c>
      <c r="AF59" s="2">
        <f t="shared" si="22"/>
        <v>0</v>
      </c>
      <c r="AG59" s="6">
        <f t="shared" si="23"/>
        <v>129587.93000000001</v>
      </c>
      <c r="AH59" s="5">
        <f t="shared" si="24"/>
        <v>215847.01</v>
      </c>
      <c r="AI59" s="7">
        <f t="shared" si="25"/>
        <v>86300</v>
      </c>
    </row>
    <row r="60" spans="1:35" x14ac:dyDescent="0.2">
      <c r="A60" s="11">
        <v>322</v>
      </c>
      <c r="B60" s="10" t="s">
        <v>55</v>
      </c>
      <c r="C60" s="8">
        <v>90</v>
      </c>
      <c r="D60" s="8">
        <v>74</v>
      </c>
      <c r="E60" s="7">
        <f t="shared" si="17"/>
        <v>0</v>
      </c>
      <c r="F60" s="8">
        <v>6036</v>
      </c>
      <c r="G60" s="8">
        <v>5970</v>
      </c>
      <c r="H60" s="4">
        <f t="shared" si="18"/>
        <v>-100</v>
      </c>
      <c r="I60" s="8">
        <v>2099</v>
      </c>
      <c r="J60" s="8">
        <v>2147</v>
      </c>
      <c r="K60" s="9">
        <f t="shared" si="26"/>
        <v>0</v>
      </c>
      <c r="L60" s="8">
        <v>2248</v>
      </c>
      <c r="M60" s="8">
        <v>1443</v>
      </c>
      <c r="N60" s="7">
        <f t="shared" si="29"/>
        <v>-800</v>
      </c>
      <c r="O60" s="21">
        <v>682.8</v>
      </c>
      <c r="P60" s="3">
        <v>4.93</v>
      </c>
      <c r="Q60" s="2">
        <f t="shared" si="19"/>
        <v>-700</v>
      </c>
      <c r="R60" s="3">
        <v>47.42</v>
      </c>
      <c r="S60" s="3">
        <v>24.08</v>
      </c>
      <c r="T60" s="2">
        <f t="shared" si="27"/>
        <v>0</v>
      </c>
      <c r="U60" s="3">
        <v>53.68</v>
      </c>
      <c r="V60" s="3">
        <v>30.2</v>
      </c>
      <c r="W60" s="2">
        <f t="shared" si="28"/>
        <v>0</v>
      </c>
      <c r="X60" s="3">
        <v>45.32</v>
      </c>
      <c r="Y60" s="3">
        <f>40.58+7.61</f>
        <v>48.19</v>
      </c>
      <c r="Z60" s="2">
        <f t="shared" si="20"/>
        <v>0</v>
      </c>
      <c r="AA60" s="2"/>
      <c r="AB60" s="2"/>
      <c r="AC60" s="2">
        <f t="shared" si="21"/>
        <v>0</v>
      </c>
      <c r="AD60" s="2">
        <v>0</v>
      </c>
      <c r="AE60" s="2">
        <v>0</v>
      </c>
      <c r="AF60" s="2">
        <f t="shared" si="22"/>
        <v>0</v>
      </c>
      <c r="AG60" s="6">
        <f t="shared" si="23"/>
        <v>829.21999999999991</v>
      </c>
      <c r="AH60" s="5">
        <f t="shared" si="24"/>
        <v>107.39999999999999</v>
      </c>
      <c r="AI60" s="7">
        <f t="shared" si="25"/>
        <v>-700</v>
      </c>
    </row>
    <row r="61" spans="1:35" x14ac:dyDescent="0.2">
      <c r="A61" s="11">
        <v>330</v>
      </c>
      <c r="B61" s="10" t="s">
        <v>54</v>
      </c>
      <c r="C61" s="8">
        <v>3318</v>
      </c>
      <c r="D61" s="8">
        <v>3168</v>
      </c>
      <c r="E61" s="7">
        <f t="shared" si="17"/>
        <v>-200</v>
      </c>
      <c r="F61" s="8">
        <v>223652</v>
      </c>
      <c r="G61" s="8">
        <v>219144</v>
      </c>
      <c r="H61" s="4">
        <f t="shared" si="18"/>
        <v>-4500</v>
      </c>
      <c r="I61" s="8">
        <v>94233</v>
      </c>
      <c r="J61" s="8">
        <v>102575</v>
      </c>
      <c r="K61" s="9">
        <f t="shared" si="26"/>
        <v>8300</v>
      </c>
      <c r="L61" s="8">
        <v>575452</v>
      </c>
      <c r="M61" s="8">
        <v>595871</v>
      </c>
      <c r="N61" s="7">
        <f t="shared" si="29"/>
        <v>20400</v>
      </c>
      <c r="O61" s="21">
        <f>270069.92+2082.15+15290.18</f>
        <v>287442.25</v>
      </c>
      <c r="P61" s="3">
        <v>413068.31</v>
      </c>
      <c r="Q61" s="2">
        <f t="shared" si="19"/>
        <v>125600</v>
      </c>
      <c r="R61" s="3">
        <f>52558.36</f>
        <v>52558.36</v>
      </c>
      <c r="S61" s="3">
        <v>30705.84</v>
      </c>
      <c r="T61" s="2">
        <f t="shared" si="27"/>
        <v>-21900</v>
      </c>
      <c r="U61" s="3">
        <v>16924.45</v>
      </c>
      <c r="V61" s="3">
        <v>10080.68</v>
      </c>
      <c r="W61" s="2">
        <f t="shared" si="28"/>
        <v>-6800</v>
      </c>
      <c r="X61" s="3">
        <f>2537.54+19630.15+120.37+883.95</f>
        <v>23172.010000000002</v>
      </c>
      <c r="Y61" s="3">
        <f>3384.18+1596.21+35023.27</f>
        <v>40003.659999999996</v>
      </c>
      <c r="Z61" s="2">
        <f t="shared" si="20"/>
        <v>16800</v>
      </c>
      <c r="AA61" s="2"/>
      <c r="AB61" s="2"/>
      <c r="AC61" s="2">
        <f t="shared" si="21"/>
        <v>0</v>
      </c>
      <c r="AD61" s="2">
        <v>0</v>
      </c>
      <c r="AE61" s="2">
        <v>0</v>
      </c>
      <c r="AF61" s="2">
        <f t="shared" si="22"/>
        <v>0</v>
      </c>
      <c r="AG61" s="6">
        <f t="shared" si="23"/>
        <v>380097.07</v>
      </c>
      <c r="AH61" s="5">
        <f t="shared" si="24"/>
        <v>493858.49</v>
      </c>
      <c r="AI61" s="7">
        <f t="shared" si="25"/>
        <v>113700</v>
      </c>
    </row>
    <row r="62" spans="1:35" x14ac:dyDescent="0.2">
      <c r="A62" s="11">
        <v>331</v>
      </c>
      <c r="B62" s="10" t="s">
        <v>53</v>
      </c>
      <c r="C62" s="8">
        <v>300</v>
      </c>
      <c r="D62" s="8">
        <v>230</v>
      </c>
      <c r="E62" s="7">
        <f t="shared" si="17"/>
        <v>-100</v>
      </c>
      <c r="F62" s="8">
        <v>6728</v>
      </c>
      <c r="G62" s="8">
        <v>6218</v>
      </c>
      <c r="H62" s="4">
        <f t="shared" si="18"/>
        <v>-500</v>
      </c>
      <c r="I62" s="8">
        <v>10782</v>
      </c>
      <c r="J62" s="8">
        <v>11594</v>
      </c>
      <c r="K62" s="9">
        <f t="shared" si="26"/>
        <v>800</v>
      </c>
      <c r="L62" s="8">
        <v>8076</v>
      </c>
      <c r="M62" s="8">
        <v>0</v>
      </c>
      <c r="N62" s="7">
        <f t="shared" si="29"/>
        <v>-8100</v>
      </c>
      <c r="O62" s="21">
        <v>35587.86</v>
      </c>
      <c r="P62" s="3">
        <v>30715.77</v>
      </c>
      <c r="Q62" s="2">
        <f t="shared" si="19"/>
        <v>-4900</v>
      </c>
      <c r="R62" s="3">
        <v>168.49</v>
      </c>
      <c r="S62" s="3">
        <v>98.06</v>
      </c>
      <c r="T62" s="2">
        <f t="shared" si="27"/>
        <v>-100</v>
      </c>
      <c r="U62" s="3">
        <v>1234.9100000000001</v>
      </c>
      <c r="V62" s="3">
        <v>709.75</v>
      </c>
      <c r="W62" s="2">
        <f t="shared" si="28"/>
        <v>-500</v>
      </c>
      <c r="X62" s="3">
        <v>2138.5300000000002</v>
      </c>
      <c r="Y62" s="3">
        <f>174.82+2419.56</f>
        <v>2594.38</v>
      </c>
      <c r="Z62" s="2">
        <f t="shared" si="20"/>
        <v>500</v>
      </c>
      <c r="AA62" s="2"/>
      <c r="AB62" s="2"/>
      <c r="AC62" s="2">
        <f t="shared" si="21"/>
        <v>0</v>
      </c>
      <c r="AD62" s="2">
        <v>0</v>
      </c>
      <c r="AE62" s="2">
        <v>0</v>
      </c>
      <c r="AF62" s="2">
        <f t="shared" si="22"/>
        <v>0</v>
      </c>
      <c r="AG62" s="6">
        <f t="shared" si="23"/>
        <v>39129.79</v>
      </c>
      <c r="AH62" s="5">
        <f t="shared" si="24"/>
        <v>34117.96</v>
      </c>
      <c r="AI62" s="7">
        <f t="shared" si="25"/>
        <v>-5000</v>
      </c>
    </row>
    <row r="63" spans="1:35" x14ac:dyDescent="0.2">
      <c r="A63" s="11">
        <v>332</v>
      </c>
      <c r="B63" s="10" t="s">
        <v>52</v>
      </c>
      <c r="C63" s="8">
        <v>91</v>
      </c>
      <c r="D63" s="8">
        <v>86</v>
      </c>
      <c r="E63" s="7">
        <f t="shared" si="17"/>
        <v>0</v>
      </c>
      <c r="F63" s="8">
        <v>1028</v>
      </c>
      <c r="G63" s="8">
        <v>976</v>
      </c>
      <c r="H63" s="4">
        <f t="shared" si="18"/>
        <v>-100</v>
      </c>
      <c r="I63" s="8">
        <v>1700</v>
      </c>
      <c r="J63" s="8">
        <v>1779</v>
      </c>
      <c r="K63" s="9">
        <f t="shared" si="26"/>
        <v>100</v>
      </c>
      <c r="L63" s="8">
        <v>7376</v>
      </c>
      <c r="M63" s="8">
        <v>0</v>
      </c>
      <c r="N63" s="7">
        <f t="shared" si="29"/>
        <v>-7400</v>
      </c>
      <c r="O63" s="21">
        <v>760.84</v>
      </c>
      <c r="P63" s="3">
        <v>2470.14</v>
      </c>
      <c r="Q63" s="2">
        <f t="shared" si="19"/>
        <v>1700</v>
      </c>
      <c r="R63" s="3">
        <v>78.67</v>
      </c>
      <c r="S63" s="3">
        <v>45.78</v>
      </c>
      <c r="T63" s="2">
        <f t="shared" si="27"/>
        <v>0</v>
      </c>
      <c r="U63" s="3">
        <v>26.84</v>
      </c>
      <c r="V63" s="3">
        <v>15.1</v>
      </c>
      <c r="W63" s="2">
        <f t="shared" si="28"/>
        <v>0</v>
      </c>
      <c r="X63" s="3">
        <v>50.09</v>
      </c>
      <c r="Y63" s="3">
        <f>9.36+193.9</f>
        <v>203.26</v>
      </c>
      <c r="Z63" s="2">
        <f t="shared" si="20"/>
        <v>200</v>
      </c>
      <c r="AA63" s="2"/>
      <c r="AB63" s="2"/>
      <c r="AC63" s="2">
        <f t="shared" si="21"/>
        <v>0</v>
      </c>
      <c r="AD63" s="2">
        <v>0</v>
      </c>
      <c r="AE63" s="2">
        <v>0</v>
      </c>
      <c r="AF63" s="2">
        <f t="shared" si="22"/>
        <v>0</v>
      </c>
      <c r="AG63" s="6">
        <f t="shared" si="23"/>
        <v>916.44</v>
      </c>
      <c r="AH63" s="5">
        <f t="shared" si="24"/>
        <v>2734.2799999999997</v>
      </c>
      <c r="AI63" s="7">
        <f t="shared" si="25"/>
        <v>1900</v>
      </c>
    </row>
    <row r="64" spans="1:35" x14ac:dyDescent="0.2">
      <c r="A64" s="11">
        <v>340</v>
      </c>
      <c r="B64" s="10" t="s">
        <v>51</v>
      </c>
      <c r="C64" s="8">
        <v>3386</v>
      </c>
      <c r="D64" s="8">
        <v>3186</v>
      </c>
      <c r="E64" s="7">
        <f t="shared" si="17"/>
        <v>-200</v>
      </c>
      <c r="F64" s="8">
        <v>48170</v>
      </c>
      <c r="G64" s="8">
        <v>41828</v>
      </c>
      <c r="H64" s="4">
        <f t="shared" si="18"/>
        <v>-6300</v>
      </c>
      <c r="I64" s="8">
        <v>48104</v>
      </c>
      <c r="J64" s="8">
        <v>51110</v>
      </c>
      <c r="K64" s="9">
        <f t="shared" si="26"/>
        <v>3000</v>
      </c>
      <c r="L64" s="8">
        <v>38811</v>
      </c>
      <c r="M64" s="8">
        <v>29048</v>
      </c>
      <c r="N64" s="7">
        <f t="shared" si="29"/>
        <v>-9800</v>
      </c>
      <c r="O64" s="21">
        <v>75242.05</v>
      </c>
      <c r="P64" s="3">
        <v>150688.26999999999</v>
      </c>
      <c r="Q64" s="2">
        <f t="shared" si="19"/>
        <v>75400</v>
      </c>
      <c r="R64" s="3">
        <v>59762.400000000001</v>
      </c>
      <c r="S64" s="3">
        <v>35699.980000000003</v>
      </c>
      <c r="T64" s="2">
        <f t="shared" si="27"/>
        <v>-24100</v>
      </c>
      <c r="U64" s="3">
        <v>10686.67</v>
      </c>
      <c r="V64" s="3">
        <v>5288.09</v>
      </c>
      <c r="W64" s="2">
        <f t="shared" si="28"/>
        <v>-5400</v>
      </c>
      <c r="X64" s="3">
        <f>3277.23+8422.67</f>
        <v>11699.9</v>
      </c>
      <c r="Y64" s="3">
        <f>4365.56+1258.13+15060.08</f>
        <v>20683.77</v>
      </c>
      <c r="Z64" s="2">
        <f t="shared" si="20"/>
        <v>9000</v>
      </c>
      <c r="AA64" s="2"/>
      <c r="AB64" s="2"/>
      <c r="AC64" s="2">
        <f t="shared" si="21"/>
        <v>0</v>
      </c>
      <c r="AD64" s="2">
        <v>0</v>
      </c>
      <c r="AE64" s="2">
        <v>0</v>
      </c>
      <c r="AF64" s="2">
        <f t="shared" si="22"/>
        <v>0</v>
      </c>
      <c r="AG64" s="6">
        <f t="shared" si="23"/>
        <v>157391.02000000002</v>
      </c>
      <c r="AH64" s="5">
        <f t="shared" si="24"/>
        <v>212360.11</v>
      </c>
      <c r="AI64" s="7">
        <f t="shared" si="25"/>
        <v>54900</v>
      </c>
    </row>
    <row r="65" spans="1:35" x14ac:dyDescent="0.2">
      <c r="A65" s="11">
        <v>341</v>
      </c>
      <c r="B65" s="10" t="s">
        <v>50</v>
      </c>
      <c r="C65" s="8">
        <v>324</v>
      </c>
      <c r="D65" s="8">
        <v>294</v>
      </c>
      <c r="E65" s="7">
        <f t="shared" si="17"/>
        <v>0</v>
      </c>
      <c r="F65" s="8">
        <v>6336</v>
      </c>
      <c r="G65" s="8">
        <v>6152</v>
      </c>
      <c r="H65" s="4">
        <f t="shared" si="18"/>
        <v>-200</v>
      </c>
      <c r="I65" s="8">
        <v>15065</v>
      </c>
      <c r="J65" s="8">
        <v>16498</v>
      </c>
      <c r="K65" s="9">
        <f t="shared" si="26"/>
        <v>1400</v>
      </c>
      <c r="L65" s="8">
        <v>367</v>
      </c>
      <c r="M65" s="8">
        <v>2014</v>
      </c>
      <c r="N65" s="7">
        <f t="shared" si="29"/>
        <v>1600</v>
      </c>
      <c r="O65" s="21">
        <v>74553.11</v>
      </c>
      <c r="P65" s="3">
        <v>14686.34</v>
      </c>
      <c r="Q65" s="2">
        <f t="shared" si="19"/>
        <v>-59900</v>
      </c>
      <c r="R65" s="3">
        <v>9915.4699999999993</v>
      </c>
      <c r="S65" s="3">
        <v>5790.75</v>
      </c>
      <c r="T65" s="2">
        <f t="shared" si="27"/>
        <v>-4100</v>
      </c>
      <c r="U65" s="3">
        <v>53.68</v>
      </c>
      <c r="V65" s="3">
        <v>45.3</v>
      </c>
      <c r="W65" s="2">
        <f t="shared" si="28"/>
        <v>0</v>
      </c>
      <c r="X65" s="3">
        <f>560.81+4886.38</f>
        <v>5447.1900000000005</v>
      </c>
      <c r="Y65" s="3">
        <f>747.98+40.06+1626.64</f>
        <v>2414.6800000000003</v>
      </c>
      <c r="Z65" s="2">
        <f t="shared" si="20"/>
        <v>-3000</v>
      </c>
      <c r="AA65" s="2"/>
      <c r="AB65" s="2"/>
      <c r="AC65" s="2">
        <f t="shared" si="21"/>
        <v>0</v>
      </c>
      <c r="AD65" s="2">
        <v>0</v>
      </c>
      <c r="AE65" s="2">
        <v>0</v>
      </c>
      <c r="AF65" s="2">
        <f t="shared" si="22"/>
        <v>0</v>
      </c>
      <c r="AG65" s="6">
        <f t="shared" si="23"/>
        <v>89969.45</v>
      </c>
      <c r="AH65" s="5">
        <f t="shared" si="24"/>
        <v>22937.07</v>
      </c>
      <c r="AI65" s="7">
        <f t="shared" si="25"/>
        <v>-67000</v>
      </c>
    </row>
    <row r="66" spans="1:35" x14ac:dyDescent="0.2">
      <c r="A66" s="11">
        <v>351</v>
      </c>
      <c r="B66" s="10" t="s">
        <v>49</v>
      </c>
      <c r="C66" s="8">
        <v>74</v>
      </c>
      <c r="D66" s="8">
        <v>33</v>
      </c>
      <c r="E66" s="7">
        <f t="shared" si="17"/>
        <v>0</v>
      </c>
      <c r="F66" s="8">
        <v>681</v>
      </c>
      <c r="G66" s="8">
        <v>514</v>
      </c>
      <c r="H66" s="4">
        <f t="shared" si="18"/>
        <v>-200</v>
      </c>
      <c r="I66" s="8">
        <v>1275</v>
      </c>
      <c r="J66" s="8">
        <v>1290</v>
      </c>
      <c r="K66" s="9">
        <f t="shared" si="26"/>
        <v>0</v>
      </c>
      <c r="L66" s="8">
        <v>734</v>
      </c>
      <c r="M66" s="8">
        <v>365</v>
      </c>
      <c r="N66" s="7">
        <f t="shared" si="29"/>
        <v>-400</v>
      </c>
      <c r="O66" s="21">
        <v>481.17</v>
      </c>
      <c r="P66" s="3">
        <v>4.71</v>
      </c>
      <c r="Q66" s="2">
        <f t="shared" si="19"/>
        <v>-500</v>
      </c>
      <c r="R66" s="3">
        <v>36.69</v>
      </c>
      <c r="S66" s="3">
        <v>23.02</v>
      </c>
      <c r="T66" s="2">
        <f t="shared" si="27"/>
        <v>0</v>
      </c>
      <c r="U66" s="3">
        <v>0</v>
      </c>
      <c r="V66" s="3">
        <v>0</v>
      </c>
      <c r="W66" s="2">
        <f t="shared" si="28"/>
        <v>0</v>
      </c>
      <c r="X66" s="3">
        <v>29.94</v>
      </c>
      <c r="Y66" s="3">
        <f>13.3+3.13</f>
        <v>16.43</v>
      </c>
      <c r="Z66" s="2">
        <f t="shared" si="20"/>
        <v>0</v>
      </c>
      <c r="AA66" s="2"/>
      <c r="AB66" s="2"/>
      <c r="AC66" s="2">
        <f t="shared" si="21"/>
        <v>0</v>
      </c>
      <c r="AD66" s="2">
        <v>0</v>
      </c>
      <c r="AE66" s="2">
        <v>0</v>
      </c>
      <c r="AF66" s="2">
        <f t="shared" si="22"/>
        <v>0</v>
      </c>
      <c r="AG66" s="6">
        <f t="shared" si="23"/>
        <v>547.80000000000007</v>
      </c>
      <c r="AH66" s="5">
        <f t="shared" si="24"/>
        <v>44.16</v>
      </c>
      <c r="AI66" s="7">
        <f t="shared" si="25"/>
        <v>-500</v>
      </c>
    </row>
    <row r="67" spans="1:35" x14ac:dyDescent="0.2">
      <c r="A67" s="11">
        <v>352</v>
      </c>
      <c r="B67" s="10" t="s">
        <v>48</v>
      </c>
      <c r="C67" s="8">
        <v>354865</v>
      </c>
      <c r="D67" s="8">
        <v>393346</v>
      </c>
      <c r="E67" s="7">
        <f t="shared" si="17"/>
        <v>38500</v>
      </c>
      <c r="F67" s="8">
        <v>363461</v>
      </c>
      <c r="G67" s="8">
        <v>426814</v>
      </c>
      <c r="H67" s="4">
        <f t="shared" si="18"/>
        <v>63400</v>
      </c>
      <c r="I67" s="8">
        <v>78220</v>
      </c>
      <c r="J67" s="8">
        <v>81116</v>
      </c>
      <c r="K67" s="9">
        <f t="shared" si="26"/>
        <v>2900</v>
      </c>
      <c r="L67" s="8">
        <v>869175</v>
      </c>
      <c r="M67" s="8">
        <v>941292</v>
      </c>
      <c r="N67" s="7">
        <f t="shared" si="29"/>
        <v>72100</v>
      </c>
      <c r="O67" s="21">
        <v>23852.77</v>
      </c>
      <c r="P67" s="3">
        <v>64263.519999999997</v>
      </c>
      <c r="Q67" s="2">
        <f t="shared" si="19"/>
        <v>40400</v>
      </c>
      <c r="R67" s="3">
        <v>6536.74</v>
      </c>
      <c r="S67" s="3">
        <v>3807.4</v>
      </c>
      <c r="T67" s="2">
        <f t="shared" si="27"/>
        <v>-2700</v>
      </c>
      <c r="U67" s="3">
        <v>1052.32</v>
      </c>
      <c r="V67" s="3">
        <v>543.64</v>
      </c>
      <c r="W67" s="2">
        <f t="shared" si="28"/>
        <v>-500</v>
      </c>
      <c r="X67" s="3">
        <v>1817.71</v>
      </c>
      <c r="Y67" s="3">
        <f>921.74+5307.76</f>
        <v>6229.5</v>
      </c>
      <c r="Z67" s="2">
        <f t="shared" si="20"/>
        <v>4400</v>
      </c>
      <c r="AA67" s="2"/>
      <c r="AB67" s="2"/>
      <c r="AC67" s="2">
        <f t="shared" si="21"/>
        <v>0</v>
      </c>
      <c r="AD67" s="2">
        <v>0</v>
      </c>
      <c r="AE67" s="2">
        <v>0</v>
      </c>
      <c r="AF67" s="2">
        <f t="shared" si="22"/>
        <v>0</v>
      </c>
      <c r="AG67" s="6">
        <f t="shared" si="23"/>
        <v>33259.54</v>
      </c>
      <c r="AH67" s="5">
        <f t="shared" si="24"/>
        <v>74844.06</v>
      </c>
      <c r="AI67" s="7">
        <f t="shared" si="25"/>
        <v>41600</v>
      </c>
    </row>
    <row r="68" spans="1:35" x14ac:dyDescent="0.2">
      <c r="A68" s="11">
        <v>360</v>
      </c>
      <c r="B68" s="10" t="s">
        <v>47</v>
      </c>
      <c r="C68" s="8">
        <v>1654</v>
      </c>
      <c r="D68" s="8">
        <v>1433</v>
      </c>
      <c r="E68" s="7">
        <f t="shared" si="17"/>
        <v>-200</v>
      </c>
      <c r="F68" s="8">
        <v>51419</v>
      </c>
      <c r="G68" s="8">
        <v>44112</v>
      </c>
      <c r="H68" s="4">
        <f t="shared" si="18"/>
        <v>-7300</v>
      </c>
      <c r="I68" s="8">
        <v>27802</v>
      </c>
      <c r="J68" s="8">
        <v>27674</v>
      </c>
      <c r="K68" s="9">
        <f t="shared" si="26"/>
        <v>-100</v>
      </c>
      <c r="L68" s="8">
        <v>913909</v>
      </c>
      <c r="M68" s="8">
        <v>797711</v>
      </c>
      <c r="N68" s="7">
        <f t="shared" si="29"/>
        <v>-116200</v>
      </c>
      <c r="O68" s="21">
        <v>31888.65</v>
      </c>
      <c r="P68" s="3">
        <v>40920.07</v>
      </c>
      <c r="Q68" s="2">
        <f t="shared" si="19"/>
        <v>9000</v>
      </c>
      <c r="R68" s="3">
        <v>13933.6</v>
      </c>
      <c r="S68" s="3">
        <v>7739.8</v>
      </c>
      <c r="T68" s="2">
        <f t="shared" si="27"/>
        <v>-6200</v>
      </c>
      <c r="U68" s="3">
        <v>1783.18</v>
      </c>
      <c r="V68" s="3">
        <v>1011.77</v>
      </c>
      <c r="W68" s="2">
        <f t="shared" si="28"/>
        <v>-800</v>
      </c>
      <c r="X68" s="3">
        <f>33094.18+2752.16</f>
        <v>35846.339999999997</v>
      </c>
      <c r="Y68" s="3">
        <f>34057.47+360.05+6418.62</f>
        <v>40836.140000000007</v>
      </c>
      <c r="Z68" s="2">
        <f t="shared" si="20"/>
        <v>5000</v>
      </c>
      <c r="AA68" s="2"/>
      <c r="AB68" s="2"/>
      <c r="AC68" s="2">
        <f t="shared" si="21"/>
        <v>0</v>
      </c>
      <c r="AD68" s="2">
        <v>0</v>
      </c>
      <c r="AE68" s="2">
        <v>0</v>
      </c>
      <c r="AF68" s="2">
        <f t="shared" si="22"/>
        <v>0</v>
      </c>
      <c r="AG68" s="6">
        <f t="shared" si="23"/>
        <v>83451.76999999999</v>
      </c>
      <c r="AH68" s="5">
        <f t="shared" si="24"/>
        <v>90507.78</v>
      </c>
      <c r="AI68" s="7">
        <f t="shared" si="25"/>
        <v>7000</v>
      </c>
    </row>
    <row r="69" spans="1:35" x14ac:dyDescent="0.2">
      <c r="A69" s="11">
        <v>427</v>
      </c>
      <c r="B69" s="10" t="s">
        <v>46</v>
      </c>
      <c r="C69" s="8">
        <v>0</v>
      </c>
      <c r="D69" s="8">
        <v>0</v>
      </c>
      <c r="E69" s="7">
        <f t="shared" ref="E69:E100" si="30">ROUND(+D69-C69,-2)</f>
        <v>0</v>
      </c>
      <c r="F69" s="8">
        <v>0</v>
      </c>
      <c r="G69" s="8">
        <v>0</v>
      </c>
      <c r="H69" s="4">
        <f t="shared" ref="H69:H100" si="31">ROUND(+G69-F69,-2)</f>
        <v>0</v>
      </c>
      <c r="I69" s="8">
        <v>0</v>
      </c>
      <c r="J69" s="8">
        <v>0</v>
      </c>
      <c r="K69" s="9">
        <f t="shared" si="26"/>
        <v>0</v>
      </c>
      <c r="L69" s="8">
        <v>0</v>
      </c>
      <c r="M69" s="8">
        <v>0</v>
      </c>
      <c r="N69" s="7">
        <f t="shared" si="29"/>
        <v>0</v>
      </c>
      <c r="O69" s="21">
        <v>0</v>
      </c>
      <c r="P69" s="3">
        <v>0</v>
      </c>
      <c r="Q69" s="2">
        <f t="shared" ref="Q69:Q100" si="32">ROUND(P69-O69,-2)</f>
        <v>0</v>
      </c>
      <c r="R69" s="3">
        <v>0</v>
      </c>
      <c r="S69" s="3">
        <v>0</v>
      </c>
      <c r="T69" s="2">
        <f t="shared" si="27"/>
        <v>0</v>
      </c>
      <c r="U69" s="3">
        <v>0</v>
      </c>
      <c r="V69" s="3">
        <v>0</v>
      </c>
      <c r="W69" s="2">
        <f t="shared" si="28"/>
        <v>0</v>
      </c>
      <c r="X69" s="3">
        <v>0</v>
      </c>
      <c r="Y69" s="3">
        <v>0</v>
      </c>
      <c r="Z69" s="2">
        <f t="shared" ref="Z69:Z100" si="33">ROUND(Y69-X69,-2)</f>
        <v>0</v>
      </c>
      <c r="AA69" s="2"/>
      <c r="AB69" s="2"/>
      <c r="AC69" s="2">
        <f t="shared" ref="AC69:AC100" si="34">ROUND(AB69-AA69,-2)</f>
        <v>0</v>
      </c>
      <c r="AD69" s="2">
        <v>0</v>
      </c>
      <c r="AE69" s="2">
        <v>0</v>
      </c>
      <c r="AF69" s="2">
        <f t="shared" ref="AF69:AF100" si="35">ROUND(AE69-AD69,-2)</f>
        <v>0</v>
      </c>
      <c r="AG69" s="6">
        <f t="shared" ref="AG69:AG100" si="36">O69+R69+U69+X69+AA69+AD69</f>
        <v>0</v>
      </c>
      <c r="AH69" s="5">
        <f t="shared" ref="AH69:AH100" si="37">P69+S69+V69+Y69+AB69+AE69</f>
        <v>0</v>
      </c>
      <c r="AI69" s="7">
        <f t="shared" ref="AI69:AI100" si="38">Q69+T69+W69+Z69+AC69+AF69</f>
        <v>0</v>
      </c>
    </row>
    <row r="70" spans="1:35" x14ac:dyDescent="0.2">
      <c r="A70" s="11">
        <v>427</v>
      </c>
      <c r="B70" s="10" t="s">
        <v>45</v>
      </c>
      <c r="C70" s="8">
        <v>139</v>
      </c>
      <c r="D70" s="8">
        <v>110</v>
      </c>
      <c r="E70" s="7">
        <f t="shared" si="30"/>
        <v>0</v>
      </c>
      <c r="F70" s="8">
        <v>4757</v>
      </c>
      <c r="G70" s="8">
        <v>4736</v>
      </c>
      <c r="H70" s="4">
        <f t="shared" si="31"/>
        <v>0</v>
      </c>
      <c r="I70" s="8">
        <v>3400</v>
      </c>
      <c r="J70" s="8">
        <v>3260</v>
      </c>
      <c r="K70" s="9">
        <f t="shared" si="26"/>
        <v>-100</v>
      </c>
      <c r="L70" s="8">
        <v>51437</v>
      </c>
      <c r="M70" s="8">
        <f>-58750+103237</f>
        <v>44487</v>
      </c>
      <c r="N70" s="7">
        <f t="shared" si="29"/>
        <v>-7000</v>
      </c>
      <c r="O70" s="21">
        <v>0</v>
      </c>
      <c r="P70" s="3">
        <v>0</v>
      </c>
      <c r="Q70" s="2">
        <f t="shared" si="32"/>
        <v>0</v>
      </c>
      <c r="R70" s="3">
        <v>0</v>
      </c>
      <c r="S70" s="3">
        <v>0</v>
      </c>
      <c r="T70" s="2">
        <f t="shared" si="27"/>
        <v>0</v>
      </c>
      <c r="U70" s="3">
        <v>0</v>
      </c>
      <c r="V70" s="3">
        <v>0</v>
      </c>
      <c r="W70" s="2">
        <f t="shared" si="28"/>
        <v>0</v>
      </c>
      <c r="X70" s="3">
        <v>0</v>
      </c>
      <c r="Y70" s="3">
        <v>0</v>
      </c>
      <c r="Z70" s="2">
        <f t="shared" si="33"/>
        <v>0</v>
      </c>
      <c r="AA70" s="2"/>
      <c r="AB70" s="2"/>
      <c r="AC70" s="2">
        <f t="shared" si="34"/>
        <v>0</v>
      </c>
      <c r="AD70" s="2">
        <v>0</v>
      </c>
      <c r="AE70" s="2">
        <v>0</v>
      </c>
      <c r="AF70" s="2">
        <f t="shared" si="35"/>
        <v>0</v>
      </c>
      <c r="AG70" s="6">
        <f t="shared" si="36"/>
        <v>0</v>
      </c>
      <c r="AH70" s="5">
        <f t="shared" si="37"/>
        <v>0</v>
      </c>
      <c r="AI70" s="7">
        <f t="shared" si="38"/>
        <v>0</v>
      </c>
    </row>
    <row r="71" spans="1:35" x14ac:dyDescent="0.2">
      <c r="A71" s="11">
        <v>427</v>
      </c>
      <c r="B71" s="10" t="s">
        <v>44</v>
      </c>
      <c r="C71" s="8">
        <v>106</v>
      </c>
      <c r="D71" s="8">
        <v>57</v>
      </c>
      <c r="E71" s="7">
        <f t="shared" si="30"/>
        <v>0</v>
      </c>
      <c r="F71" s="8">
        <v>2060</v>
      </c>
      <c r="G71" s="8">
        <v>1784</v>
      </c>
      <c r="H71" s="4">
        <f t="shared" si="31"/>
        <v>-300</v>
      </c>
      <c r="I71" s="8">
        <v>1844</v>
      </c>
      <c r="J71" s="8">
        <v>1871</v>
      </c>
      <c r="K71" s="9">
        <f t="shared" si="26"/>
        <v>0</v>
      </c>
      <c r="L71" s="8">
        <v>0</v>
      </c>
      <c r="M71" s="8">
        <v>9514</v>
      </c>
      <c r="N71" s="7">
        <f t="shared" si="29"/>
        <v>9500</v>
      </c>
      <c r="O71" s="21">
        <v>0</v>
      </c>
      <c r="P71" s="3">
        <v>0</v>
      </c>
      <c r="Q71" s="2">
        <f t="shared" si="32"/>
        <v>0</v>
      </c>
      <c r="R71" s="3">
        <v>0</v>
      </c>
      <c r="S71" s="3">
        <v>0</v>
      </c>
      <c r="T71" s="2">
        <f t="shared" si="27"/>
        <v>0</v>
      </c>
      <c r="U71" s="3">
        <v>0</v>
      </c>
      <c r="V71" s="3">
        <v>0</v>
      </c>
      <c r="W71" s="2">
        <f t="shared" si="28"/>
        <v>0</v>
      </c>
      <c r="X71" s="3">
        <v>0</v>
      </c>
      <c r="Y71" s="3">
        <v>0</v>
      </c>
      <c r="Z71" s="2">
        <f t="shared" si="33"/>
        <v>0</v>
      </c>
      <c r="AA71" s="2"/>
      <c r="AB71" s="2"/>
      <c r="AC71" s="2">
        <f t="shared" si="34"/>
        <v>0</v>
      </c>
      <c r="AD71" s="2">
        <v>0</v>
      </c>
      <c r="AE71" s="2">
        <v>0</v>
      </c>
      <c r="AF71" s="2">
        <f t="shared" si="35"/>
        <v>0</v>
      </c>
      <c r="AG71" s="6">
        <f t="shared" si="36"/>
        <v>0</v>
      </c>
      <c r="AH71" s="5">
        <f t="shared" si="37"/>
        <v>0</v>
      </c>
      <c r="AI71" s="7">
        <f t="shared" si="38"/>
        <v>0</v>
      </c>
    </row>
    <row r="72" spans="1:35" x14ac:dyDescent="0.2">
      <c r="A72" s="11">
        <v>427</v>
      </c>
      <c r="B72" s="10" t="s">
        <v>43</v>
      </c>
      <c r="C72" s="8">
        <v>208</v>
      </c>
      <c r="D72" s="8">
        <v>207</v>
      </c>
      <c r="E72" s="7">
        <f t="shared" si="30"/>
        <v>0</v>
      </c>
      <c r="F72" s="8">
        <v>872</v>
      </c>
      <c r="G72" s="8">
        <v>900</v>
      </c>
      <c r="H72" s="4">
        <f t="shared" si="31"/>
        <v>0</v>
      </c>
      <c r="I72" s="8">
        <v>2053</v>
      </c>
      <c r="J72" s="8">
        <v>2048</v>
      </c>
      <c r="K72" s="9">
        <f t="shared" si="26"/>
        <v>0</v>
      </c>
      <c r="L72" s="8">
        <v>0</v>
      </c>
      <c r="M72" s="8">
        <v>0</v>
      </c>
      <c r="N72" s="7">
        <f t="shared" si="29"/>
        <v>0</v>
      </c>
      <c r="O72" s="21">
        <v>0</v>
      </c>
      <c r="P72" s="3">
        <v>0</v>
      </c>
      <c r="Q72" s="2">
        <f t="shared" si="32"/>
        <v>0</v>
      </c>
      <c r="R72" s="3">
        <v>0</v>
      </c>
      <c r="S72" s="3">
        <v>0</v>
      </c>
      <c r="T72" s="2">
        <f t="shared" si="27"/>
        <v>0</v>
      </c>
      <c r="U72" s="3">
        <v>0</v>
      </c>
      <c r="V72" s="3">
        <v>0</v>
      </c>
      <c r="W72" s="2">
        <f t="shared" si="28"/>
        <v>0</v>
      </c>
      <c r="X72" s="3">
        <v>0</v>
      </c>
      <c r="Y72" s="3">
        <v>0</v>
      </c>
      <c r="Z72" s="2">
        <f t="shared" si="33"/>
        <v>0</v>
      </c>
      <c r="AA72" s="2"/>
      <c r="AB72" s="2"/>
      <c r="AC72" s="2">
        <f t="shared" si="34"/>
        <v>0</v>
      </c>
      <c r="AD72" s="2">
        <v>0</v>
      </c>
      <c r="AE72" s="2">
        <v>0</v>
      </c>
      <c r="AF72" s="2">
        <f t="shared" si="35"/>
        <v>0</v>
      </c>
      <c r="AG72" s="6">
        <f t="shared" si="36"/>
        <v>0</v>
      </c>
      <c r="AH72" s="5">
        <f t="shared" si="37"/>
        <v>0</v>
      </c>
      <c r="AI72" s="7">
        <f t="shared" si="38"/>
        <v>0</v>
      </c>
    </row>
    <row r="73" spans="1:35" x14ac:dyDescent="0.2">
      <c r="A73" s="11">
        <v>427</v>
      </c>
      <c r="B73" s="10" t="s">
        <v>42</v>
      </c>
      <c r="C73" s="8">
        <v>128</v>
      </c>
      <c r="D73" s="8">
        <v>105</v>
      </c>
      <c r="E73" s="7">
        <f t="shared" si="30"/>
        <v>0</v>
      </c>
      <c r="F73" s="8">
        <v>1182</v>
      </c>
      <c r="G73" s="8">
        <v>980</v>
      </c>
      <c r="H73" s="4">
        <f t="shared" si="31"/>
        <v>-200</v>
      </c>
      <c r="I73" s="8">
        <v>2517</v>
      </c>
      <c r="J73" s="8">
        <v>2707</v>
      </c>
      <c r="K73" s="9">
        <f t="shared" si="26"/>
        <v>200</v>
      </c>
      <c r="L73" s="8">
        <v>0</v>
      </c>
      <c r="M73" s="8">
        <v>0</v>
      </c>
      <c r="N73" s="7">
        <f t="shared" si="29"/>
        <v>0</v>
      </c>
      <c r="O73" s="21">
        <v>0</v>
      </c>
      <c r="P73" s="3">
        <v>0</v>
      </c>
      <c r="Q73" s="2">
        <f t="shared" si="32"/>
        <v>0</v>
      </c>
      <c r="R73" s="3">
        <v>0</v>
      </c>
      <c r="S73" s="3">
        <v>0</v>
      </c>
      <c r="T73" s="2">
        <f t="shared" si="27"/>
        <v>0</v>
      </c>
      <c r="U73" s="3">
        <v>0</v>
      </c>
      <c r="V73" s="3">
        <v>0</v>
      </c>
      <c r="W73" s="2">
        <f t="shared" si="28"/>
        <v>0</v>
      </c>
      <c r="X73" s="3">
        <v>0</v>
      </c>
      <c r="Y73" s="3">
        <v>0</v>
      </c>
      <c r="Z73" s="2">
        <f t="shared" si="33"/>
        <v>0</v>
      </c>
      <c r="AA73" s="2"/>
      <c r="AB73" s="2"/>
      <c r="AC73" s="2">
        <f t="shared" si="34"/>
        <v>0</v>
      </c>
      <c r="AD73" s="2">
        <v>0</v>
      </c>
      <c r="AE73" s="2">
        <v>0</v>
      </c>
      <c r="AF73" s="2">
        <f t="shared" si="35"/>
        <v>0</v>
      </c>
      <c r="AG73" s="6">
        <f t="shared" si="36"/>
        <v>0</v>
      </c>
      <c r="AH73" s="5">
        <f t="shared" si="37"/>
        <v>0</v>
      </c>
      <c r="AI73" s="7">
        <f t="shared" si="38"/>
        <v>0</v>
      </c>
    </row>
    <row r="74" spans="1:35" x14ac:dyDescent="0.2">
      <c r="A74" s="11">
        <v>427</v>
      </c>
      <c r="B74" s="10" t="s">
        <v>41</v>
      </c>
      <c r="C74" s="8">
        <v>341</v>
      </c>
      <c r="D74" s="8">
        <v>311</v>
      </c>
      <c r="E74" s="7">
        <f t="shared" si="30"/>
        <v>0</v>
      </c>
      <c r="F74" s="8">
        <v>7182</v>
      </c>
      <c r="G74" s="8">
        <v>7073</v>
      </c>
      <c r="H74" s="4">
        <f t="shared" si="31"/>
        <v>-100</v>
      </c>
      <c r="I74" s="8">
        <v>7997</v>
      </c>
      <c r="J74" s="8">
        <v>7689</v>
      </c>
      <c r="K74" s="9">
        <f t="shared" si="26"/>
        <v>-300</v>
      </c>
      <c r="L74" s="8">
        <v>0</v>
      </c>
      <c r="M74" s="8">
        <v>0</v>
      </c>
      <c r="N74" s="7">
        <f t="shared" si="29"/>
        <v>0</v>
      </c>
      <c r="O74" s="21">
        <v>0</v>
      </c>
      <c r="P74" s="3">
        <v>0</v>
      </c>
      <c r="Q74" s="2">
        <f t="shared" si="32"/>
        <v>0</v>
      </c>
      <c r="R74" s="3">
        <v>0</v>
      </c>
      <c r="S74" s="3">
        <v>0</v>
      </c>
      <c r="T74" s="2">
        <f t="shared" si="27"/>
        <v>0</v>
      </c>
      <c r="U74" s="3">
        <v>0</v>
      </c>
      <c r="V74" s="3">
        <v>0</v>
      </c>
      <c r="W74" s="2">
        <f t="shared" si="28"/>
        <v>0</v>
      </c>
      <c r="X74" s="3">
        <v>0</v>
      </c>
      <c r="Y74" s="3">
        <v>0</v>
      </c>
      <c r="Z74" s="2">
        <f t="shared" si="33"/>
        <v>0</v>
      </c>
      <c r="AA74" s="2"/>
      <c r="AB74" s="2"/>
      <c r="AC74" s="2">
        <f t="shared" si="34"/>
        <v>0</v>
      </c>
      <c r="AD74" s="2">
        <v>0</v>
      </c>
      <c r="AE74" s="2">
        <v>0</v>
      </c>
      <c r="AF74" s="2">
        <f t="shared" si="35"/>
        <v>0</v>
      </c>
      <c r="AG74" s="6">
        <f t="shared" si="36"/>
        <v>0</v>
      </c>
      <c r="AH74" s="5">
        <f t="shared" si="37"/>
        <v>0</v>
      </c>
      <c r="AI74" s="7">
        <f t="shared" si="38"/>
        <v>0</v>
      </c>
    </row>
    <row r="75" spans="1:35" x14ac:dyDescent="0.2">
      <c r="A75" s="11">
        <v>427</v>
      </c>
      <c r="B75" s="10" t="s">
        <v>40</v>
      </c>
      <c r="C75" s="8">
        <v>125</v>
      </c>
      <c r="D75" s="8">
        <v>69</v>
      </c>
      <c r="E75" s="7">
        <f t="shared" si="30"/>
        <v>-100</v>
      </c>
      <c r="F75" s="8">
        <v>3441</v>
      </c>
      <c r="G75" s="8">
        <v>3254</v>
      </c>
      <c r="H75" s="4">
        <f t="shared" si="31"/>
        <v>-200</v>
      </c>
      <c r="I75" s="8">
        <v>3230</v>
      </c>
      <c r="J75" s="8">
        <v>3473</v>
      </c>
      <c r="K75" s="9">
        <f t="shared" si="26"/>
        <v>200</v>
      </c>
      <c r="L75" s="8">
        <v>21475</v>
      </c>
      <c r="M75" s="8">
        <f>-58750+8432</f>
        <v>-50318</v>
      </c>
      <c r="N75" s="7">
        <f t="shared" si="29"/>
        <v>-71800</v>
      </c>
      <c r="O75" s="21">
        <v>0</v>
      </c>
      <c r="P75" s="3">
        <v>0</v>
      </c>
      <c r="Q75" s="2">
        <f t="shared" si="32"/>
        <v>0</v>
      </c>
      <c r="R75" s="3">
        <v>0</v>
      </c>
      <c r="S75" s="3">
        <v>0</v>
      </c>
      <c r="T75" s="2">
        <f t="shared" si="27"/>
        <v>0</v>
      </c>
      <c r="U75" s="3">
        <v>0</v>
      </c>
      <c r="V75" s="3">
        <v>0</v>
      </c>
      <c r="W75" s="2">
        <f t="shared" si="28"/>
        <v>0</v>
      </c>
      <c r="X75" s="3">
        <v>0</v>
      </c>
      <c r="Y75" s="3">
        <v>0</v>
      </c>
      <c r="Z75" s="2">
        <f t="shared" si="33"/>
        <v>0</v>
      </c>
      <c r="AA75" s="2"/>
      <c r="AB75" s="2"/>
      <c r="AC75" s="2">
        <f t="shared" si="34"/>
        <v>0</v>
      </c>
      <c r="AD75" s="2">
        <v>0</v>
      </c>
      <c r="AE75" s="2">
        <v>0</v>
      </c>
      <c r="AF75" s="2">
        <f t="shared" si="35"/>
        <v>0</v>
      </c>
      <c r="AG75" s="6">
        <f t="shared" si="36"/>
        <v>0</v>
      </c>
      <c r="AH75" s="5">
        <f t="shared" si="37"/>
        <v>0</v>
      </c>
      <c r="AI75" s="7">
        <f t="shared" si="38"/>
        <v>0</v>
      </c>
    </row>
    <row r="76" spans="1:35" x14ac:dyDescent="0.2">
      <c r="A76" s="11">
        <v>427</v>
      </c>
      <c r="B76" s="10" t="s">
        <v>1</v>
      </c>
      <c r="C76" s="8">
        <v>776</v>
      </c>
      <c r="D76" s="8">
        <v>531</v>
      </c>
      <c r="E76" s="7">
        <f t="shared" si="30"/>
        <v>-200</v>
      </c>
      <c r="F76" s="8">
        <v>44553</v>
      </c>
      <c r="G76" s="8">
        <v>36124</v>
      </c>
      <c r="H76" s="4">
        <f t="shared" si="31"/>
        <v>-8400</v>
      </c>
      <c r="I76" s="8">
        <v>27331</v>
      </c>
      <c r="J76" s="8">
        <v>35569</v>
      </c>
      <c r="K76" s="9">
        <f t="shared" si="26"/>
        <v>8200</v>
      </c>
      <c r="L76" s="8">
        <v>28</v>
      </c>
      <c r="M76" s="8">
        <v>144</v>
      </c>
      <c r="N76" s="7">
        <f t="shared" si="29"/>
        <v>100</v>
      </c>
      <c r="O76" s="21">
        <f>18347.54+27293.49</f>
        <v>45641.03</v>
      </c>
      <c r="P76" s="3">
        <v>91590.399999999994</v>
      </c>
      <c r="Q76" s="2">
        <f t="shared" si="32"/>
        <v>45900</v>
      </c>
      <c r="R76" s="3">
        <f>1254.59+730.53</f>
        <v>1985.12</v>
      </c>
      <c r="S76" s="3">
        <v>1256.33</v>
      </c>
      <c r="T76" s="2">
        <f t="shared" si="27"/>
        <v>-700</v>
      </c>
      <c r="U76" s="3">
        <v>3580.52</v>
      </c>
      <c r="V76" s="3">
        <v>2114.15</v>
      </c>
      <c r="W76" s="2">
        <f t="shared" si="28"/>
        <v>-1500</v>
      </c>
      <c r="X76" s="3">
        <f>487.01+1810.05</f>
        <v>2297.06</v>
      </c>
      <c r="Y76" s="3">
        <f>772.72+7307.38</f>
        <v>8080.1</v>
      </c>
      <c r="Z76" s="2">
        <f t="shared" si="33"/>
        <v>5800</v>
      </c>
      <c r="AA76" s="2"/>
      <c r="AB76" s="2"/>
      <c r="AC76" s="2">
        <f t="shared" si="34"/>
        <v>0</v>
      </c>
      <c r="AD76" s="2">
        <v>0</v>
      </c>
      <c r="AE76" s="2">
        <v>0</v>
      </c>
      <c r="AF76" s="2">
        <f t="shared" si="35"/>
        <v>0</v>
      </c>
      <c r="AG76" s="6">
        <f t="shared" si="36"/>
        <v>53503.729999999996</v>
      </c>
      <c r="AH76" s="5">
        <f t="shared" si="37"/>
        <v>103040.98</v>
      </c>
      <c r="AI76" s="7">
        <f t="shared" si="38"/>
        <v>49500</v>
      </c>
    </row>
    <row r="77" spans="1:35" x14ac:dyDescent="0.2">
      <c r="A77" s="11">
        <v>427</v>
      </c>
      <c r="B77" s="10" t="s">
        <v>39</v>
      </c>
      <c r="C77" s="8">
        <v>175</v>
      </c>
      <c r="D77" s="8">
        <v>118</v>
      </c>
      <c r="E77" s="7">
        <f t="shared" si="30"/>
        <v>-100</v>
      </c>
      <c r="F77" s="8">
        <v>2475</v>
      </c>
      <c r="G77" s="8">
        <v>2158</v>
      </c>
      <c r="H77" s="4">
        <f t="shared" si="31"/>
        <v>-300</v>
      </c>
      <c r="I77" s="8">
        <v>3302</v>
      </c>
      <c r="J77" s="8">
        <v>3062</v>
      </c>
      <c r="K77" s="9">
        <f t="shared" si="26"/>
        <v>-200</v>
      </c>
      <c r="L77" s="8">
        <v>0</v>
      </c>
      <c r="M77" s="8">
        <v>0</v>
      </c>
      <c r="N77" s="7">
        <f t="shared" si="29"/>
        <v>0</v>
      </c>
      <c r="O77" s="21">
        <v>0</v>
      </c>
      <c r="P77" s="3">
        <v>0</v>
      </c>
      <c r="Q77" s="2">
        <f t="shared" si="32"/>
        <v>0</v>
      </c>
      <c r="R77" s="3">
        <v>0</v>
      </c>
      <c r="S77" s="3">
        <v>0</v>
      </c>
      <c r="T77" s="2">
        <f t="shared" si="27"/>
        <v>0</v>
      </c>
      <c r="U77" s="3">
        <v>0</v>
      </c>
      <c r="V77" s="3">
        <v>0</v>
      </c>
      <c r="W77" s="2">
        <f t="shared" si="28"/>
        <v>0</v>
      </c>
      <c r="X77" s="3">
        <v>0</v>
      </c>
      <c r="Y77" s="3">
        <v>0</v>
      </c>
      <c r="Z77" s="2">
        <f t="shared" si="33"/>
        <v>0</v>
      </c>
      <c r="AA77" s="2"/>
      <c r="AB77" s="2"/>
      <c r="AC77" s="2">
        <f t="shared" si="34"/>
        <v>0</v>
      </c>
      <c r="AD77" s="2">
        <v>0</v>
      </c>
      <c r="AE77" s="2">
        <v>0</v>
      </c>
      <c r="AF77" s="2">
        <f t="shared" si="35"/>
        <v>0</v>
      </c>
      <c r="AG77" s="6">
        <f t="shared" si="36"/>
        <v>0</v>
      </c>
      <c r="AH77" s="5">
        <f t="shared" si="37"/>
        <v>0</v>
      </c>
      <c r="AI77" s="7">
        <f t="shared" si="38"/>
        <v>0</v>
      </c>
    </row>
    <row r="78" spans="1:35" x14ac:dyDescent="0.2">
      <c r="A78" s="11">
        <v>427</v>
      </c>
      <c r="B78" s="10" t="s">
        <v>38</v>
      </c>
      <c r="C78" s="8">
        <v>0</v>
      </c>
      <c r="D78" s="8">
        <v>0</v>
      </c>
      <c r="E78" s="7">
        <f t="shared" si="30"/>
        <v>0</v>
      </c>
      <c r="F78" s="8">
        <v>0</v>
      </c>
      <c r="G78" s="8">
        <v>0</v>
      </c>
      <c r="H78" s="4">
        <f t="shared" si="31"/>
        <v>0</v>
      </c>
      <c r="I78" s="8">
        <v>0</v>
      </c>
      <c r="J78" s="8">
        <v>0</v>
      </c>
      <c r="K78" s="9">
        <f t="shared" si="26"/>
        <v>0</v>
      </c>
      <c r="L78" s="8">
        <v>0</v>
      </c>
      <c r="M78" s="8">
        <v>0</v>
      </c>
      <c r="N78" s="7">
        <f t="shared" si="29"/>
        <v>0</v>
      </c>
      <c r="O78" s="21">
        <v>0</v>
      </c>
      <c r="P78" s="3">
        <v>0</v>
      </c>
      <c r="Q78" s="2">
        <f t="shared" si="32"/>
        <v>0</v>
      </c>
      <c r="R78" s="3">
        <v>0</v>
      </c>
      <c r="S78" s="3">
        <v>0</v>
      </c>
      <c r="T78" s="2">
        <f t="shared" si="27"/>
        <v>0</v>
      </c>
      <c r="U78" s="3">
        <v>0</v>
      </c>
      <c r="V78" s="3">
        <v>0</v>
      </c>
      <c r="W78" s="2">
        <f t="shared" si="28"/>
        <v>0</v>
      </c>
      <c r="X78" s="3">
        <v>0</v>
      </c>
      <c r="Y78" s="3">
        <v>0</v>
      </c>
      <c r="Z78" s="2">
        <f t="shared" si="33"/>
        <v>0</v>
      </c>
      <c r="AA78" s="2"/>
      <c r="AB78" s="2"/>
      <c r="AC78" s="2">
        <f t="shared" si="34"/>
        <v>0</v>
      </c>
      <c r="AD78" s="2">
        <v>0</v>
      </c>
      <c r="AE78" s="2">
        <v>0</v>
      </c>
      <c r="AF78" s="2">
        <f t="shared" si="35"/>
        <v>0</v>
      </c>
      <c r="AG78" s="6">
        <f t="shared" si="36"/>
        <v>0</v>
      </c>
      <c r="AH78" s="5">
        <f t="shared" si="37"/>
        <v>0</v>
      </c>
      <c r="AI78" s="7">
        <f t="shared" si="38"/>
        <v>0</v>
      </c>
    </row>
    <row r="79" spans="1:35" x14ac:dyDescent="0.2">
      <c r="A79" s="11">
        <v>427</v>
      </c>
      <c r="B79" s="10" t="s">
        <v>37</v>
      </c>
      <c r="C79" s="8">
        <v>0</v>
      </c>
      <c r="D79" s="8">
        <v>0</v>
      </c>
      <c r="E79" s="7">
        <f t="shared" si="30"/>
        <v>0</v>
      </c>
      <c r="F79" s="8">
        <v>0</v>
      </c>
      <c r="G79" s="8">
        <v>0</v>
      </c>
      <c r="H79" s="4">
        <f t="shared" si="31"/>
        <v>0</v>
      </c>
      <c r="I79" s="8">
        <v>0</v>
      </c>
      <c r="J79" s="8">
        <v>0</v>
      </c>
      <c r="K79" s="9">
        <f t="shared" si="26"/>
        <v>0</v>
      </c>
      <c r="L79" s="8">
        <v>0</v>
      </c>
      <c r="M79" s="8">
        <v>0</v>
      </c>
      <c r="N79" s="7">
        <f t="shared" si="29"/>
        <v>0</v>
      </c>
      <c r="O79" s="21">
        <v>0</v>
      </c>
      <c r="P79" s="3">
        <v>0</v>
      </c>
      <c r="Q79" s="2">
        <f t="shared" si="32"/>
        <v>0</v>
      </c>
      <c r="R79" s="3">
        <v>0</v>
      </c>
      <c r="S79" s="3">
        <v>0</v>
      </c>
      <c r="T79" s="2">
        <f t="shared" si="27"/>
        <v>0</v>
      </c>
      <c r="U79" s="3">
        <v>0</v>
      </c>
      <c r="V79" s="3">
        <v>0</v>
      </c>
      <c r="W79" s="2">
        <f t="shared" si="28"/>
        <v>0</v>
      </c>
      <c r="X79" s="3">
        <v>0</v>
      </c>
      <c r="Y79" s="3">
        <v>0</v>
      </c>
      <c r="Z79" s="2">
        <f t="shared" si="33"/>
        <v>0</v>
      </c>
      <c r="AA79" s="2"/>
      <c r="AB79" s="2"/>
      <c r="AC79" s="2">
        <f t="shared" si="34"/>
        <v>0</v>
      </c>
      <c r="AD79" s="2">
        <v>0</v>
      </c>
      <c r="AE79" s="2">
        <v>0</v>
      </c>
      <c r="AF79" s="2">
        <f t="shared" si="35"/>
        <v>0</v>
      </c>
      <c r="AG79" s="6">
        <f t="shared" si="36"/>
        <v>0</v>
      </c>
      <c r="AH79" s="5">
        <f t="shared" si="37"/>
        <v>0</v>
      </c>
      <c r="AI79" s="7">
        <f t="shared" si="38"/>
        <v>0</v>
      </c>
    </row>
    <row r="80" spans="1:35" x14ac:dyDescent="0.2">
      <c r="A80" s="11">
        <v>427</v>
      </c>
      <c r="B80" s="10" t="s">
        <v>36</v>
      </c>
      <c r="C80" s="8">
        <v>0</v>
      </c>
      <c r="D80" s="8">
        <v>0</v>
      </c>
      <c r="E80" s="7">
        <f t="shared" si="30"/>
        <v>0</v>
      </c>
      <c r="F80" s="8">
        <v>0</v>
      </c>
      <c r="G80" s="8">
        <v>0</v>
      </c>
      <c r="H80" s="4">
        <f t="shared" si="31"/>
        <v>0</v>
      </c>
      <c r="I80" s="8">
        <v>0</v>
      </c>
      <c r="J80" s="8">
        <v>0</v>
      </c>
      <c r="K80" s="9">
        <f t="shared" si="26"/>
        <v>0</v>
      </c>
      <c r="L80" s="8">
        <v>0</v>
      </c>
      <c r="M80" s="8">
        <v>0</v>
      </c>
      <c r="N80" s="7">
        <f t="shared" si="29"/>
        <v>0</v>
      </c>
      <c r="O80" s="21">
        <v>0</v>
      </c>
      <c r="P80" s="3">
        <v>0</v>
      </c>
      <c r="Q80" s="2">
        <f t="shared" si="32"/>
        <v>0</v>
      </c>
      <c r="R80" s="3">
        <v>0</v>
      </c>
      <c r="S80" s="3">
        <v>0</v>
      </c>
      <c r="T80" s="2">
        <f t="shared" si="27"/>
        <v>0</v>
      </c>
      <c r="U80" s="3">
        <v>0</v>
      </c>
      <c r="V80" s="3">
        <v>0</v>
      </c>
      <c r="W80" s="2">
        <f t="shared" si="28"/>
        <v>0</v>
      </c>
      <c r="X80" s="3">
        <v>0</v>
      </c>
      <c r="Y80" s="3">
        <v>0</v>
      </c>
      <c r="Z80" s="2">
        <f t="shared" si="33"/>
        <v>0</v>
      </c>
      <c r="AA80" s="2"/>
      <c r="AB80" s="2"/>
      <c r="AC80" s="2">
        <f t="shared" si="34"/>
        <v>0</v>
      </c>
      <c r="AD80" s="2">
        <v>0</v>
      </c>
      <c r="AE80" s="2">
        <v>0</v>
      </c>
      <c r="AF80" s="2">
        <f t="shared" si="35"/>
        <v>0</v>
      </c>
      <c r="AG80" s="6">
        <f t="shared" si="36"/>
        <v>0</v>
      </c>
      <c r="AH80" s="5">
        <f t="shared" si="37"/>
        <v>0</v>
      </c>
      <c r="AI80" s="7">
        <f t="shared" si="38"/>
        <v>0</v>
      </c>
    </row>
    <row r="81" spans="1:35" x14ac:dyDescent="0.2">
      <c r="A81" s="11">
        <v>427</v>
      </c>
      <c r="B81" s="10" t="s">
        <v>35</v>
      </c>
      <c r="C81" s="8">
        <v>76</v>
      </c>
      <c r="D81" s="8">
        <v>66</v>
      </c>
      <c r="E81" s="7">
        <f t="shared" si="30"/>
        <v>0</v>
      </c>
      <c r="F81" s="8">
        <v>1178</v>
      </c>
      <c r="G81" s="8">
        <v>1100</v>
      </c>
      <c r="H81" s="4">
        <f t="shared" si="31"/>
        <v>-100</v>
      </c>
      <c r="I81" s="8">
        <v>2478</v>
      </c>
      <c r="J81" s="8">
        <v>2247</v>
      </c>
      <c r="K81" s="9">
        <f t="shared" si="26"/>
        <v>-200</v>
      </c>
      <c r="L81" s="8">
        <v>0</v>
      </c>
      <c r="M81" s="8">
        <v>0</v>
      </c>
      <c r="N81" s="7">
        <f t="shared" si="29"/>
        <v>0</v>
      </c>
      <c r="O81" s="21">
        <v>0</v>
      </c>
      <c r="P81" s="3">
        <v>0</v>
      </c>
      <c r="Q81" s="2">
        <f t="shared" si="32"/>
        <v>0</v>
      </c>
      <c r="R81" s="3">
        <v>0</v>
      </c>
      <c r="S81" s="3">
        <v>0</v>
      </c>
      <c r="T81" s="2">
        <f t="shared" si="27"/>
        <v>0</v>
      </c>
      <c r="U81" s="3">
        <v>0</v>
      </c>
      <c r="V81" s="3">
        <v>0</v>
      </c>
      <c r="W81" s="2">
        <f t="shared" si="28"/>
        <v>0</v>
      </c>
      <c r="X81" s="3">
        <v>0</v>
      </c>
      <c r="Y81" s="3">
        <v>0</v>
      </c>
      <c r="Z81" s="2">
        <f t="shared" si="33"/>
        <v>0</v>
      </c>
      <c r="AA81" s="2"/>
      <c r="AB81" s="2"/>
      <c r="AC81" s="2">
        <f t="shared" si="34"/>
        <v>0</v>
      </c>
      <c r="AD81" s="2">
        <v>0</v>
      </c>
      <c r="AE81" s="2">
        <v>0</v>
      </c>
      <c r="AF81" s="2">
        <f t="shared" si="35"/>
        <v>0</v>
      </c>
      <c r="AG81" s="6">
        <f t="shared" si="36"/>
        <v>0</v>
      </c>
      <c r="AH81" s="5">
        <f t="shared" si="37"/>
        <v>0</v>
      </c>
      <c r="AI81" s="7">
        <f t="shared" si="38"/>
        <v>0</v>
      </c>
    </row>
    <row r="82" spans="1:35" x14ac:dyDescent="0.2">
      <c r="A82" s="11">
        <v>427</v>
      </c>
      <c r="B82" s="10" t="s">
        <v>34</v>
      </c>
      <c r="C82" s="8">
        <v>61</v>
      </c>
      <c r="D82" s="8">
        <v>40</v>
      </c>
      <c r="E82" s="7">
        <f t="shared" si="30"/>
        <v>0</v>
      </c>
      <c r="F82" s="8">
        <v>1313</v>
      </c>
      <c r="G82" s="8">
        <v>1203</v>
      </c>
      <c r="H82" s="4">
        <f t="shared" si="31"/>
        <v>-100</v>
      </c>
      <c r="I82" s="8">
        <v>2275</v>
      </c>
      <c r="J82" s="8">
        <v>2041</v>
      </c>
      <c r="K82" s="9">
        <f t="shared" si="26"/>
        <v>-200</v>
      </c>
      <c r="L82" s="8">
        <v>12351</v>
      </c>
      <c r="M82" s="8">
        <v>6453</v>
      </c>
      <c r="N82" s="7">
        <f t="shared" si="29"/>
        <v>-5900</v>
      </c>
      <c r="O82" s="21">
        <v>0</v>
      </c>
      <c r="P82" s="3">
        <v>0</v>
      </c>
      <c r="Q82" s="2">
        <f t="shared" si="32"/>
        <v>0</v>
      </c>
      <c r="R82" s="3">
        <v>0</v>
      </c>
      <c r="S82" s="3">
        <v>0</v>
      </c>
      <c r="T82" s="2">
        <f t="shared" si="27"/>
        <v>0</v>
      </c>
      <c r="U82" s="3">
        <v>0</v>
      </c>
      <c r="V82" s="3">
        <v>0</v>
      </c>
      <c r="W82" s="2">
        <f t="shared" si="28"/>
        <v>0</v>
      </c>
      <c r="X82" s="3">
        <v>0</v>
      </c>
      <c r="Y82" s="3">
        <v>0</v>
      </c>
      <c r="Z82" s="2">
        <f t="shared" si="33"/>
        <v>0</v>
      </c>
      <c r="AA82" s="45">
        <v>0</v>
      </c>
      <c r="AB82" s="2"/>
      <c r="AC82" s="2">
        <f t="shared" si="34"/>
        <v>0</v>
      </c>
      <c r="AD82" s="2">
        <v>0</v>
      </c>
      <c r="AE82" s="2">
        <v>0</v>
      </c>
      <c r="AF82" s="2">
        <f t="shared" si="35"/>
        <v>0</v>
      </c>
      <c r="AG82" s="6">
        <f t="shared" si="36"/>
        <v>0</v>
      </c>
      <c r="AH82" s="5">
        <f t="shared" si="37"/>
        <v>0</v>
      </c>
      <c r="AI82" s="7">
        <f t="shared" si="38"/>
        <v>0</v>
      </c>
    </row>
    <row r="83" spans="1:35" x14ac:dyDescent="0.2">
      <c r="A83" s="24">
        <v>437</v>
      </c>
      <c r="B83" s="23" t="s">
        <v>33</v>
      </c>
      <c r="C83" s="8">
        <v>133</v>
      </c>
      <c r="D83" s="8">
        <v>109</v>
      </c>
      <c r="E83" s="7">
        <f t="shared" si="30"/>
        <v>0</v>
      </c>
      <c r="F83" s="8">
        <v>1059</v>
      </c>
      <c r="G83" s="8">
        <v>728</v>
      </c>
      <c r="H83" s="4">
        <f t="shared" si="31"/>
        <v>-300</v>
      </c>
      <c r="I83" s="8">
        <v>1033</v>
      </c>
      <c r="J83" s="8">
        <v>1219</v>
      </c>
      <c r="K83" s="9">
        <f t="shared" si="26"/>
        <v>200</v>
      </c>
      <c r="L83" s="8">
        <v>3202</v>
      </c>
      <c r="M83" s="8">
        <v>150</v>
      </c>
      <c r="N83" s="7">
        <f t="shared" si="29"/>
        <v>-3100</v>
      </c>
      <c r="O83" s="21">
        <v>1566.8</v>
      </c>
      <c r="P83" s="3">
        <v>3.15</v>
      </c>
      <c r="Q83" s="2">
        <f t="shared" si="32"/>
        <v>-1600</v>
      </c>
      <c r="R83" s="3">
        <v>26.45</v>
      </c>
      <c r="S83" s="3">
        <v>15.39</v>
      </c>
      <c r="T83" s="2">
        <f t="shared" si="27"/>
        <v>0</v>
      </c>
      <c r="U83" s="3">
        <v>53.68</v>
      </c>
      <c r="V83" s="3">
        <v>30.2</v>
      </c>
      <c r="W83" s="2">
        <f t="shared" si="28"/>
        <v>0</v>
      </c>
      <c r="X83" s="3">
        <v>95.21</v>
      </c>
      <c r="Y83" s="3">
        <f>10.33+4.5</f>
        <v>14.83</v>
      </c>
      <c r="Z83" s="2">
        <f t="shared" si="33"/>
        <v>-100</v>
      </c>
      <c r="AA83" s="2"/>
      <c r="AB83" s="2"/>
      <c r="AC83" s="2">
        <f t="shared" si="34"/>
        <v>0</v>
      </c>
      <c r="AD83" s="2">
        <v>0</v>
      </c>
      <c r="AE83" s="2">
        <v>0</v>
      </c>
      <c r="AF83" s="2">
        <f t="shared" si="35"/>
        <v>0</v>
      </c>
      <c r="AG83" s="6">
        <f t="shared" si="36"/>
        <v>1742.14</v>
      </c>
      <c r="AH83" s="5">
        <f t="shared" si="37"/>
        <v>63.569999999999993</v>
      </c>
      <c r="AI83" s="7">
        <f t="shared" si="38"/>
        <v>-1700</v>
      </c>
    </row>
    <row r="84" spans="1:35" x14ac:dyDescent="0.2">
      <c r="A84" s="11">
        <v>440</v>
      </c>
      <c r="B84" s="10" t="s">
        <v>32</v>
      </c>
      <c r="C84" s="8">
        <v>6944</v>
      </c>
      <c r="D84" s="8">
        <v>7329</v>
      </c>
      <c r="E84" s="7">
        <f t="shared" si="30"/>
        <v>400</v>
      </c>
      <c r="F84" s="8">
        <v>8406</v>
      </c>
      <c r="G84" s="8">
        <v>5675</v>
      </c>
      <c r="H84" s="4">
        <f t="shared" si="31"/>
        <v>-2700</v>
      </c>
      <c r="I84" s="8">
        <v>8912</v>
      </c>
      <c r="J84" s="8">
        <v>9652</v>
      </c>
      <c r="K84" s="9">
        <f t="shared" si="26"/>
        <v>700</v>
      </c>
      <c r="L84" s="8">
        <v>20012</v>
      </c>
      <c r="M84" s="8">
        <v>12368</v>
      </c>
      <c r="N84" s="7">
        <f t="shared" si="29"/>
        <v>-7600</v>
      </c>
      <c r="O84" s="21">
        <v>6789.14</v>
      </c>
      <c r="P84" s="3">
        <v>11777.19</v>
      </c>
      <c r="Q84" s="2">
        <f t="shared" si="32"/>
        <v>5000</v>
      </c>
      <c r="R84" s="3">
        <v>550.64</v>
      </c>
      <c r="S84" s="3">
        <v>320.5</v>
      </c>
      <c r="T84" s="2">
        <f t="shared" si="27"/>
        <v>-200</v>
      </c>
      <c r="U84" s="3">
        <v>670.13</v>
      </c>
      <c r="V84" s="3">
        <v>347.32</v>
      </c>
      <c r="W84" s="2">
        <f t="shared" si="28"/>
        <v>-300</v>
      </c>
      <c r="X84" s="3">
        <v>463.07</v>
      </c>
      <c r="Y84" s="3">
        <f>0.52+140.48+960.7</f>
        <v>1101.7</v>
      </c>
      <c r="Z84" s="2">
        <f t="shared" si="33"/>
        <v>600</v>
      </c>
      <c r="AA84" s="2"/>
      <c r="AB84" s="2"/>
      <c r="AC84" s="2">
        <f t="shared" si="34"/>
        <v>0</v>
      </c>
      <c r="AD84" s="2">
        <v>0</v>
      </c>
      <c r="AE84" s="2">
        <v>0</v>
      </c>
      <c r="AF84" s="2">
        <f t="shared" si="35"/>
        <v>0</v>
      </c>
      <c r="AG84" s="6">
        <f t="shared" si="36"/>
        <v>8472.9800000000014</v>
      </c>
      <c r="AH84" s="5">
        <f t="shared" si="37"/>
        <v>13546.710000000001</v>
      </c>
      <c r="AI84" s="7">
        <f t="shared" si="38"/>
        <v>5100</v>
      </c>
    </row>
    <row r="85" spans="1:35" x14ac:dyDescent="0.2">
      <c r="A85" s="11">
        <v>441</v>
      </c>
      <c r="B85" s="10" t="s">
        <v>31</v>
      </c>
      <c r="C85" s="8">
        <v>102</v>
      </c>
      <c r="D85" s="8">
        <v>122</v>
      </c>
      <c r="E85" s="7">
        <f t="shared" si="30"/>
        <v>0</v>
      </c>
      <c r="F85" s="8">
        <v>759</v>
      </c>
      <c r="G85" s="8">
        <v>872</v>
      </c>
      <c r="H85" s="4">
        <f t="shared" si="31"/>
        <v>100</v>
      </c>
      <c r="I85" s="8">
        <v>510</v>
      </c>
      <c r="J85" s="8">
        <v>553</v>
      </c>
      <c r="K85" s="9">
        <f t="shared" si="26"/>
        <v>0</v>
      </c>
      <c r="L85" s="8">
        <v>17</v>
      </c>
      <c r="M85" s="8">
        <v>139</v>
      </c>
      <c r="N85" s="7">
        <f t="shared" si="29"/>
        <v>100</v>
      </c>
      <c r="O85" s="21">
        <v>591.63</v>
      </c>
      <c r="P85" s="3">
        <v>4.4800000000000004</v>
      </c>
      <c r="Q85" s="2">
        <f t="shared" si="32"/>
        <v>-600</v>
      </c>
      <c r="R85" s="3">
        <v>37.67</v>
      </c>
      <c r="S85" s="3">
        <v>21.92</v>
      </c>
      <c r="T85" s="2">
        <f t="shared" si="27"/>
        <v>0</v>
      </c>
      <c r="U85" s="3">
        <v>0</v>
      </c>
      <c r="V85" s="3">
        <v>0</v>
      </c>
      <c r="W85" s="2">
        <f t="shared" si="28"/>
        <v>0</v>
      </c>
      <c r="X85" s="3">
        <v>36.380000000000003</v>
      </c>
      <c r="Y85" s="3">
        <f>7.06+2.55</f>
        <v>9.61</v>
      </c>
      <c r="Z85" s="2">
        <f t="shared" si="33"/>
        <v>0</v>
      </c>
      <c r="AA85" s="2"/>
      <c r="AB85" s="2"/>
      <c r="AC85" s="2">
        <f t="shared" si="34"/>
        <v>0</v>
      </c>
      <c r="AD85" s="2">
        <v>0</v>
      </c>
      <c r="AE85" s="2">
        <v>0</v>
      </c>
      <c r="AF85" s="2">
        <f t="shared" si="35"/>
        <v>0</v>
      </c>
      <c r="AG85" s="6">
        <f t="shared" si="36"/>
        <v>665.68</v>
      </c>
      <c r="AH85" s="5">
        <f t="shared" si="37"/>
        <v>36.010000000000005</v>
      </c>
      <c r="AI85" s="7">
        <f t="shared" si="38"/>
        <v>-600</v>
      </c>
    </row>
    <row r="86" spans="1:35" x14ac:dyDescent="0.2">
      <c r="A86" s="11">
        <v>443</v>
      </c>
      <c r="B86" s="10" t="s">
        <v>30</v>
      </c>
      <c r="C86" s="8">
        <v>156</v>
      </c>
      <c r="D86" s="8">
        <v>105</v>
      </c>
      <c r="E86" s="7">
        <f t="shared" si="30"/>
        <v>-100</v>
      </c>
      <c r="F86" s="8">
        <v>2789</v>
      </c>
      <c r="G86" s="8">
        <v>2230</v>
      </c>
      <c r="H86" s="4">
        <f t="shared" si="31"/>
        <v>-600</v>
      </c>
      <c r="I86" s="8">
        <v>4224</v>
      </c>
      <c r="J86" s="8">
        <v>4465</v>
      </c>
      <c r="K86" s="9">
        <f t="shared" si="26"/>
        <v>200</v>
      </c>
      <c r="L86" s="8">
        <v>34</v>
      </c>
      <c r="M86" s="8">
        <v>0</v>
      </c>
      <c r="N86" s="7">
        <f t="shared" si="29"/>
        <v>0</v>
      </c>
      <c r="O86" s="21">
        <v>1228.8599999999999</v>
      </c>
      <c r="P86" s="3">
        <v>2481.5100000000002</v>
      </c>
      <c r="Q86" s="2">
        <f t="shared" si="32"/>
        <v>1300</v>
      </c>
      <c r="R86" s="3">
        <v>153.27000000000001</v>
      </c>
      <c r="S86" s="3">
        <v>86.68</v>
      </c>
      <c r="T86" s="2">
        <f t="shared" si="27"/>
        <v>-100</v>
      </c>
      <c r="U86" s="3">
        <v>53.68</v>
      </c>
      <c r="V86" s="3">
        <v>30.2</v>
      </c>
      <c r="W86" s="2">
        <f t="shared" si="28"/>
        <v>0</v>
      </c>
      <c r="X86" s="3">
        <v>83.01</v>
      </c>
      <c r="Y86" s="3">
        <f>69.65+203.65</f>
        <v>273.3</v>
      </c>
      <c r="Z86" s="2">
        <f t="shared" si="33"/>
        <v>200</v>
      </c>
      <c r="AA86" s="2"/>
      <c r="AB86" s="2"/>
      <c r="AC86" s="2">
        <f t="shared" si="34"/>
        <v>0</v>
      </c>
      <c r="AD86" s="2">
        <v>0</v>
      </c>
      <c r="AE86" s="2">
        <v>0</v>
      </c>
      <c r="AF86" s="2">
        <f t="shared" si="35"/>
        <v>0</v>
      </c>
      <c r="AG86" s="6">
        <f t="shared" si="36"/>
        <v>1518.82</v>
      </c>
      <c r="AH86" s="5">
        <f t="shared" si="37"/>
        <v>2871.69</v>
      </c>
      <c r="AI86" s="7">
        <f t="shared" si="38"/>
        <v>1400</v>
      </c>
    </row>
    <row r="87" spans="1:35" x14ac:dyDescent="0.2">
      <c r="A87" s="11">
        <v>444</v>
      </c>
      <c r="B87" s="10" t="s">
        <v>29</v>
      </c>
      <c r="C87" s="8">
        <v>3189</v>
      </c>
      <c r="D87" s="8">
        <v>2875</v>
      </c>
      <c r="E87" s="7">
        <f t="shared" si="30"/>
        <v>-300</v>
      </c>
      <c r="F87" s="8">
        <v>56191</v>
      </c>
      <c r="G87" s="8">
        <v>56035</v>
      </c>
      <c r="H87" s="4">
        <f t="shared" si="31"/>
        <v>-200</v>
      </c>
      <c r="I87" s="8">
        <v>58108</v>
      </c>
      <c r="J87" s="8">
        <v>64497</v>
      </c>
      <c r="K87" s="9">
        <f t="shared" si="26"/>
        <v>6400</v>
      </c>
      <c r="L87" s="8">
        <v>28103</v>
      </c>
      <c r="M87" s="8">
        <v>27667</v>
      </c>
      <c r="N87" s="7">
        <f t="shared" si="29"/>
        <v>-400</v>
      </c>
      <c r="O87" s="21">
        <f>6048.84+71113.49+63.14+5438.65</f>
        <v>82664.12</v>
      </c>
      <c r="P87" s="3">
        <f>5646.62+27848.84+11640.29+11390.08+3962.31+3902.53+212.46</f>
        <v>64603.13</v>
      </c>
      <c r="Q87" s="2">
        <f t="shared" si="32"/>
        <v>-18100</v>
      </c>
      <c r="R87" s="3">
        <f>4.26+29107.41+7181.01+8146.79+10730.62</f>
        <v>55170.090000000004</v>
      </c>
      <c r="S87" s="3">
        <f>2.47+16991.44+4199.11+4762.06+6250.82+2351.02</f>
        <v>34556.92</v>
      </c>
      <c r="T87" s="2">
        <f t="shared" si="27"/>
        <v>-20600</v>
      </c>
      <c r="U87" s="3">
        <f>53.68+948.7+749.27+644.37+538.58</f>
        <v>2934.6</v>
      </c>
      <c r="V87" s="3">
        <f>30.2+523.3+389.48+322.33+190.23+46.59+20.97</f>
        <v>1523.1</v>
      </c>
      <c r="W87" s="2">
        <f t="shared" si="28"/>
        <v>-1400</v>
      </c>
      <c r="X87" s="3">
        <f>353.04+1102+5848.8+437.36+462.11+448.59+822.65+131.87+651.49</f>
        <v>10257.91</v>
      </c>
      <c r="Y87" s="3">
        <f>1469.58+583.33+598.36+176.03+321.28+57.09+152.58+89.82+82.61+18.21+8.69+437.86+3966.79+1670.47+1689.82+808.92+506.08+17.81</f>
        <v>12655.33</v>
      </c>
      <c r="Z87" s="2">
        <f t="shared" si="33"/>
        <v>2400</v>
      </c>
      <c r="AA87" s="2"/>
      <c r="AB87" s="2">
        <f>4982.68+4982.68+4982.68</f>
        <v>14948.04</v>
      </c>
      <c r="AC87" s="2">
        <f t="shared" si="34"/>
        <v>14900</v>
      </c>
      <c r="AD87" s="2">
        <v>0</v>
      </c>
      <c r="AE87" s="2">
        <v>0</v>
      </c>
      <c r="AF87" s="2">
        <f t="shared" si="35"/>
        <v>0</v>
      </c>
      <c r="AG87" s="6">
        <f t="shared" si="36"/>
        <v>151026.72</v>
      </c>
      <c r="AH87" s="5">
        <f t="shared" si="37"/>
        <v>128286.51999999999</v>
      </c>
      <c r="AI87" s="7">
        <f t="shared" si="38"/>
        <v>-22800</v>
      </c>
    </row>
    <row r="88" spans="1:35" x14ac:dyDescent="0.2">
      <c r="A88" s="11">
        <v>427</v>
      </c>
      <c r="B88" s="10" t="s">
        <v>28</v>
      </c>
      <c r="C88" s="8">
        <v>720</v>
      </c>
      <c r="D88" s="8">
        <v>515</v>
      </c>
      <c r="E88" s="7">
        <f t="shared" si="30"/>
        <v>-200</v>
      </c>
      <c r="F88" s="8">
        <v>47174</v>
      </c>
      <c r="G88" s="8">
        <v>46164</v>
      </c>
      <c r="H88" s="4">
        <f t="shared" si="31"/>
        <v>-1000</v>
      </c>
      <c r="I88" s="8">
        <v>33915</v>
      </c>
      <c r="J88" s="8">
        <v>34548</v>
      </c>
      <c r="K88" s="9">
        <f t="shared" si="26"/>
        <v>600</v>
      </c>
      <c r="L88" s="8">
        <v>49180</v>
      </c>
      <c r="M88" s="8">
        <v>42376</v>
      </c>
      <c r="N88" s="7">
        <f t="shared" si="29"/>
        <v>-6800</v>
      </c>
      <c r="O88" s="21">
        <v>0</v>
      </c>
      <c r="P88" s="3">
        <v>0</v>
      </c>
      <c r="Q88" s="2">
        <f t="shared" si="32"/>
        <v>0</v>
      </c>
      <c r="R88" s="3">
        <v>0</v>
      </c>
      <c r="S88" s="3">
        <v>0</v>
      </c>
      <c r="T88" s="2">
        <f t="shared" si="27"/>
        <v>0</v>
      </c>
      <c r="U88" s="3">
        <v>0</v>
      </c>
      <c r="V88" s="3">
        <v>0</v>
      </c>
      <c r="W88" s="2">
        <f t="shared" si="28"/>
        <v>0</v>
      </c>
      <c r="X88" s="3">
        <v>0</v>
      </c>
      <c r="Y88" s="3">
        <v>0</v>
      </c>
      <c r="Z88" s="2">
        <f t="shared" si="33"/>
        <v>0</v>
      </c>
      <c r="AA88" s="2"/>
      <c r="AB88" s="2"/>
      <c r="AC88" s="2">
        <f t="shared" si="34"/>
        <v>0</v>
      </c>
      <c r="AD88" s="2">
        <v>0</v>
      </c>
      <c r="AE88" s="2">
        <v>0</v>
      </c>
      <c r="AF88" s="2">
        <f t="shared" si="35"/>
        <v>0</v>
      </c>
      <c r="AG88" s="6">
        <f t="shared" si="36"/>
        <v>0</v>
      </c>
      <c r="AH88" s="5">
        <f t="shared" si="37"/>
        <v>0</v>
      </c>
      <c r="AI88" s="7">
        <f t="shared" si="38"/>
        <v>0</v>
      </c>
    </row>
    <row r="89" spans="1:35" x14ac:dyDescent="0.2">
      <c r="A89" s="11">
        <v>501</v>
      </c>
      <c r="B89" s="10" t="s">
        <v>27</v>
      </c>
      <c r="C89" s="8">
        <f>760-61</f>
        <v>699</v>
      </c>
      <c r="D89" s="8">
        <v>407</v>
      </c>
      <c r="E89" s="7">
        <f t="shared" si="30"/>
        <v>-300</v>
      </c>
      <c r="F89" s="8">
        <f>5982-596</f>
        <v>5386</v>
      </c>
      <c r="G89" s="8">
        <v>5447</v>
      </c>
      <c r="H89" s="4">
        <f t="shared" si="31"/>
        <v>100</v>
      </c>
      <c r="I89" s="8">
        <f>8062-619</f>
        <v>7443</v>
      </c>
      <c r="J89" s="8">
        <v>10730</v>
      </c>
      <c r="K89" s="9">
        <f t="shared" ref="K89:K113" si="39">ROUND(+J89-I89,-2)</f>
        <v>3300</v>
      </c>
      <c r="L89" s="8">
        <f>149755-29700</f>
        <v>120055</v>
      </c>
      <c r="M89" s="8">
        <v>126550</v>
      </c>
      <c r="N89" s="7">
        <f t="shared" si="29"/>
        <v>6500</v>
      </c>
      <c r="O89" s="21">
        <f>6152.09+422.57-164</f>
        <v>6410.66</v>
      </c>
      <c r="P89" s="3">
        <f>15813.55-1581.35</f>
        <v>14232.199999999999</v>
      </c>
      <c r="Q89" s="2">
        <f t="shared" si="32"/>
        <v>7800</v>
      </c>
      <c r="R89" s="3">
        <f>72218.16+186.91-1940</f>
        <v>70465.070000000007</v>
      </c>
      <c r="S89" s="3">
        <v>38740.050000000003</v>
      </c>
      <c r="T89" s="2">
        <f t="shared" ref="T89:T113" si="40">ROUND(S89-R89,-2)</f>
        <v>-31700</v>
      </c>
      <c r="U89" s="3">
        <f>53.68</f>
        <v>53.68</v>
      </c>
      <c r="V89" s="3">
        <v>27.18</v>
      </c>
      <c r="W89" s="2">
        <f t="shared" ref="W89:W113" si="41">ROUND(V89-U89,-2)</f>
        <v>0</v>
      </c>
      <c r="X89" s="3">
        <v>7480</v>
      </c>
      <c r="Y89" s="22">
        <f>4162.97+162.34+6231.95-1055.72</f>
        <v>9501.5400000000009</v>
      </c>
      <c r="Z89" s="2">
        <f t="shared" si="33"/>
        <v>2000</v>
      </c>
      <c r="AA89" s="2"/>
      <c r="AB89" s="2">
        <v>16587.36</v>
      </c>
      <c r="AC89" s="2">
        <f t="shared" si="34"/>
        <v>16600</v>
      </c>
      <c r="AD89" s="2">
        <v>0</v>
      </c>
      <c r="AE89" s="2">
        <v>0</v>
      </c>
      <c r="AF89" s="2">
        <f t="shared" si="35"/>
        <v>0</v>
      </c>
      <c r="AG89" s="6">
        <f t="shared" si="36"/>
        <v>84409.41</v>
      </c>
      <c r="AH89" s="5">
        <f t="shared" si="37"/>
        <v>79088.33</v>
      </c>
      <c r="AI89" s="7">
        <f t="shared" si="38"/>
        <v>-5300</v>
      </c>
    </row>
    <row r="90" spans="1:35" x14ac:dyDescent="0.2">
      <c r="A90" s="11">
        <v>502</v>
      </c>
      <c r="B90" s="10" t="s">
        <v>26</v>
      </c>
      <c r="C90" s="8">
        <v>0</v>
      </c>
      <c r="D90" s="8">
        <v>0</v>
      </c>
      <c r="E90" s="7">
        <f t="shared" si="30"/>
        <v>0</v>
      </c>
      <c r="F90" s="8">
        <v>0</v>
      </c>
      <c r="G90" s="8">
        <v>0</v>
      </c>
      <c r="H90" s="4">
        <f t="shared" si="31"/>
        <v>0</v>
      </c>
      <c r="I90" s="8">
        <v>0</v>
      </c>
      <c r="J90" s="8">
        <v>0</v>
      </c>
      <c r="K90" s="9">
        <f t="shared" si="39"/>
        <v>0</v>
      </c>
      <c r="L90" s="8">
        <v>0</v>
      </c>
      <c r="M90" s="8">
        <v>0</v>
      </c>
      <c r="N90" s="7">
        <f t="shared" si="29"/>
        <v>0</v>
      </c>
      <c r="O90" s="21">
        <v>0</v>
      </c>
      <c r="P90" s="3">
        <v>0</v>
      </c>
      <c r="Q90" s="2">
        <f t="shared" si="32"/>
        <v>0</v>
      </c>
      <c r="R90" s="3">
        <v>0</v>
      </c>
      <c r="S90" s="3">
        <v>0</v>
      </c>
      <c r="T90" s="2">
        <f t="shared" si="40"/>
        <v>0</v>
      </c>
      <c r="U90" s="3">
        <v>0</v>
      </c>
      <c r="V90" s="3">
        <v>0</v>
      </c>
      <c r="W90" s="2">
        <f t="shared" si="41"/>
        <v>0</v>
      </c>
      <c r="X90" s="3">
        <v>0</v>
      </c>
      <c r="Y90" s="3">
        <v>0</v>
      </c>
      <c r="Z90" s="2">
        <f t="shared" si="33"/>
        <v>0</v>
      </c>
      <c r="AA90" s="2"/>
      <c r="AB90" s="2"/>
      <c r="AC90" s="2">
        <f t="shared" si="34"/>
        <v>0</v>
      </c>
      <c r="AD90" s="2">
        <v>0</v>
      </c>
      <c r="AE90" s="2">
        <v>0</v>
      </c>
      <c r="AF90" s="2">
        <f t="shared" si="35"/>
        <v>0</v>
      </c>
      <c r="AG90" s="6">
        <f t="shared" si="36"/>
        <v>0</v>
      </c>
      <c r="AH90" s="5">
        <f t="shared" si="37"/>
        <v>0</v>
      </c>
      <c r="AI90" s="7">
        <f t="shared" si="38"/>
        <v>0</v>
      </c>
    </row>
    <row r="91" spans="1:35" x14ac:dyDescent="0.2">
      <c r="A91" s="11">
        <v>503</v>
      </c>
      <c r="B91" s="10" t="s">
        <v>25</v>
      </c>
      <c r="C91" s="8">
        <v>918</v>
      </c>
      <c r="D91" s="8">
        <v>601</v>
      </c>
      <c r="E91" s="7">
        <f t="shared" si="30"/>
        <v>-300</v>
      </c>
      <c r="F91" s="8">
        <v>9007</v>
      </c>
      <c r="G91" s="8">
        <v>7189</v>
      </c>
      <c r="H91" s="4">
        <f t="shared" si="31"/>
        <v>-1800</v>
      </c>
      <c r="I91" s="8">
        <v>6610</v>
      </c>
      <c r="J91" s="8">
        <v>7583</v>
      </c>
      <c r="K91" s="9">
        <f t="shared" si="39"/>
        <v>1000</v>
      </c>
      <c r="L91" s="8">
        <v>634</v>
      </c>
      <c r="M91" s="8">
        <v>0</v>
      </c>
      <c r="N91" s="7">
        <f t="shared" ref="N91:N113" si="42">ROUND(+M91-L91,-2)</f>
        <v>-600</v>
      </c>
      <c r="O91" s="21">
        <v>3680.57</v>
      </c>
      <c r="P91" s="3">
        <v>1276.3</v>
      </c>
      <c r="Q91" s="2">
        <f t="shared" si="32"/>
        <v>-2400</v>
      </c>
      <c r="R91" s="3">
        <v>436.51</v>
      </c>
      <c r="S91" s="3">
        <v>254.05</v>
      </c>
      <c r="T91" s="2">
        <f t="shared" si="40"/>
        <v>-200</v>
      </c>
      <c r="U91" s="3">
        <v>53.68</v>
      </c>
      <c r="V91" s="3">
        <v>30.2</v>
      </c>
      <c r="W91" s="2">
        <f t="shared" si="41"/>
        <v>0</v>
      </c>
      <c r="X91" s="3">
        <v>241.12</v>
      </c>
      <c r="Y91" s="3">
        <f>253.09+138.43</f>
        <v>391.52</v>
      </c>
      <c r="Z91" s="2">
        <f t="shared" si="33"/>
        <v>200</v>
      </c>
      <c r="AA91" s="2"/>
      <c r="AB91" s="2"/>
      <c r="AC91" s="2">
        <f t="shared" si="34"/>
        <v>0</v>
      </c>
      <c r="AD91" s="2">
        <v>0</v>
      </c>
      <c r="AE91" s="2">
        <v>0</v>
      </c>
      <c r="AF91" s="2">
        <f t="shared" si="35"/>
        <v>0</v>
      </c>
      <c r="AG91" s="6">
        <f t="shared" si="36"/>
        <v>4411.88</v>
      </c>
      <c r="AH91" s="5">
        <f t="shared" si="37"/>
        <v>1952.07</v>
      </c>
      <c r="AI91" s="7">
        <f t="shared" si="38"/>
        <v>-2400</v>
      </c>
    </row>
    <row r="92" spans="1:35" x14ac:dyDescent="0.2">
      <c r="A92" s="11">
        <v>504</v>
      </c>
      <c r="B92" s="10" t="s">
        <v>24</v>
      </c>
      <c r="C92" s="8">
        <v>0</v>
      </c>
      <c r="D92" s="8">
        <v>0</v>
      </c>
      <c r="E92" s="7">
        <f t="shared" si="30"/>
        <v>0</v>
      </c>
      <c r="F92" s="8">
        <v>0</v>
      </c>
      <c r="G92" s="8">
        <v>0</v>
      </c>
      <c r="H92" s="4">
        <f t="shared" si="31"/>
        <v>0</v>
      </c>
      <c r="I92" s="8">
        <v>0</v>
      </c>
      <c r="J92" s="8">
        <v>0</v>
      </c>
      <c r="K92" s="9">
        <f t="shared" si="39"/>
        <v>0</v>
      </c>
      <c r="L92" s="8">
        <v>0</v>
      </c>
      <c r="M92" s="8">
        <v>0</v>
      </c>
      <c r="N92" s="7">
        <f t="shared" si="42"/>
        <v>0</v>
      </c>
      <c r="O92" s="21">
        <v>0</v>
      </c>
      <c r="P92" s="3">
        <v>0</v>
      </c>
      <c r="Q92" s="2">
        <f t="shared" si="32"/>
        <v>0</v>
      </c>
      <c r="R92" s="3">
        <v>0</v>
      </c>
      <c r="S92" s="3"/>
      <c r="T92" s="2">
        <f t="shared" si="40"/>
        <v>0</v>
      </c>
      <c r="U92" s="3">
        <v>0</v>
      </c>
      <c r="V92" s="3">
        <v>0</v>
      </c>
      <c r="W92" s="2">
        <f t="shared" si="41"/>
        <v>0</v>
      </c>
      <c r="X92" s="3">
        <v>0</v>
      </c>
      <c r="Y92" s="3">
        <v>0</v>
      </c>
      <c r="Z92" s="2">
        <f t="shared" si="33"/>
        <v>0</v>
      </c>
      <c r="AA92" s="2"/>
      <c r="AB92" s="2"/>
      <c r="AC92" s="2">
        <f t="shared" si="34"/>
        <v>0</v>
      </c>
      <c r="AD92" s="2">
        <v>0</v>
      </c>
      <c r="AE92" s="2">
        <v>0</v>
      </c>
      <c r="AF92" s="2">
        <f t="shared" si="35"/>
        <v>0</v>
      </c>
      <c r="AG92" s="6">
        <f t="shared" si="36"/>
        <v>0</v>
      </c>
      <c r="AH92" s="5">
        <f t="shared" si="37"/>
        <v>0</v>
      </c>
      <c r="AI92" s="7">
        <f t="shared" si="38"/>
        <v>0</v>
      </c>
    </row>
    <row r="93" spans="1:35" x14ac:dyDescent="0.2">
      <c r="A93" s="11">
        <v>511</v>
      </c>
      <c r="B93" s="10" t="s">
        <v>23</v>
      </c>
      <c r="C93" s="8">
        <v>45</v>
      </c>
      <c r="D93" s="8">
        <v>41</v>
      </c>
      <c r="E93" s="7">
        <f t="shared" si="30"/>
        <v>0</v>
      </c>
      <c r="F93" s="8">
        <v>64597</v>
      </c>
      <c r="G93" s="8">
        <v>48131</v>
      </c>
      <c r="H93" s="4">
        <f t="shared" si="31"/>
        <v>-16500</v>
      </c>
      <c r="I93" s="8">
        <v>185485</v>
      </c>
      <c r="J93" s="8">
        <v>146818</v>
      </c>
      <c r="K93" s="9">
        <f t="shared" si="39"/>
        <v>-38700</v>
      </c>
      <c r="L93" s="8">
        <v>0</v>
      </c>
      <c r="M93" s="8">
        <v>0</v>
      </c>
      <c r="N93" s="7">
        <f t="shared" si="42"/>
        <v>0</v>
      </c>
      <c r="O93" s="21">
        <v>36677.269999999997</v>
      </c>
      <c r="P93" s="3">
        <v>87713.87</v>
      </c>
      <c r="Q93" s="2">
        <f t="shared" si="32"/>
        <v>51000</v>
      </c>
      <c r="R93" s="3">
        <v>140388.89000000001</v>
      </c>
      <c r="S93" s="3">
        <v>89721.34</v>
      </c>
      <c r="T93" s="2">
        <f t="shared" si="40"/>
        <v>-50700</v>
      </c>
      <c r="U93" s="3">
        <v>5981.19</v>
      </c>
      <c r="V93" s="3">
        <v>2602.16</v>
      </c>
      <c r="W93" s="2">
        <f t="shared" si="41"/>
        <v>-3400</v>
      </c>
      <c r="X93" s="3">
        <f>6656.18+10582.3</f>
        <v>17238.48</v>
      </c>
      <c r="Y93" s="3">
        <f>9766.4+566.12+15614.83</f>
        <v>25947.35</v>
      </c>
      <c r="Z93" s="2">
        <f t="shared" si="33"/>
        <v>8700</v>
      </c>
      <c r="AA93" s="2"/>
      <c r="AB93" s="2">
        <v>14197.87</v>
      </c>
      <c r="AC93" s="2">
        <f t="shared" si="34"/>
        <v>14200</v>
      </c>
      <c r="AD93" s="2">
        <v>0</v>
      </c>
      <c r="AE93" s="2">
        <v>0</v>
      </c>
      <c r="AF93" s="2">
        <f t="shared" si="35"/>
        <v>0</v>
      </c>
      <c r="AG93" s="6">
        <f t="shared" si="36"/>
        <v>200285.83000000002</v>
      </c>
      <c r="AH93" s="5">
        <f t="shared" si="37"/>
        <v>220182.59</v>
      </c>
      <c r="AI93" s="7">
        <f t="shared" si="38"/>
        <v>19800</v>
      </c>
    </row>
    <row r="94" spans="1:35" x14ac:dyDescent="0.2">
      <c r="A94" s="11">
        <v>512</v>
      </c>
      <c r="B94" s="10" t="s">
        <v>22</v>
      </c>
      <c r="C94" s="8">
        <v>53</v>
      </c>
      <c r="D94" s="8">
        <v>49</v>
      </c>
      <c r="E94" s="7">
        <f t="shared" si="30"/>
        <v>0</v>
      </c>
      <c r="F94" s="8">
        <v>196802</v>
      </c>
      <c r="G94" s="8">
        <v>161169</v>
      </c>
      <c r="H94" s="4">
        <f t="shared" si="31"/>
        <v>-35600</v>
      </c>
      <c r="I94" s="8">
        <v>473879</v>
      </c>
      <c r="J94" s="8">
        <v>509906</v>
      </c>
      <c r="K94" s="9">
        <f t="shared" si="39"/>
        <v>36000</v>
      </c>
      <c r="L94" s="8">
        <v>0</v>
      </c>
      <c r="M94" s="8">
        <v>0</v>
      </c>
      <c r="N94" s="7">
        <f t="shared" si="42"/>
        <v>0</v>
      </c>
      <c r="O94" s="21">
        <v>411129.49</v>
      </c>
      <c r="P94" s="3">
        <v>442284.94</v>
      </c>
      <c r="Q94" s="2">
        <f t="shared" si="32"/>
        <v>31200</v>
      </c>
      <c r="R94" s="3">
        <v>1055624.77</v>
      </c>
      <c r="S94" s="3">
        <v>871402.95</v>
      </c>
      <c r="T94" s="2">
        <f t="shared" si="40"/>
        <v>-184200</v>
      </c>
      <c r="U94" s="3">
        <v>13290.31</v>
      </c>
      <c r="V94" s="3">
        <v>7727.96</v>
      </c>
      <c r="W94" s="2">
        <f t="shared" si="41"/>
        <v>-5600</v>
      </c>
      <c r="X94" s="3">
        <f>53254.64+85564.04</f>
        <v>138818.68</v>
      </c>
      <c r="Y94" s="3">
        <f>105579.1+2805.32+111594.94</f>
        <v>219979.36000000002</v>
      </c>
      <c r="Z94" s="2">
        <f t="shared" si="33"/>
        <v>81200</v>
      </c>
      <c r="AA94" s="2"/>
      <c r="AB94" s="2">
        <v>32189.439999999999</v>
      </c>
      <c r="AC94" s="2">
        <f t="shared" si="34"/>
        <v>32200</v>
      </c>
      <c r="AD94" s="2">
        <v>0</v>
      </c>
      <c r="AE94" s="2">
        <v>0</v>
      </c>
      <c r="AF94" s="2">
        <f t="shared" si="35"/>
        <v>0</v>
      </c>
      <c r="AG94" s="6">
        <f t="shared" si="36"/>
        <v>1618863.25</v>
      </c>
      <c r="AH94" s="5">
        <f t="shared" si="37"/>
        <v>1573584.65</v>
      </c>
      <c r="AI94" s="7">
        <f t="shared" si="38"/>
        <v>-45200</v>
      </c>
    </row>
    <row r="95" spans="1:35" x14ac:dyDescent="0.2">
      <c r="A95" s="11">
        <v>513</v>
      </c>
      <c r="B95" s="10" t="s">
        <v>21</v>
      </c>
      <c r="C95" s="8">
        <v>31</v>
      </c>
      <c r="D95" s="8">
        <v>33</v>
      </c>
      <c r="E95" s="7">
        <f t="shared" si="30"/>
        <v>0</v>
      </c>
      <c r="F95" s="8">
        <v>155689</v>
      </c>
      <c r="G95" s="8">
        <v>140237</v>
      </c>
      <c r="H95" s="4">
        <f t="shared" si="31"/>
        <v>-15500</v>
      </c>
      <c r="I95" s="8">
        <v>311384</v>
      </c>
      <c r="J95" s="8">
        <v>327462</v>
      </c>
      <c r="K95" s="9">
        <f t="shared" si="39"/>
        <v>16100</v>
      </c>
      <c r="L95" s="8">
        <v>0</v>
      </c>
      <c r="M95" s="8">
        <v>0</v>
      </c>
      <c r="N95" s="7">
        <f t="shared" si="42"/>
        <v>0</v>
      </c>
      <c r="O95" s="21">
        <v>184731.84</v>
      </c>
      <c r="P95" s="3">
        <v>394636.28</v>
      </c>
      <c r="Q95" s="2">
        <f t="shared" si="32"/>
        <v>209900</v>
      </c>
      <c r="R95" s="3">
        <v>686324.5</v>
      </c>
      <c r="S95" s="3">
        <v>399807.88</v>
      </c>
      <c r="T95" s="2">
        <f t="shared" si="40"/>
        <v>-286500</v>
      </c>
      <c r="U95" s="3">
        <v>13404.34</v>
      </c>
      <c r="V95" s="3">
        <v>7796.14</v>
      </c>
      <c r="W95" s="2">
        <f t="shared" si="41"/>
        <v>-5600</v>
      </c>
      <c r="X95" s="3">
        <f>37028.42+51132.27</f>
        <v>88160.69</v>
      </c>
      <c r="Y95" s="3">
        <f>49382.8+3447.43+78376.86</f>
        <v>131207.09</v>
      </c>
      <c r="Z95" s="2">
        <f t="shared" si="33"/>
        <v>43000</v>
      </c>
      <c r="AA95" s="2"/>
      <c r="AB95" s="2">
        <v>171733.82</v>
      </c>
      <c r="AC95" s="2">
        <f t="shared" si="34"/>
        <v>171700</v>
      </c>
      <c r="AD95" s="2">
        <v>0</v>
      </c>
      <c r="AE95" s="2">
        <v>0</v>
      </c>
      <c r="AF95" s="2">
        <f t="shared" si="35"/>
        <v>0</v>
      </c>
      <c r="AG95" s="6">
        <f t="shared" si="36"/>
        <v>972621.36999999988</v>
      </c>
      <c r="AH95" s="5">
        <f t="shared" si="37"/>
        <v>1105181.21</v>
      </c>
      <c r="AI95" s="7">
        <f t="shared" si="38"/>
        <v>132500</v>
      </c>
    </row>
    <row r="96" spans="1:35" x14ac:dyDescent="0.2">
      <c r="A96" s="11">
        <v>514</v>
      </c>
      <c r="B96" s="10" t="s">
        <v>20</v>
      </c>
      <c r="C96" s="8">
        <v>207</v>
      </c>
      <c r="D96" s="8">
        <v>174</v>
      </c>
      <c r="E96" s="7">
        <f t="shared" si="30"/>
        <v>0</v>
      </c>
      <c r="F96" s="8">
        <v>145577</v>
      </c>
      <c r="G96" s="8">
        <v>140665</v>
      </c>
      <c r="H96" s="4">
        <f t="shared" si="31"/>
        <v>-4900</v>
      </c>
      <c r="I96" s="8">
        <v>606251</v>
      </c>
      <c r="J96" s="8">
        <v>526780</v>
      </c>
      <c r="K96" s="9">
        <f t="shared" si="39"/>
        <v>-79500</v>
      </c>
      <c r="L96" s="8">
        <v>1272</v>
      </c>
      <c r="M96" s="8">
        <v>0</v>
      </c>
      <c r="N96" s="7">
        <f t="shared" si="42"/>
        <v>-1300</v>
      </c>
      <c r="O96" s="21">
        <v>600940.18999999994</v>
      </c>
      <c r="P96" s="3">
        <v>530572.93000000005</v>
      </c>
      <c r="Q96" s="2">
        <f t="shared" si="32"/>
        <v>-70400</v>
      </c>
      <c r="R96" s="3">
        <v>1238582.3899999999</v>
      </c>
      <c r="S96" s="3">
        <v>754556.06</v>
      </c>
      <c r="T96" s="2">
        <f t="shared" si="40"/>
        <v>-484000</v>
      </c>
      <c r="U96" s="3">
        <v>22347.83</v>
      </c>
      <c r="V96" s="3">
        <v>14912.88</v>
      </c>
      <c r="W96" s="2">
        <f t="shared" si="41"/>
        <v>-7400</v>
      </c>
      <c r="X96" s="3">
        <f>55986.14+107638.08</f>
        <v>163624.22</v>
      </c>
      <c r="Y96" s="3">
        <f>74904.13+2799.81+112165.07</f>
        <v>189869.01</v>
      </c>
      <c r="Z96" s="2">
        <f t="shared" si="33"/>
        <v>26200</v>
      </c>
      <c r="AA96" s="2"/>
      <c r="AB96" s="2">
        <v>91713.13</v>
      </c>
      <c r="AC96" s="2">
        <f t="shared" si="34"/>
        <v>91700</v>
      </c>
      <c r="AD96" s="2">
        <v>0</v>
      </c>
      <c r="AE96" s="2">
        <v>0</v>
      </c>
      <c r="AF96" s="2">
        <f t="shared" si="35"/>
        <v>0</v>
      </c>
      <c r="AG96" s="6">
        <f t="shared" si="36"/>
        <v>2025494.63</v>
      </c>
      <c r="AH96" s="5">
        <f t="shared" si="37"/>
        <v>1581624.0100000002</v>
      </c>
      <c r="AI96" s="7">
        <f t="shared" si="38"/>
        <v>-443900</v>
      </c>
    </row>
    <row r="97" spans="1:35" x14ac:dyDescent="0.2">
      <c r="A97" s="11">
        <v>520</v>
      </c>
      <c r="B97" s="10" t="s">
        <v>19</v>
      </c>
      <c r="C97" s="8">
        <v>848</v>
      </c>
      <c r="D97" s="8">
        <v>792</v>
      </c>
      <c r="E97" s="7">
        <f t="shared" si="30"/>
        <v>-100</v>
      </c>
      <c r="F97" s="8">
        <v>12356</v>
      </c>
      <c r="G97" s="8">
        <v>11728</v>
      </c>
      <c r="H97" s="4">
        <f t="shared" si="31"/>
        <v>-600</v>
      </c>
      <c r="I97" s="8">
        <v>16542</v>
      </c>
      <c r="J97" s="8">
        <v>18773</v>
      </c>
      <c r="K97" s="9">
        <f t="shared" si="39"/>
        <v>2200</v>
      </c>
      <c r="L97" s="8">
        <v>13831</v>
      </c>
      <c r="M97" s="8">
        <v>16787</v>
      </c>
      <c r="N97" s="7">
        <f t="shared" si="42"/>
        <v>3000</v>
      </c>
      <c r="O97" s="21">
        <v>18927.54</v>
      </c>
      <c r="P97" s="3">
        <v>15635.67</v>
      </c>
      <c r="Q97" s="2">
        <f t="shared" si="32"/>
        <v>-3300</v>
      </c>
      <c r="R97" s="3">
        <v>12011.18</v>
      </c>
      <c r="S97" s="3">
        <v>7190</v>
      </c>
      <c r="T97" s="2">
        <f t="shared" si="40"/>
        <v>-4800</v>
      </c>
      <c r="U97" s="3">
        <v>765.68</v>
      </c>
      <c r="V97" s="3">
        <v>343.98</v>
      </c>
      <c r="W97" s="2">
        <f t="shared" si="41"/>
        <v>-400</v>
      </c>
      <c r="X97" s="3">
        <f>64.18+1832.89</f>
        <v>1897.0700000000002</v>
      </c>
      <c r="Y97" s="3">
        <f>85.4+180.03+2492.22</f>
        <v>2757.6499999999996</v>
      </c>
      <c r="Z97" s="2">
        <f t="shared" si="33"/>
        <v>900</v>
      </c>
      <c r="AA97" s="2"/>
      <c r="AB97" s="2">
        <v>9215.19</v>
      </c>
      <c r="AC97" s="2">
        <f t="shared" si="34"/>
        <v>9200</v>
      </c>
      <c r="AD97" s="2">
        <v>0</v>
      </c>
      <c r="AE97" s="2">
        <v>0</v>
      </c>
      <c r="AF97" s="2">
        <f t="shared" si="35"/>
        <v>0</v>
      </c>
      <c r="AG97" s="6">
        <f t="shared" si="36"/>
        <v>33601.47</v>
      </c>
      <c r="AH97" s="5">
        <f t="shared" si="37"/>
        <v>35142.49</v>
      </c>
      <c r="AI97" s="7">
        <f t="shared" si="38"/>
        <v>1600</v>
      </c>
    </row>
    <row r="98" spans="1:35" x14ac:dyDescent="0.2">
      <c r="A98" s="11">
        <v>521</v>
      </c>
      <c r="B98" s="10" t="s">
        <v>18</v>
      </c>
      <c r="C98" s="8">
        <v>771</v>
      </c>
      <c r="D98" s="8">
        <v>436</v>
      </c>
      <c r="E98" s="7">
        <f t="shared" si="30"/>
        <v>-300</v>
      </c>
      <c r="F98" s="8">
        <v>5528</v>
      </c>
      <c r="G98" s="8">
        <v>4380</v>
      </c>
      <c r="H98" s="4">
        <f t="shared" si="31"/>
        <v>-1100</v>
      </c>
      <c r="I98" s="8">
        <v>7166</v>
      </c>
      <c r="J98" s="8">
        <v>7462</v>
      </c>
      <c r="K98" s="9">
        <f t="shared" si="39"/>
        <v>300</v>
      </c>
      <c r="L98" s="8">
        <v>0</v>
      </c>
      <c r="M98" s="8">
        <v>537</v>
      </c>
      <c r="N98" s="7">
        <f t="shared" si="42"/>
        <v>500</v>
      </c>
      <c r="O98" s="21">
        <v>9755.25</v>
      </c>
      <c r="P98" s="3">
        <v>4317.0600000000004</v>
      </c>
      <c r="Q98" s="2">
        <f t="shared" si="32"/>
        <v>-5400</v>
      </c>
      <c r="R98" s="3">
        <v>608.4</v>
      </c>
      <c r="S98" s="3">
        <v>354.1</v>
      </c>
      <c r="T98" s="2">
        <f t="shared" si="40"/>
        <v>-300</v>
      </c>
      <c r="U98" s="3">
        <v>119.13</v>
      </c>
      <c r="V98" s="3">
        <v>60.4</v>
      </c>
      <c r="W98" s="2">
        <f t="shared" si="41"/>
        <v>-100</v>
      </c>
      <c r="X98" s="3">
        <v>606.03</v>
      </c>
      <c r="Y98" s="3">
        <f>118.63+370.21</f>
        <v>488.84</v>
      </c>
      <c r="Z98" s="2">
        <f t="shared" si="33"/>
        <v>-100</v>
      </c>
      <c r="AA98" s="2"/>
      <c r="AB98" s="2"/>
      <c r="AC98" s="2">
        <f t="shared" si="34"/>
        <v>0</v>
      </c>
      <c r="AD98" s="2">
        <v>0</v>
      </c>
      <c r="AE98" s="2">
        <v>0</v>
      </c>
      <c r="AF98" s="2">
        <f t="shared" si="35"/>
        <v>0</v>
      </c>
      <c r="AG98" s="6">
        <f t="shared" si="36"/>
        <v>11088.81</v>
      </c>
      <c r="AH98" s="5">
        <f t="shared" si="37"/>
        <v>5220.4000000000005</v>
      </c>
      <c r="AI98" s="7">
        <f t="shared" si="38"/>
        <v>-5900</v>
      </c>
    </row>
    <row r="99" spans="1:35" x14ac:dyDescent="0.2">
      <c r="A99" s="11">
        <v>522</v>
      </c>
      <c r="B99" s="10" t="s">
        <v>17</v>
      </c>
      <c r="C99" s="8">
        <v>49</v>
      </c>
      <c r="D99" s="8">
        <v>41</v>
      </c>
      <c r="E99" s="7">
        <f t="shared" si="30"/>
        <v>0</v>
      </c>
      <c r="F99" s="8">
        <v>1533</v>
      </c>
      <c r="G99" s="8">
        <v>1487</v>
      </c>
      <c r="H99" s="4">
        <f t="shared" si="31"/>
        <v>0</v>
      </c>
      <c r="I99" s="8">
        <v>944</v>
      </c>
      <c r="J99" s="8">
        <v>1036</v>
      </c>
      <c r="K99" s="9">
        <f t="shared" si="39"/>
        <v>100</v>
      </c>
      <c r="L99" s="8">
        <v>0</v>
      </c>
      <c r="M99" s="8">
        <v>0</v>
      </c>
      <c r="N99" s="7">
        <f t="shared" si="42"/>
        <v>0</v>
      </c>
      <c r="O99" s="21">
        <v>0</v>
      </c>
      <c r="P99" s="3">
        <v>0</v>
      </c>
      <c r="Q99" s="2">
        <f t="shared" si="32"/>
        <v>0</v>
      </c>
      <c r="R99" s="3">
        <v>0</v>
      </c>
      <c r="S99" s="3">
        <v>0</v>
      </c>
      <c r="T99" s="2">
        <f t="shared" si="40"/>
        <v>0</v>
      </c>
      <c r="U99" s="3">
        <v>0</v>
      </c>
      <c r="V99" s="3">
        <v>0</v>
      </c>
      <c r="W99" s="2">
        <f t="shared" si="41"/>
        <v>0</v>
      </c>
      <c r="X99" s="3">
        <v>0</v>
      </c>
      <c r="Y99" s="3">
        <v>0</v>
      </c>
      <c r="Z99" s="2">
        <f t="shared" si="33"/>
        <v>0</v>
      </c>
      <c r="AA99" s="2"/>
      <c r="AB99" s="2"/>
      <c r="AC99" s="2">
        <f t="shared" si="34"/>
        <v>0</v>
      </c>
      <c r="AD99" s="2">
        <v>0</v>
      </c>
      <c r="AE99" s="2">
        <v>0</v>
      </c>
      <c r="AF99" s="2">
        <f t="shared" si="35"/>
        <v>0</v>
      </c>
      <c r="AG99" s="6">
        <f t="shared" si="36"/>
        <v>0</v>
      </c>
      <c r="AH99" s="5">
        <f t="shared" si="37"/>
        <v>0</v>
      </c>
      <c r="AI99" s="7">
        <f t="shared" si="38"/>
        <v>0</v>
      </c>
    </row>
    <row r="100" spans="1:35" x14ac:dyDescent="0.2">
      <c r="A100" s="11">
        <v>522</v>
      </c>
      <c r="B100" s="10" t="s">
        <v>16</v>
      </c>
      <c r="C100" s="8">
        <v>1238</v>
      </c>
      <c r="D100" s="8">
        <v>1036</v>
      </c>
      <c r="E100" s="7">
        <f t="shared" si="30"/>
        <v>-200</v>
      </c>
      <c r="F100" s="8">
        <v>11640</v>
      </c>
      <c r="G100" s="8">
        <v>11023</v>
      </c>
      <c r="H100" s="4">
        <f t="shared" si="31"/>
        <v>-600</v>
      </c>
      <c r="I100" s="8">
        <v>13349</v>
      </c>
      <c r="J100" s="8">
        <v>14640</v>
      </c>
      <c r="K100" s="9">
        <f t="shared" si="39"/>
        <v>1300</v>
      </c>
      <c r="L100" s="8">
        <v>200</v>
      </c>
      <c r="M100" s="8">
        <v>440</v>
      </c>
      <c r="N100" s="7">
        <f t="shared" si="42"/>
        <v>200</v>
      </c>
      <c r="O100" s="21">
        <v>3680.57</v>
      </c>
      <c r="P100" s="3">
        <v>20991.96</v>
      </c>
      <c r="Q100" s="2">
        <f t="shared" si="32"/>
        <v>17300</v>
      </c>
      <c r="R100" s="3">
        <v>44884.160000000003</v>
      </c>
      <c r="S100" s="3">
        <v>26222.21</v>
      </c>
      <c r="T100" s="2">
        <f t="shared" si="40"/>
        <v>-18700</v>
      </c>
      <c r="U100" s="3">
        <v>550.26</v>
      </c>
      <c r="V100" s="3">
        <v>324.7</v>
      </c>
      <c r="W100" s="2">
        <f t="shared" si="41"/>
        <v>-200</v>
      </c>
      <c r="X100" s="3">
        <f>1707.01+2839.43</f>
        <v>4546.4399999999996</v>
      </c>
      <c r="Y100" s="3">
        <f>2276.63+293.46+3824.86</f>
        <v>6394.9500000000007</v>
      </c>
      <c r="Z100" s="2">
        <f t="shared" si="33"/>
        <v>1800</v>
      </c>
      <c r="AA100" s="2"/>
      <c r="AB100" s="2"/>
      <c r="AC100" s="2">
        <f t="shared" si="34"/>
        <v>0</v>
      </c>
      <c r="AD100" s="2">
        <v>0</v>
      </c>
      <c r="AE100" s="2">
        <v>0</v>
      </c>
      <c r="AF100" s="2">
        <f t="shared" si="35"/>
        <v>0</v>
      </c>
      <c r="AG100" s="6">
        <f t="shared" si="36"/>
        <v>53661.430000000008</v>
      </c>
      <c r="AH100" s="5">
        <f t="shared" si="37"/>
        <v>53933.819999999992</v>
      </c>
      <c r="AI100" s="7">
        <f t="shared" si="38"/>
        <v>200</v>
      </c>
    </row>
    <row r="101" spans="1:35" x14ac:dyDescent="0.2">
      <c r="A101" s="11">
        <v>523</v>
      </c>
      <c r="B101" s="10" t="s">
        <v>15</v>
      </c>
      <c r="C101" s="8">
        <v>5439</v>
      </c>
      <c r="D101" s="8">
        <v>3838</v>
      </c>
      <c r="E101" s="7">
        <f t="shared" ref="E101:E113" si="43">ROUND(+D101-C101,-2)</f>
        <v>-1600</v>
      </c>
      <c r="F101" s="8">
        <v>52499</v>
      </c>
      <c r="G101" s="8">
        <v>44391</v>
      </c>
      <c r="H101" s="4">
        <f t="shared" ref="H101:H113" si="44">ROUND(+G101-F101,-2)</f>
        <v>-8100</v>
      </c>
      <c r="I101" s="8">
        <v>25239</v>
      </c>
      <c r="J101" s="8">
        <v>27107</v>
      </c>
      <c r="K101" s="9">
        <f t="shared" si="39"/>
        <v>1900</v>
      </c>
      <c r="L101" s="8">
        <v>21258</v>
      </c>
      <c r="M101" s="8">
        <v>12030</v>
      </c>
      <c r="N101" s="7">
        <f t="shared" si="42"/>
        <v>-9200</v>
      </c>
      <c r="O101" s="21">
        <v>10658.18</v>
      </c>
      <c r="P101" s="3">
        <v>29413.7</v>
      </c>
      <c r="Q101" s="2">
        <f t="shared" ref="Q101:Q113" si="45">ROUND(P101-O101,-2)</f>
        <v>18800</v>
      </c>
      <c r="R101" s="3">
        <v>718.78</v>
      </c>
      <c r="S101" s="3">
        <v>739.47</v>
      </c>
      <c r="T101" s="2">
        <f t="shared" si="40"/>
        <v>0</v>
      </c>
      <c r="U101" s="3">
        <v>1046.74</v>
      </c>
      <c r="V101" s="3">
        <v>588.94000000000005</v>
      </c>
      <c r="W101" s="2">
        <f t="shared" si="41"/>
        <v>-500</v>
      </c>
      <c r="X101" s="3">
        <v>718.34</v>
      </c>
      <c r="Y101" s="3">
        <f>182.92+2360.53</f>
        <v>2543.4500000000003</v>
      </c>
      <c r="Z101" s="2">
        <f t="shared" ref="Z101:Z113" si="46">ROUND(Y101-X101,-2)</f>
        <v>1800</v>
      </c>
      <c r="AA101" s="2"/>
      <c r="AB101" s="2"/>
      <c r="AC101" s="2">
        <f t="shared" ref="AC101:AC113" si="47">ROUND(AB101-AA101,-2)</f>
        <v>0</v>
      </c>
      <c r="AD101" s="2">
        <v>0</v>
      </c>
      <c r="AE101" s="2">
        <v>0</v>
      </c>
      <c r="AF101" s="2">
        <f t="shared" ref="AF101:AF113" si="48">ROUND(AE101-AD101,-2)</f>
        <v>0</v>
      </c>
      <c r="AG101" s="6">
        <f t="shared" ref="AG101:AG112" si="49">O101+R101+U101+X101+AA101+AD101</f>
        <v>13142.04</v>
      </c>
      <c r="AH101" s="5">
        <f t="shared" ref="AH101:AH112" si="50">P101+S101+V101+Y101+AB101+AE101</f>
        <v>33285.56</v>
      </c>
      <c r="AI101" s="7">
        <f t="shared" ref="AI101:AI112" si="51">Q101+T101+W101+Z101+AC101+AF101</f>
        <v>20100</v>
      </c>
    </row>
    <row r="102" spans="1:35" x14ac:dyDescent="0.2">
      <c r="A102" s="11">
        <v>525</v>
      </c>
      <c r="B102" s="10" t="s">
        <v>14</v>
      </c>
      <c r="C102" s="8">
        <v>61</v>
      </c>
      <c r="D102" s="8">
        <v>46</v>
      </c>
      <c r="E102" s="7">
        <f t="shared" si="43"/>
        <v>0</v>
      </c>
      <c r="F102" s="8">
        <v>596</v>
      </c>
      <c r="G102" s="8">
        <v>627</v>
      </c>
      <c r="H102" s="4">
        <f t="shared" si="44"/>
        <v>0</v>
      </c>
      <c r="I102" s="8">
        <v>619</v>
      </c>
      <c r="J102" s="8">
        <v>1162</v>
      </c>
      <c r="K102" s="9">
        <f t="shared" si="39"/>
        <v>500</v>
      </c>
      <c r="L102" s="8">
        <v>29700</v>
      </c>
      <c r="M102" s="8">
        <v>29285</v>
      </c>
      <c r="N102" s="7">
        <f t="shared" si="42"/>
        <v>-400</v>
      </c>
      <c r="O102" s="21">
        <v>164</v>
      </c>
      <c r="P102" s="44">
        <v>1581.35</v>
      </c>
      <c r="Q102" s="2">
        <f t="shared" si="45"/>
        <v>1400</v>
      </c>
      <c r="R102" s="3">
        <v>1940</v>
      </c>
      <c r="S102" s="3">
        <v>4304.4399999999996</v>
      </c>
      <c r="T102" s="2">
        <f t="shared" si="40"/>
        <v>2400</v>
      </c>
      <c r="U102" s="3">
        <v>0</v>
      </c>
      <c r="V102" s="3">
        <v>3.02</v>
      </c>
      <c r="W102" s="2">
        <f t="shared" si="41"/>
        <v>0</v>
      </c>
      <c r="X102" s="3">
        <v>211</v>
      </c>
      <c r="Y102" s="3">
        <v>1055.72</v>
      </c>
      <c r="Z102" s="2">
        <f t="shared" si="46"/>
        <v>800</v>
      </c>
      <c r="AA102" s="2"/>
      <c r="AB102" s="2">
        <v>1843.03</v>
      </c>
      <c r="AC102" s="2">
        <f t="shared" si="47"/>
        <v>1800</v>
      </c>
      <c r="AD102" s="2">
        <v>0</v>
      </c>
      <c r="AE102" s="2">
        <v>0</v>
      </c>
      <c r="AF102" s="2">
        <f t="shared" si="48"/>
        <v>0</v>
      </c>
      <c r="AG102" s="6">
        <f t="shared" si="49"/>
        <v>2315</v>
      </c>
      <c r="AH102" s="5">
        <f t="shared" si="50"/>
        <v>8787.56</v>
      </c>
      <c r="AI102" s="7">
        <f t="shared" si="51"/>
        <v>6400</v>
      </c>
    </row>
    <row r="103" spans="1:35" x14ac:dyDescent="0.2">
      <c r="A103" s="11">
        <v>900</v>
      </c>
      <c r="B103" s="10" t="s">
        <v>13</v>
      </c>
      <c r="C103" s="8">
        <v>324</v>
      </c>
      <c r="D103" s="8">
        <v>205</v>
      </c>
      <c r="E103" s="7">
        <f t="shared" si="43"/>
        <v>-100</v>
      </c>
      <c r="F103" s="8">
        <v>6301</v>
      </c>
      <c r="G103" s="8">
        <v>5031</v>
      </c>
      <c r="H103" s="4">
        <f t="shared" si="44"/>
        <v>-1300</v>
      </c>
      <c r="I103" s="8">
        <v>7042</v>
      </c>
      <c r="J103" s="8">
        <v>7491</v>
      </c>
      <c r="K103" s="9">
        <f t="shared" si="39"/>
        <v>400</v>
      </c>
      <c r="L103" s="8">
        <v>595522</v>
      </c>
      <c r="M103" s="8">
        <v>590672</v>
      </c>
      <c r="N103" s="7">
        <f t="shared" si="42"/>
        <v>-4900</v>
      </c>
      <c r="O103" s="21">
        <v>6970.12</v>
      </c>
      <c r="P103" s="3">
        <v>6405.92</v>
      </c>
      <c r="Q103" s="2">
        <f t="shared" si="45"/>
        <v>-600</v>
      </c>
      <c r="R103" s="3">
        <v>942.19</v>
      </c>
      <c r="S103" s="3">
        <v>548.38</v>
      </c>
      <c r="T103" s="2">
        <f t="shared" si="40"/>
        <v>-400</v>
      </c>
      <c r="U103" s="3">
        <v>155.99</v>
      </c>
      <c r="V103" s="3">
        <v>90.6</v>
      </c>
      <c r="W103" s="2">
        <f t="shared" si="41"/>
        <v>-100</v>
      </c>
      <c r="X103" s="3">
        <v>466.44</v>
      </c>
      <c r="Y103" s="3">
        <f>104.96+545.75</f>
        <v>650.71</v>
      </c>
      <c r="Z103" s="2">
        <f t="shared" si="46"/>
        <v>200</v>
      </c>
      <c r="AA103" s="2"/>
      <c r="AB103" s="2"/>
      <c r="AC103" s="2">
        <f t="shared" si="47"/>
        <v>0</v>
      </c>
      <c r="AD103" s="2">
        <v>0</v>
      </c>
      <c r="AE103" s="2">
        <v>0</v>
      </c>
      <c r="AF103" s="2">
        <f t="shared" si="48"/>
        <v>0</v>
      </c>
      <c r="AG103" s="6">
        <f t="shared" si="49"/>
        <v>8534.74</v>
      </c>
      <c r="AH103" s="5">
        <f t="shared" si="50"/>
        <v>7695.6100000000006</v>
      </c>
      <c r="AI103" s="7">
        <f t="shared" si="51"/>
        <v>-900</v>
      </c>
    </row>
    <row r="104" spans="1:35" x14ac:dyDescent="0.2">
      <c r="A104" s="11">
        <v>903</v>
      </c>
      <c r="B104" s="10" t="s">
        <v>12</v>
      </c>
      <c r="C104" s="8">
        <v>510</v>
      </c>
      <c r="D104" s="8">
        <v>328</v>
      </c>
      <c r="E104" s="7">
        <f t="shared" si="43"/>
        <v>-200</v>
      </c>
      <c r="F104" s="8">
        <v>2769</v>
      </c>
      <c r="G104" s="8">
        <v>1695</v>
      </c>
      <c r="H104" s="4">
        <f t="shared" si="44"/>
        <v>-1100</v>
      </c>
      <c r="I104" s="8">
        <v>0</v>
      </c>
      <c r="J104" s="8">
        <v>0</v>
      </c>
      <c r="K104" s="9">
        <f t="shared" si="39"/>
        <v>0</v>
      </c>
      <c r="L104" s="8">
        <v>0</v>
      </c>
      <c r="M104" s="8">
        <v>0</v>
      </c>
      <c r="N104" s="7">
        <f t="shared" si="42"/>
        <v>0</v>
      </c>
      <c r="O104" s="21">
        <v>0</v>
      </c>
      <c r="P104" s="3">
        <v>0</v>
      </c>
      <c r="Q104" s="2">
        <f t="shared" si="45"/>
        <v>0</v>
      </c>
      <c r="R104" s="3">
        <v>0</v>
      </c>
      <c r="S104" s="3">
        <v>0</v>
      </c>
      <c r="T104" s="2">
        <f t="shared" si="40"/>
        <v>0</v>
      </c>
      <c r="U104" s="3">
        <v>0</v>
      </c>
      <c r="V104" s="3">
        <v>0</v>
      </c>
      <c r="W104" s="2">
        <f t="shared" si="41"/>
        <v>0</v>
      </c>
      <c r="X104" s="3">
        <v>0</v>
      </c>
      <c r="Y104" s="3">
        <v>0</v>
      </c>
      <c r="Z104" s="2">
        <f t="shared" si="46"/>
        <v>0</v>
      </c>
      <c r="AA104" s="2"/>
      <c r="AB104" s="2"/>
      <c r="AC104" s="2">
        <f t="shared" si="47"/>
        <v>0</v>
      </c>
      <c r="AD104" s="2">
        <v>0</v>
      </c>
      <c r="AE104" s="2">
        <v>0</v>
      </c>
      <c r="AF104" s="2">
        <f t="shared" si="48"/>
        <v>0</v>
      </c>
      <c r="AG104" s="6">
        <f t="shared" si="49"/>
        <v>0</v>
      </c>
      <c r="AH104" s="5">
        <f t="shared" si="50"/>
        <v>0</v>
      </c>
      <c r="AI104" s="7">
        <f t="shared" si="51"/>
        <v>0</v>
      </c>
    </row>
    <row r="105" spans="1:35" x14ac:dyDescent="0.2">
      <c r="A105" s="11">
        <v>905</v>
      </c>
      <c r="B105" s="10" t="s">
        <v>11</v>
      </c>
      <c r="C105" s="8">
        <v>124</v>
      </c>
      <c r="D105" s="8">
        <v>55</v>
      </c>
      <c r="E105" s="7">
        <f t="shared" si="43"/>
        <v>-100</v>
      </c>
      <c r="F105" s="8">
        <v>768</v>
      </c>
      <c r="G105" s="8">
        <v>639</v>
      </c>
      <c r="H105" s="4">
        <f t="shared" si="44"/>
        <v>-100</v>
      </c>
      <c r="I105" s="8">
        <v>667</v>
      </c>
      <c r="J105" s="8">
        <v>723</v>
      </c>
      <c r="K105" s="9">
        <f t="shared" si="39"/>
        <v>100</v>
      </c>
      <c r="L105" s="8">
        <v>0</v>
      </c>
      <c r="M105" s="8">
        <v>0</v>
      </c>
      <c r="N105" s="7">
        <f t="shared" si="42"/>
        <v>0</v>
      </c>
      <c r="O105" s="21">
        <v>422.57</v>
      </c>
      <c r="P105" s="3">
        <v>3.29</v>
      </c>
      <c r="Q105" s="2">
        <f t="shared" si="45"/>
        <v>-400</v>
      </c>
      <c r="R105" s="3">
        <v>27.63</v>
      </c>
      <c r="S105" s="3">
        <v>16.079999999999998</v>
      </c>
      <c r="T105" s="2">
        <f t="shared" si="40"/>
        <v>0</v>
      </c>
      <c r="U105" s="3">
        <v>0</v>
      </c>
      <c r="V105" s="3">
        <v>0</v>
      </c>
      <c r="W105" s="2">
        <f t="shared" si="41"/>
        <v>0</v>
      </c>
      <c r="X105" s="3">
        <v>26.03</v>
      </c>
      <c r="Y105" s="3">
        <f>12.48+2.43</f>
        <v>14.91</v>
      </c>
      <c r="Z105" s="2">
        <f t="shared" si="46"/>
        <v>0</v>
      </c>
      <c r="AA105" s="2"/>
      <c r="AB105" s="2"/>
      <c r="AC105" s="2">
        <f t="shared" si="47"/>
        <v>0</v>
      </c>
      <c r="AD105" s="2">
        <v>0</v>
      </c>
      <c r="AE105" s="2">
        <v>0</v>
      </c>
      <c r="AF105" s="2">
        <f t="shared" si="48"/>
        <v>0</v>
      </c>
      <c r="AG105" s="6">
        <f t="shared" si="49"/>
        <v>476.23</v>
      </c>
      <c r="AH105" s="5">
        <f t="shared" si="50"/>
        <v>34.28</v>
      </c>
      <c r="AI105" s="7">
        <f t="shared" si="51"/>
        <v>-400</v>
      </c>
    </row>
    <row r="106" spans="1:35" x14ac:dyDescent="0.2">
      <c r="A106" s="11">
        <v>951</v>
      </c>
      <c r="B106" s="10" t="s">
        <v>10</v>
      </c>
      <c r="C106" s="8">
        <v>1676</v>
      </c>
      <c r="D106" s="8">
        <v>1452</v>
      </c>
      <c r="E106" s="7">
        <f t="shared" si="43"/>
        <v>-200</v>
      </c>
      <c r="F106" s="8">
        <v>93257</v>
      </c>
      <c r="G106" s="8">
        <v>84777</v>
      </c>
      <c r="H106" s="4">
        <f t="shared" si="44"/>
        <v>-8500</v>
      </c>
      <c r="I106" s="8">
        <v>22545</v>
      </c>
      <c r="J106" s="8">
        <v>28822</v>
      </c>
      <c r="K106" s="9">
        <f t="shared" si="39"/>
        <v>6300</v>
      </c>
      <c r="L106" s="8">
        <v>0</v>
      </c>
      <c r="M106" s="8">
        <v>0</v>
      </c>
      <c r="N106" s="7">
        <f t="shared" si="42"/>
        <v>0</v>
      </c>
      <c r="O106" s="21">
        <v>41681.050000000003</v>
      </c>
      <c r="P106" s="3">
        <v>33993.480000000003</v>
      </c>
      <c r="Q106" s="2">
        <f t="shared" si="45"/>
        <v>-7700</v>
      </c>
      <c r="R106" s="3">
        <v>9099.89</v>
      </c>
      <c r="S106" s="3">
        <v>5319.7</v>
      </c>
      <c r="T106" s="2">
        <f t="shared" si="40"/>
        <v>-3800</v>
      </c>
      <c r="U106" s="3">
        <v>2328.42</v>
      </c>
      <c r="V106" s="3">
        <v>1594.85</v>
      </c>
      <c r="W106" s="2">
        <f t="shared" si="41"/>
        <v>-700</v>
      </c>
      <c r="X106" s="3">
        <f>514.53+3070.35</f>
        <v>3584.88</v>
      </c>
      <c r="Y106" s="3">
        <f>686.19+252.46+3574.52</f>
        <v>4513.17</v>
      </c>
      <c r="Z106" s="2">
        <f t="shared" si="46"/>
        <v>900</v>
      </c>
      <c r="AA106" s="2"/>
      <c r="AB106" s="2">
        <v>4982.68</v>
      </c>
      <c r="AC106" s="2">
        <f t="shared" si="47"/>
        <v>5000</v>
      </c>
      <c r="AD106" s="2">
        <v>0</v>
      </c>
      <c r="AE106" s="2">
        <v>0</v>
      </c>
      <c r="AF106" s="2">
        <f t="shared" si="48"/>
        <v>0</v>
      </c>
      <c r="AG106" s="6">
        <f t="shared" si="49"/>
        <v>56694.239999999998</v>
      </c>
      <c r="AH106" s="5">
        <f t="shared" si="50"/>
        <v>50403.88</v>
      </c>
      <c r="AI106" s="7">
        <f t="shared" si="51"/>
        <v>-6300</v>
      </c>
    </row>
    <row r="107" spans="1:35" x14ac:dyDescent="0.2">
      <c r="A107" s="11">
        <v>952</v>
      </c>
      <c r="B107" s="10" t="s">
        <v>9</v>
      </c>
      <c r="C107" s="8">
        <v>672</v>
      </c>
      <c r="D107" s="8">
        <v>567</v>
      </c>
      <c r="E107" s="7">
        <f t="shared" si="43"/>
        <v>-100</v>
      </c>
      <c r="F107" s="8">
        <v>37412</v>
      </c>
      <c r="G107" s="8">
        <v>29943</v>
      </c>
      <c r="H107" s="4">
        <f t="shared" si="44"/>
        <v>-7500</v>
      </c>
      <c r="I107" s="8">
        <v>8971</v>
      </c>
      <c r="J107" s="8">
        <v>11304</v>
      </c>
      <c r="K107" s="9">
        <f t="shared" si="39"/>
        <v>2300</v>
      </c>
      <c r="L107" s="8">
        <v>0</v>
      </c>
      <c r="M107" s="8">
        <v>0</v>
      </c>
      <c r="N107" s="7">
        <f t="shared" si="42"/>
        <v>0</v>
      </c>
      <c r="O107" s="21">
        <v>18953.22</v>
      </c>
      <c r="P107" s="3">
        <v>11143.5</v>
      </c>
      <c r="Q107" s="2">
        <f t="shared" si="45"/>
        <v>-7800</v>
      </c>
      <c r="R107" s="3">
        <v>6630.3</v>
      </c>
      <c r="S107" s="3">
        <v>3884.67</v>
      </c>
      <c r="T107" s="2">
        <f t="shared" si="40"/>
        <v>-2700</v>
      </c>
      <c r="U107" s="3">
        <v>1043.19</v>
      </c>
      <c r="V107" s="3">
        <v>517.04</v>
      </c>
      <c r="W107" s="2">
        <f t="shared" si="41"/>
        <v>-500</v>
      </c>
      <c r="X107" s="3">
        <f>335.65+1539.34</f>
        <v>1874.9899999999998</v>
      </c>
      <c r="Y107" s="3">
        <f>447.55+113.29+1609.72</f>
        <v>2170.56</v>
      </c>
      <c r="Z107" s="2">
        <f t="shared" si="46"/>
        <v>300</v>
      </c>
      <c r="AA107" s="2"/>
      <c r="AB107" s="2">
        <v>4982.68</v>
      </c>
      <c r="AC107" s="2">
        <f t="shared" si="47"/>
        <v>5000</v>
      </c>
      <c r="AD107" s="2">
        <v>0</v>
      </c>
      <c r="AE107" s="2">
        <v>0</v>
      </c>
      <c r="AF107" s="2">
        <f t="shared" si="48"/>
        <v>0</v>
      </c>
      <c r="AG107" s="6">
        <f t="shared" si="49"/>
        <v>28501.699999999997</v>
      </c>
      <c r="AH107" s="5">
        <f t="shared" si="50"/>
        <v>22698.45</v>
      </c>
      <c r="AI107" s="7">
        <f t="shared" si="51"/>
        <v>-5700</v>
      </c>
    </row>
    <row r="108" spans="1:35" x14ac:dyDescent="0.2">
      <c r="A108" s="11">
        <v>953</v>
      </c>
      <c r="B108" s="10" t="s">
        <v>8</v>
      </c>
      <c r="C108" s="8">
        <v>1078</v>
      </c>
      <c r="D108" s="8">
        <v>881</v>
      </c>
      <c r="E108" s="7">
        <f t="shared" si="43"/>
        <v>-200</v>
      </c>
      <c r="F108" s="8">
        <v>43228</v>
      </c>
      <c r="G108" s="8">
        <v>41358</v>
      </c>
      <c r="H108" s="4">
        <f t="shared" si="44"/>
        <v>-1900</v>
      </c>
      <c r="I108" s="8">
        <v>17608</v>
      </c>
      <c r="J108" s="8">
        <v>22444</v>
      </c>
      <c r="K108" s="9">
        <f t="shared" si="39"/>
        <v>4800</v>
      </c>
      <c r="L108" s="8">
        <v>0</v>
      </c>
      <c r="M108" s="8">
        <v>0</v>
      </c>
      <c r="N108" s="7">
        <f t="shared" si="42"/>
        <v>0</v>
      </c>
      <c r="O108" s="21">
        <v>23484.29</v>
      </c>
      <c r="P108" s="3">
        <v>23196.33</v>
      </c>
      <c r="Q108" s="2">
        <f t="shared" si="45"/>
        <v>-300</v>
      </c>
      <c r="R108" s="3">
        <v>6770.29</v>
      </c>
      <c r="S108" s="3">
        <v>3957.35</v>
      </c>
      <c r="T108" s="2">
        <f t="shared" si="40"/>
        <v>-2800</v>
      </c>
      <c r="U108" s="3">
        <v>751.49</v>
      </c>
      <c r="V108" s="3">
        <v>489.1</v>
      </c>
      <c r="W108" s="2">
        <f t="shared" si="41"/>
        <v>-300</v>
      </c>
      <c r="X108" s="3">
        <f>370.72+1792.52</f>
        <v>2163.2399999999998</v>
      </c>
      <c r="Y108" s="3">
        <f>494.28+175.23+2541.43</f>
        <v>3210.9399999999996</v>
      </c>
      <c r="Z108" s="2">
        <f t="shared" si="46"/>
        <v>1000</v>
      </c>
      <c r="AA108" s="2"/>
      <c r="AB108" s="2">
        <v>4982.68</v>
      </c>
      <c r="AC108" s="2">
        <f t="shared" si="47"/>
        <v>5000</v>
      </c>
      <c r="AD108" s="2">
        <v>0</v>
      </c>
      <c r="AE108" s="2">
        <v>0</v>
      </c>
      <c r="AF108" s="2">
        <f t="shared" si="48"/>
        <v>0</v>
      </c>
      <c r="AG108" s="6">
        <f t="shared" si="49"/>
        <v>33169.310000000005</v>
      </c>
      <c r="AH108" s="5">
        <f t="shared" si="50"/>
        <v>35836.399999999994</v>
      </c>
      <c r="AI108" s="7">
        <f t="shared" si="51"/>
        <v>2600</v>
      </c>
    </row>
    <row r="109" spans="1:35" x14ac:dyDescent="0.2">
      <c r="A109" s="11">
        <v>954</v>
      </c>
      <c r="B109" s="10" t="s">
        <v>7</v>
      </c>
      <c r="C109" s="8">
        <v>1234</v>
      </c>
      <c r="D109" s="8">
        <v>1067</v>
      </c>
      <c r="E109" s="7">
        <f t="shared" si="43"/>
        <v>-200</v>
      </c>
      <c r="F109" s="8">
        <v>80941</v>
      </c>
      <c r="G109" s="8">
        <v>74121</v>
      </c>
      <c r="H109" s="4">
        <f t="shared" si="44"/>
        <v>-6800</v>
      </c>
      <c r="I109" s="8">
        <v>22460</v>
      </c>
      <c r="J109" s="8">
        <v>30332</v>
      </c>
      <c r="K109" s="9">
        <f t="shared" si="39"/>
        <v>7900</v>
      </c>
      <c r="L109" s="8">
        <v>0</v>
      </c>
      <c r="M109" s="8">
        <v>0</v>
      </c>
      <c r="N109" s="7">
        <f t="shared" si="42"/>
        <v>0</v>
      </c>
      <c r="O109" s="21">
        <v>41391.79</v>
      </c>
      <c r="P109" s="3">
        <v>30270.04</v>
      </c>
      <c r="Q109" s="2">
        <f t="shared" si="45"/>
        <v>-11100</v>
      </c>
      <c r="R109" s="3">
        <v>6979.16</v>
      </c>
      <c r="S109" s="3">
        <v>4111.3900000000003</v>
      </c>
      <c r="T109" s="2">
        <f t="shared" si="40"/>
        <v>-2900</v>
      </c>
      <c r="U109" s="3">
        <v>832.01</v>
      </c>
      <c r="V109" s="3">
        <v>468.13</v>
      </c>
      <c r="W109" s="2">
        <f t="shared" si="41"/>
        <v>-400</v>
      </c>
      <c r="X109" s="3">
        <f>344.41+2844.51</f>
        <v>3188.92</v>
      </c>
      <c r="Y109" s="3">
        <f>459.29+228.09+3092.89</f>
        <v>3780.27</v>
      </c>
      <c r="Z109" s="2">
        <f t="shared" si="46"/>
        <v>600</v>
      </c>
      <c r="AA109" s="2"/>
      <c r="AB109" s="2">
        <v>4982.68</v>
      </c>
      <c r="AC109" s="2">
        <f t="shared" si="47"/>
        <v>5000</v>
      </c>
      <c r="AD109" s="2">
        <v>0</v>
      </c>
      <c r="AE109" s="2">
        <v>0</v>
      </c>
      <c r="AF109" s="2">
        <f t="shared" si="48"/>
        <v>0</v>
      </c>
      <c r="AG109" s="6">
        <f t="shared" si="49"/>
        <v>52391.88</v>
      </c>
      <c r="AH109" s="5">
        <f t="shared" si="50"/>
        <v>43612.509999999995</v>
      </c>
      <c r="AI109" s="7">
        <f t="shared" si="51"/>
        <v>-8800</v>
      </c>
    </row>
    <row r="110" spans="1:35" x14ac:dyDescent="0.2">
      <c r="A110" s="11">
        <v>955</v>
      </c>
      <c r="B110" s="10" t="s">
        <v>6</v>
      </c>
      <c r="C110" s="8">
        <v>929</v>
      </c>
      <c r="D110" s="8">
        <v>735</v>
      </c>
      <c r="E110" s="7">
        <f t="shared" si="43"/>
        <v>-200</v>
      </c>
      <c r="F110" s="8">
        <v>12374</v>
      </c>
      <c r="G110" s="8">
        <v>11523</v>
      </c>
      <c r="H110" s="4">
        <f t="shared" si="44"/>
        <v>-900</v>
      </c>
      <c r="I110" s="8">
        <v>15117</v>
      </c>
      <c r="J110" s="8">
        <v>19907</v>
      </c>
      <c r="K110" s="9">
        <f t="shared" si="39"/>
        <v>4800</v>
      </c>
      <c r="L110" s="8">
        <v>0</v>
      </c>
      <c r="M110" s="8">
        <v>0</v>
      </c>
      <c r="N110" s="7">
        <f t="shared" si="42"/>
        <v>0</v>
      </c>
      <c r="O110" s="21">
        <v>23687.67</v>
      </c>
      <c r="P110" s="3">
        <v>18436.3</v>
      </c>
      <c r="Q110" s="2">
        <f t="shared" si="45"/>
        <v>-5300</v>
      </c>
      <c r="R110" s="3">
        <v>5313.12</v>
      </c>
      <c r="S110" s="3">
        <v>3105.22</v>
      </c>
      <c r="T110" s="2">
        <f t="shared" si="40"/>
        <v>-2200</v>
      </c>
      <c r="U110" s="3">
        <v>1089.3800000000001</v>
      </c>
      <c r="V110" s="3">
        <v>688.26</v>
      </c>
      <c r="W110" s="2">
        <f t="shared" si="41"/>
        <v>-400</v>
      </c>
      <c r="X110" s="3">
        <f>293.91+1739.57</f>
        <v>2033.48</v>
      </c>
      <c r="Y110" s="3">
        <f>392.01+121.04+2116.31</f>
        <v>2629.3599999999997</v>
      </c>
      <c r="Z110" s="2">
        <f t="shared" si="46"/>
        <v>600</v>
      </c>
      <c r="AA110" s="2"/>
      <c r="AB110" s="2">
        <v>4982.68</v>
      </c>
      <c r="AC110" s="2">
        <f t="shared" si="47"/>
        <v>5000</v>
      </c>
      <c r="AD110" s="2">
        <v>0</v>
      </c>
      <c r="AE110" s="2">
        <v>0</v>
      </c>
      <c r="AF110" s="2">
        <f t="shared" si="48"/>
        <v>0</v>
      </c>
      <c r="AG110" s="6">
        <f t="shared" si="49"/>
        <v>32123.649999999998</v>
      </c>
      <c r="AH110" s="5">
        <f t="shared" si="50"/>
        <v>29841.82</v>
      </c>
      <c r="AI110" s="7">
        <f t="shared" si="51"/>
        <v>-2300</v>
      </c>
    </row>
    <row r="111" spans="1:35" x14ac:dyDescent="0.2">
      <c r="A111" s="11">
        <v>956</v>
      </c>
      <c r="B111" s="10" t="s">
        <v>5</v>
      </c>
      <c r="C111" s="8">
        <v>662</v>
      </c>
      <c r="D111" s="8">
        <v>592</v>
      </c>
      <c r="E111" s="7">
        <f t="shared" si="43"/>
        <v>-100</v>
      </c>
      <c r="F111" s="8">
        <v>37876</v>
      </c>
      <c r="G111" s="8">
        <v>33193</v>
      </c>
      <c r="H111" s="4">
        <f t="shared" si="44"/>
        <v>-4700</v>
      </c>
      <c r="I111" s="8">
        <v>15339</v>
      </c>
      <c r="J111" s="8">
        <v>19234</v>
      </c>
      <c r="K111" s="9">
        <f t="shared" si="39"/>
        <v>3900</v>
      </c>
      <c r="L111" s="8">
        <v>0</v>
      </c>
      <c r="M111" s="8">
        <v>0</v>
      </c>
      <c r="N111" s="7">
        <f t="shared" si="42"/>
        <v>0</v>
      </c>
      <c r="O111" s="21">
        <v>30587.84</v>
      </c>
      <c r="P111" s="3">
        <v>30703.69</v>
      </c>
      <c r="Q111" s="2">
        <f t="shared" si="45"/>
        <v>100</v>
      </c>
      <c r="R111" s="3">
        <v>5689.46</v>
      </c>
      <c r="S111" s="3">
        <v>3324.76</v>
      </c>
      <c r="T111" s="2">
        <f t="shared" si="40"/>
        <v>-2400</v>
      </c>
      <c r="U111" s="3">
        <v>761.53</v>
      </c>
      <c r="V111" s="3">
        <v>368.3</v>
      </c>
      <c r="W111" s="2">
        <f t="shared" si="41"/>
        <v>-400</v>
      </c>
      <c r="X111" s="3">
        <f>293.91+2141.28</f>
        <v>2435.19</v>
      </c>
      <c r="Y111" s="3">
        <f>392.03+271.02+3056.47</f>
        <v>3719.5199999999995</v>
      </c>
      <c r="Z111" s="2">
        <f t="shared" si="46"/>
        <v>1300</v>
      </c>
      <c r="AA111" s="2"/>
      <c r="AB111" s="2">
        <v>4982.68</v>
      </c>
      <c r="AC111" s="2">
        <f t="shared" si="47"/>
        <v>5000</v>
      </c>
      <c r="AD111" s="2">
        <v>0</v>
      </c>
      <c r="AE111" s="2">
        <v>0</v>
      </c>
      <c r="AF111" s="2">
        <f t="shared" si="48"/>
        <v>0</v>
      </c>
      <c r="AG111" s="6">
        <f t="shared" si="49"/>
        <v>39474.020000000004</v>
      </c>
      <c r="AH111" s="5">
        <f t="shared" si="50"/>
        <v>43098.95</v>
      </c>
      <c r="AI111" s="7">
        <f t="shared" si="51"/>
        <v>3600</v>
      </c>
    </row>
    <row r="112" spans="1:35" x14ac:dyDescent="0.2">
      <c r="A112" s="11">
        <v>957</v>
      </c>
      <c r="B112" s="10" t="s">
        <v>4</v>
      </c>
      <c r="C112" s="8">
        <v>1121</v>
      </c>
      <c r="D112" s="8">
        <v>844</v>
      </c>
      <c r="E112" s="7">
        <f t="shared" si="43"/>
        <v>-300</v>
      </c>
      <c r="F112" s="8">
        <v>69225</v>
      </c>
      <c r="G112" s="8">
        <v>59242</v>
      </c>
      <c r="H112" s="4">
        <f t="shared" si="44"/>
        <v>-10000</v>
      </c>
      <c r="I112" s="8">
        <v>19014</v>
      </c>
      <c r="J112" s="8">
        <v>25357</v>
      </c>
      <c r="K112" s="9">
        <f t="shared" si="39"/>
        <v>6300</v>
      </c>
      <c r="L112" s="8">
        <v>0</v>
      </c>
      <c r="M112" s="8">
        <v>0</v>
      </c>
      <c r="N112" s="7">
        <f t="shared" si="42"/>
        <v>0</v>
      </c>
      <c r="O112" s="21">
        <v>23903.53</v>
      </c>
      <c r="P112" s="3">
        <v>19726.509999999998</v>
      </c>
      <c r="Q112" s="2">
        <f t="shared" si="45"/>
        <v>-4200</v>
      </c>
      <c r="R112" s="3">
        <v>6541.46</v>
      </c>
      <c r="S112" s="3">
        <v>3876.94</v>
      </c>
      <c r="T112" s="2">
        <f t="shared" si="40"/>
        <v>-2700</v>
      </c>
      <c r="U112" s="3">
        <v>1048.3399999999999</v>
      </c>
      <c r="V112" s="3">
        <v>561.25</v>
      </c>
      <c r="W112" s="2">
        <f t="shared" si="41"/>
        <v>-500</v>
      </c>
      <c r="X112" s="3">
        <f>339.85+1820.69</f>
        <v>2160.54</v>
      </c>
      <c r="Y112" s="3">
        <f>453.05+247.98+2278.35</f>
        <v>2979.38</v>
      </c>
      <c r="Z112" s="2">
        <f t="shared" si="46"/>
        <v>800</v>
      </c>
      <c r="AA112" s="2"/>
      <c r="AB112" s="2">
        <v>4982.68</v>
      </c>
      <c r="AC112" s="2">
        <f t="shared" si="47"/>
        <v>5000</v>
      </c>
      <c r="AD112" s="2">
        <v>0</v>
      </c>
      <c r="AE112" s="2">
        <v>0</v>
      </c>
      <c r="AF112" s="2">
        <f t="shared" si="48"/>
        <v>0</v>
      </c>
      <c r="AG112" s="6">
        <f t="shared" si="49"/>
        <v>33653.869999999995</v>
      </c>
      <c r="AH112" s="5">
        <f t="shared" si="50"/>
        <v>32126.76</v>
      </c>
      <c r="AI112" s="7">
        <f t="shared" si="51"/>
        <v>-1600</v>
      </c>
    </row>
    <row r="113" spans="1:35" ht="13.5" thickBot="1" x14ac:dyDescent="0.25">
      <c r="A113" s="11"/>
      <c r="B113" s="10" t="s">
        <v>3</v>
      </c>
      <c r="C113" s="8">
        <v>0</v>
      </c>
      <c r="D113" s="8">
        <v>0</v>
      </c>
      <c r="E113" s="20">
        <f t="shared" si="43"/>
        <v>0</v>
      </c>
      <c r="F113" s="8">
        <v>0</v>
      </c>
      <c r="G113" s="8">
        <v>0</v>
      </c>
      <c r="H113" s="4">
        <f t="shared" si="44"/>
        <v>0</v>
      </c>
      <c r="I113" s="8">
        <v>0</v>
      </c>
      <c r="J113" s="8">
        <v>0</v>
      </c>
      <c r="K113" s="9">
        <f t="shared" si="39"/>
        <v>0</v>
      </c>
      <c r="L113" s="8">
        <v>0</v>
      </c>
      <c r="M113" s="8">
        <v>0</v>
      </c>
      <c r="N113" s="7">
        <f t="shared" si="42"/>
        <v>0</v>
      </c>
      <c r="O113" s="19">
        <v>0</v>
      </c>
      <c r="P113" s="3">
        <v>0</v>
      </c>
      <c r="Q113" s="2">
        <f t="shared" si="45"/>
        <v>0</v>
      </c>
      <c r="R113" s="18">
        <v>0</v>
      </c>
      <c r="S113" s="3">
        <v>0</v>
      </c>
      <c r="T113" s="2">
        <f t="shared" si="40"/>
        <v>0</v>
      </c>
      <c r="U113" s="3">
        <v>0</v>
      </c>
      <c r="V113" s="3">
        <v>0</v>
      </c>
      <c r="W113" s="2">
        <f t="shared" si="41"/>
        <v>0</v>
      </c>
      <c r="X113" s="3">
        <v>0</v>
      </c>
      <c r="Y113" s="3">
        <v>0</v>
      </c>
      <c r="Z113" s="2">
        <f t="shared" si="46"/>
        <v>0</v>
      </c>
      <c r="AA113" s="2"/>
      <c r="AB113" s="2">
        <v>0</v>
      </c>
      <c r="AC113" s="2">
        <f t="shared" si="47"/>
        <v>0</v>
      </c>
      <c r="AD113" s="2">
        <v>0</v>
      </c>
      <c r="AE113" s="2">
        <v>0</v>
      </c>
      <c r="AF113" s="2">
        <f t="shared" si="48"/>
        <v>0</v>
      </c>
      <c r="AG113" s="6">
        <v>0</v>
      </c>
      <c r="AH113" s="5">
        <f>P113+S113+V113+Y113+AB113+AE113</f>
        <v>0</v>
      </c>
      <c r="AI113" s="7">
        <f>Q113+T113+W113+Z113+AC113+AF113</f>
        <v>0</v>
      </c>
    </row>
    <row r="114" spans="1:35" ht="13.5" thickBot="1" x14ac:dyDescent="0.25">
      <c r="A114" s="17"/>
      <c r="B114" s="16" t="s">
        <v>2</v>
      </c>
      <c r="C114" s="13">
        <f t="shared" ref="C114:AI114" si="52">SUM(C5:C113)</f>
        <v>865428</v>
      </c>
      <c r="D114" s="13">
        <f t="shared" si="52"/>
        <v>871020</v>
      </c>
      <c r="E114" s="15">
        <f t="shared" si="52"/>
        <v>5800</v>
      </c>
      <c r="F114" s="13">
        <f t="shared" si="52"/>
        <v>5306263</v>
      </c>
      <c r="G114" s="13">
        <f t="shared" si="52"/>
        <v>5061141</v>
      </c>
      <c r="H114" s="13">
        <f t="shared" si="52"/>
        <v>-245200</v>
      </c>
      <c r="I114" s="13">
        <f t="shared" si="52"/>
        <v>4363071</v>
      </c>
      <c r="J114" s="13">
        <f t="shared" si="52"/>
        <v>4578492</v>
      </c>
      <c r="K114" s="13">
        <f t="shared" si="52"/>
        <v>215100</v>
      </c>
      <c r="L114" s="13">
        <f t="shared" si="52"/>
        <v>12738262</v>
      </c>
      <c r="M114" s="13">
        <f t="shared" si="52"/>
        <v>12683452</v>
      </c>
      <c r="N114" s="13">
        <f t="shared" si="52"/>
        <v>-55000</v>
      </c>
      <c r="O114" s="13">
        <f t="shared" si="52"/>
        <v>7780447.8400000008</v>
      </c>
      <c r="P114" s="13">
        <f t="shared" si="52"/>
        <v>6725657.2300000004</v>
      </c>
      <c r="Q114" s="13">
        <f t="shared" si="52"/>
        <v>-1055100</v>
      </c>
      <c r="R114" s="13">
        <f t="shared" si="52"/>
        <v>5081610.3000000007</v>
      </c>
      <c r="S114" s="13">
        <f t="shared" si="52"/>
        <v>3293601.1300000008</v>
      </c>
      <c r="T114" s="13">
        <f t="shared" si="52"/>
        <v>-1787900</v>
      </c>
      <c r="U114" s="13">
        <f t="shared" si="52"/>
        <v>628709.05000000016</v>
      </c>
      <c r="V114" s="13">
        <f t="shared" si="52"/>
        <v>397287.74000000005</v>
      </c>
      <c r="W114" s="13">
        <f t="shared" si="52"/>
        <v>-230900</v>
      </c>
      <c r="X114" s="13">
        <f t="shared" si="52"/>
        <v>1062888.3599999994</v>
      </c>
      <c r="Y114" s="13">
        <f t="shared" si="52"/>
        <v>1315025.2899999998</v>
      </c>
      <c r="Z114" s="13">
        <f t="shared" si="52"/>
        <v>251900</v>
      </c>
      <c r="AA114" s="13">
        <f t="shared" si="52"/>
        <v>0</v>
      </c>
      <c r="AB114" s="13">
        <f t="shared" si="52"/>
        <v>543751.81000000017</v>
      </c>
      <c r="AC114" s="13">
        <f t="shared" si="52"/>
        <v>543800</v>
      </c>
      <c r="AD114" s="13">
        <f t="shared" si="52"/>
        <v>0</v>
      </c>
      <c r="AE114" s="13">
        <f t="shared" si="52"/>
        <v>0</v>
      </c>
      <c r="AF114" s="13">
        <f t="shared" si="52"/>
        <v>0</v>
      </c>
      <c r="AG114" s="13">
        <f t="shared" si="52"/>
        <v>14553655.550000001</v>
      </c>
      <c r="AH114" s="14">
        <f t="shared" si="52"/>
        <v>12275323.200000003</v>
      </c>
      <c r="AI114" s="13">
        <f t="shared" si="52"/>
        <v>-2278200</v>
      </c>
    </row>
    <row r="115" spans="1:35" x14ac:dyDescent="0.2">
      <c r="B115" s="1" t="s">
        <v>128</v>
      </c>
    </row>
    <row r="116" spans="1:35" x14ac:dyDescent="0.2">
      <c r="V116" s="12" t="s">
        <v>0</v>
      </c>
      <c r="Y116" s="1" t="s">
        <v>0</v>
      </c>
      <c r="AH116" s="1" t="s">
        <v>0</v>
      </c>
    </row>
    <row r="131" spans="16:28" x14ac:dyDescent="0.2">
      <c r="P131" s="42"/>
      <c r="S131" s="42"/>
      <c r="V131" s="42"/>
      <c r="Y131" s="42"/>
      <c r="AB131" s="42"/>
    </row>
  </sheetData>
  <mergeCells count="14">
    <mergeCell ref="AD3:AF3"/>
    <mergeCell ref="AG3:AI3"/>
    <mergeCell ref="A1:AI1"/>
    <mergeCell ref="F2:K2"/>
    <mergeCell ref="O2:AI2"/>
    <mergeCell ref="C3:E3"/>
    <mergeCell ref="F3:H3"/>
    <mergeCell ref="I3:K3"/>
    <mergeCell ref="L3:N3"/>
    <mergeCell ref="O3:Q3"/>
    <mergeCell ref="R3:T3"/>
    <mergeCell ref="U3:W3"/>
    <mergeCell ref="AA3:AC3"/>
    <mergeCell ref="X3:Z3"/>
  </mergeCells>
  <pageMargins left="0" right="0" top="0.5" bottom="0" header="0.3" footer="0.3"/>
  <pageSetup paperSize="17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2023 budget adj </vt:lpstr>
      <vt:lpstr>'FY 2023 budget adj '!Print_Area</vt:lpstr>
      <vt:lpstr>'FY 2023 budget adj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Fulkerson</dc:creator>
  <cp:lastModifiedBy>Sally Daniel</cp:lastModifiedBy>
  <cp:lastPrinted>2021-09-27T15:16:38Z</cp:lastPrinted>
  <dcterms:created xsi:type="dcterms:W3CDTF">2021-09-25T20:16:54Z</dcterms:created>
  <dcterms:modified xsi:type="dcterms:W3CDTF">2021-10-08T19:10:28Z</dcterms:modified>
</cp:coreProperties>
</file>