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8698F89F-AB96-4C2D-BE56-CCEDF70E0398}" xr6:coauthVersionLast="45" xr6:coauthVersionMax="45" xr10:uidLastSave="{00000000-0000-0000-0000-000000000000}"/>
  <bookViews>
    <workbookView xWindow="-28710" yWindow="1560" windowWidth="27990" windowHeight="14025" xr2:uid="{00000000-000D-0000-FFFF-FFFF00000000}"/>
  </bookViews>
  <sheets>
    <sheet name="LGA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'LGAA|0001-00'!$H$39</definedName>
    <definedName name="AdjGroupHlth">'B6'!$H$39</definedName>
    <definedName name="AdjGroupSalary" localSheetId="0">'LGAA|0001-00'!$G$39</definedName>
    <definedName name="AdjGroupSalary">'B6'!$G$39</definedName>
    <definedName name="AdjGroupVB" localSheetId="0">'LGAA|0001-00'!$I$39</definedName>
    <definedName name="AdjGroupVB">'B6'!$I$39</definedName>
    <definedName name="AdjGroupVBBY" localSheetId="0">'LGAA|0001-00'!$M$39</definedName>
    <definedName name="AdjGroupVBBY">'B6'!$M$39</definedName>
    <definedName name="AdjPermHlth" localSheetId="0">'LGAA|0001-00'!$H$38</definedName>
    <definedName name="AdjPermHlth">'B6'!$H$38</definedName>
    <definedName name="AdjPermHlthBY" localSheetId="0">'LGAA|0001-00'!$L$38</definedName>
    <definedName name="AdjPermHlthBY">'B6'!$L$38</definedName>
    <definedName name="AdjPermSalary" localSheetId="0">'LGAA|0001-00'!$G$38</definedName>
    <definedName name="AdjPermSalary">'B6'!$G$38</definedName>
    <definedName name="AdjPermVB" localSheetId="0">'LGAA|0001-00'!$I$38</definedName>
    <definedName name="AdjPermVB">'B6'!$I$38</definedName>
    <definedName name="AdjPermVBBY" localSheetId="0">'LGAA|0001-00'!$M$38</definedName>
    <definedName name="AdjPermVBBY">'B6'!$M$38</definedName>
    <definedName name="AdjustedTotal" localSheetId="0">'LGAA|0001-00'!$J$16</definedName>
    <definedName name="AdjustedTotal">'B6'!$J$16</definedName>
    <definedName name="AgencyNum" localSheetId="0">'LGAA|0001-00'!$M$1</definedName>
    <definedName name="AgencyNum">'B6'!$M$1</definedName>
    <definedName name="AppropFTP" localSheetId="0">'LGAA|0001-00'!$F$15</definedName>
    <definedName name="AppropFTP">'B6'!$F$15</definedName>
    <definedName name="AppropTotal" localSheetId="0">'LGAA|0001-00'!$J$15</definedName>
    <definedName name="AppropTotal">'B6'!$J$15</definedName>
    <definedName name="AtZHealth" localSheetId="0">'LGAA|0001-00'!$H$45</definedName>
    <definedName name="AtZHealth">'B6'!$H$45</definedName>
    <definedName name="AtZSalary" localSheetId="0">'LGAA|0001-00'!$G$45</definedName>
    <definedName name="AtZSalary">'B6'!$G$45</definedName>
    <definedName name="AtZTotal" localSheetId="0">'LGAA|0001-00'!$J$45</definedName>
    <definedName name="AtZTotal">'B6'!$J$45</definedName>
    <definedName name="AtZVarBen" localSheetId="0">'LGAA|0001-00'!$I$45</definedName>
    <definedName name="AtZVarBen">'B6'!$I$45</definedName>
    <definedName name="BudgetUnit" localSheetId="0">'LGAA|0001-00'!$M$3</definedName>
    <definedName name="BudgetUnit">'B6'!$M$3</definedName>
    <definedName name="BudgetYear">Benefits!$D$4</definedName>
    <definedName name="CECGroup">Benefits!$C$39</definedName>
    <definedName name="CECOrigElectSalary" localSheetId="0">'LGAA|0001-00'!$G$74</definedName>
    <definedName name="CECOrigElectSalary">'B6'!$G$74</definedName>
    <definedName name="CECOrigElectVB" localSheetId="0">'LGAA|0001-00'!$I$74</definedName>
    <definedName name="CECOrigElectVB">'B6'!$I$74</definedName>
    <definedName name="CECOrigGroupSalary" localSheetId="0">'LGAA|0001-00'!$G$73</definedName>
    <definedName name="CECOrigGroupSalary">'B6'!$G$73</definedName>
    <definedName name="CECOrigGroupVB" localSheetId="0">'LGAA|0001-00'!$I$73</definedName>
    <definedName name="CECOrigGroupVB">'B6'!$I$73</definedName>
    <definedName name="CECOrigPermSalary" localSheetId="0">'LGAA|0001-00'!$G$72</definedName>
    <definedName name="CECOrigPermSalary">'B6'!$G$72</definedName>
    <definedName name="CECOrigPermVB" localSheetId="0">'LGAA|0001-00'!$I$72</definedName>
    <definedName name="CECOrigPermVB">'B6'!$I$72</definedName>
    <definedName name="CECPerm">Benefits!$C$38</definedName>
    <definedName name="CECpermCalc" localSheetId="0">'LGAA|0001-00'!$E$72</definedName>
    <definedName name="CECpermCalc">'B6'!$E$72</definedName>
    <definedName name="Department" localSheetId="0">'LGAA|0001-00'!$D$1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'LGAA|0001-00'!$D$2</definedName>
    <definedName name="Division">'B6'!$D$2</definedName>
    <definedName name="DUCECElect" localSheetId="0">'LGAA|0001-00'!$J$74</definedName>
    <definedName name="DUCECElect">'B6'!$J$74</definedName>
    <definedName name="DUCECGroup" localSheetId="0">'LGAA|0001-00'!$J$73</definedName>
    <definedName name="DUCECGroup">'B6'!$J$73</definedName>
    <definedName name="DUCECPerm" localSheetId="0">'LGAA|0001-00'!$J$72</definedName>
    <definedName name="DUCECPerm">'B6'!$J$72</definedName>
    <definedName name="DUEleven" localSheetId="0">'LGAA|0001-00'!$J$75</definedName>
    <definedName name="DUEleven">'B6'!$J$75</definedName>
    <definedName name="DUHealthBen" localSheetId="0">'LGAA|0001-00'!$J$68</definedName>
    <definedName name="DUHealthBen">'B6'!$J$68</definedName>
    <definedName name="DUNine" localSheetId="0">'LGAA|0001-00'!$J$67</definedName>
    <definedName name="DUNine">'B6'!$J$67</definedName>
    <definedName name="DUThirteen" localSheetId="0">'LGAA|0001-00'!$J$80</definedName>
    <definedName name="DUThirteen">'B6'!$J$80</definedName>
    <definedName name="DUVariableBen" localSheetId="0">'LGAA|0001-00'!$J$69</definedName>
    <definedName name="DUVariableBen">'B6'!$J$69</definedName>
    <definedName name="Elect_chg_health" localSheetId="0">'LGAA|0001-00'!$L$12</definedName>
    <definedName name="Elect_chg_health">'B6'!$L$12</definedName>
    <definedName name="Elect_chg_Var" localSheetId="0">'LGAA|0001-00'!$M$12</definedName>
    <definedName name="Elect_chg_Var">'B6'!$M$12</definedName>
    <definedName name="elect_FTP" localSheetId="0">'LGAA|0001-00'!$F$12</definedName>
    <definedName name="elect_FTP">'B6'!$F$12</definedName>
    <definedName name="Elect_health" localSheetId="0">'LGAA|0001-00'!$H$12</definedName>
    <definedName name="Elect_health">'B6'!$H$12</definedName>
    <definedName name="Elect_name" localSheetId="0">'LGAA|0001-00'!$C$12</definedName>
    <definedName name="Elect_name">'B6'!$C$12</definedName>
    <definedName name="Elect_salary" localSheetId="0">'LGAA|0001-00'!$G$12</definedName>
    <definedName name="Elect_salary">'B6'!$G$12</definedName>
    <definedName name="Elect_Var" localSheetId="0">'LGAA|0001-00'!$I$12</definedName>
    <definedName name="Elect_Var">'B6'!$I$12</definedName>
    <definedName name="Elect_VarBen" localSheetId="0">'LGAA|0001-00'!$I$12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'LGAA|0001-00'!#REF!</definedName>
    <definedName name="FillRateAvg_B6">'B6'!#REF!</definedName>
    <definedName name="FiscalYear" localSheetId="0">'LGAA|0001-00'!$M$4</definedName>
    <definedName name="FiscalYear">'B6'!$M$4</definedName>
    <definedName name="FundName" localSheetId="0">'LGAA|0001-00'!$I$5</definedName>
    <definedName name="FundName">'B6'!$I$5</definedName>
    <definedName name="FundNum" localSheetId="0">'LGAA|0001-00'!$N$5</definedName>
    <definedName name="FundNum">'B6'!$N$5</definedName>
    <definedName name="FundNumber" localSheetId="0">'LGAA|0001-00'!$N$5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'LGAA|0001-00'!$C$11</definedName>
    <definedName name="Group_name">'B6'!$C$11</definedName>
    <definedName name="GroupFxdBen" localSheetId="0">'LGAA|0001-00'!$H$11</definedName>
    <definedName name="GroupFxdBen">'B6'!$H$11</definedName>
    <definedName name="GroupSalary" localSheetId="0">'LGAA|0001-00'!$G$11</definedName>
    <definedName name="GroupSalary">'B6'!$G$11</definedName>
    <definedName name="GroupVarBen" localSheetId="0">'LGAA|0001-00'!$I$11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GAA000100col_1_27TH_PP">Data!$BA$9</definedName>
    <definedName name="LGAA000100col_DHR">Data!$BI$9</definedName>
    <definedName name="LGAA000100col_DHR_BY">Data!$BU$9</definedName>
    <definedName name="LGAA000100col_DHR_CHG">Data!$CG$9</definedName>
    <definedName name="LGAA000100col_FTI_SALARY_ELECT">Data!$AZ$9</definedName>
    <definedName name="LGAA000100col_FTI_SALARY_PERM">Data!$AY$9</definedName>
    <definedName name="LGAA000100col_FTI_SALARY_SSDI">Data!$AX$9</definedName>
    <definedName name="LGAA000100col_Group_Ben">Data!$CM$9</definedName>
    <definedName name="LGAA000100col_Group_Salary">Data!$CL$9</definedName>
    <definedName name="LGAA000100col_HEALTH_ELECT">Data!$BC$9</definedName>
    <definedName name="LGAA000100col_HEALTH_ELECT_BY">Data!$BO$9</definedName>
    <definedName name="LGAA000100col_HEALTH_ELECT_CHG">Data!$CA$9</definedName>
    <definedName name="LGAA000100col_HEALTH_PERM">Data!$BB$9</definedName>
    <definedName name="LGAA000100col_HEALTH_PERM_BY">Data!$BN$9</definedName>
    <definedName name="LGAA000100col_HEALTH_PERM_CHG">Data!$BZ$9</definedName>
    <definedName name="LGAA000100col_INC_FTI">Data!$AS$9</definedName>
    <definedName name="LGAA000100col_LIFE_INS">Data!$BG$9</definedName>
    <definedName name="LGAA000100col_LIFE_INS_BY">Data!$BS$9</definedName>
    <definedName name="LGAA000100col_LIFE_INS_CHG">Data!$CE$9</definedName>
    <definedName name="LGAA000100col_RETIREMENT">Data!$BF$9</definedName>
    <definedName name="LGAA000100col_RETIREMENT_BY">Data!$BR$9</definedName>
    <definedName name="LGAA000100col_RETIREMENT_CHG">Data!$CD$9</definedName>
    <definedName name="LGAA000100col_ROWS_PER_PCN">Data!$AW$9</definedName>
    <definedName name="LGAA000100col_SICK">Data!$BK$9</definedName>
    <definedName name="LGAA000100col_SICK_BY">Data!$BW$9</definedName>
    <definedName name="LGAA000100col_SICK_CHG">Data!$CI$9</definedName>
    <definedName name="LGAA000100col_SSDI">Data!$BD$9</definedName>
    <definedName name="LGAA000100col_SSDI_BY">Data!$BP$9</definedName>
    <definedName name="LGAA000100col_SSDI_CHG">Data!$CB$9</definedName>
    <definedName name="LGAA000100col_SSHI">Data!$BE$9</definedName>
    <definedName name="LGAA000100col_SSHI_BY">Data!$BQ$9</definedName>
    <definedName name="LGAA000100col_SSHI_CHGv">Data!$CC$9</definedName>
    <definedName name="LGAA000100col_TOT_VB_ELECT">Data!$BM$9</definedName>
    <definedName name="LGAA000100col_TOT_VB_ELECT_BY">Data!$BY$9</definedName>
    <definedName name="LGAA000100col_TOT_VB_ELECT_CHG">Data!$CK$9</definedName>
    <definedName name="LGAA000100col_TOT_VB_PERM">Data!$BL$9</definedName>
    <definedName name="LGAA000100col_TOT_VB_PERM_BY">Data!$BX$9</definedName>
    <definedName name="LGAA000100col_TOT_VB_PERM_CHG">Data!$CJ$9</definedName>
    <definedName name="LGAA000100col_TOTAL_ELECT_PCN_FTI">Data!$AT$9</definedName>
    <definedName name="LGAA000100col_TOTAL_ELECT_PCN_FTI_ALT">Data!$AV$9</definedName>
    <definedName name="LGAA000100col_TOTAL_PERM_PCN_FTI">Data!$AU$9</definedName>
    <definedName name="LGAA000100col_UNEMP_INS">Data!$BH$9</definedName>
    <definedName name="LGAA000100col_UNEMP_INS_BY">Data!$BT$9</definedName>
    <definedName name="LGAA000100col_UNEMP_INS_CHG">Data!$CF$9</definedName>
    <definedName name="LGAA000100col_WORKERS_COMP">Data!$BJ$9</definedName>
    <definedName name="LGAA000100col_WORKERS_COMP_BY">Data!$BV$9</definedName>
    <definedName name="LGAA000100col_WORKERS_COMP_CHG">Data!$CH$9</definedName>
    <definedName name="Life">Benefits!$C$9</definedName>
    <definedName name="LifeBY">Benefits!$D$9</definedName>
    <definedName name="LifeCHG">Benefits!$E$9</definedName>
    <definedName name="LUMAFund" localSheetId="0">'LGAA|0001-00'!$M$2</definedName>
    <definedName name="LUMAFund">'B6'!$M$2</definedName>
    <definedName name="MAXSSDI">Benefits!$F$5</definedName>
    <definedName name="MAXSSDIBY">Benefits!$G$5</definedName>
    <definedName name="NEW_AdjGroup" localSheetId="0">'LGAA|0001-00'!$AC$39</definedName>
    <definedName name="NEW_AdjGroup">'B6'!$AC$39</definedName>
    <definedName name="NEW_AdjGroupSalary" localSheetId="0">'LGAA|0001-00'!$AA$39</definedName>
    <definedName name="NEW_AdjGroupSalary">'B6'!$AA$39</definedName>
    <definedName name="NEW_AdjGroupVB" localSheetId="0">'LGAA|0001-00'!$AB$39</definedName>
    <definedName name="NEW_AdjGroupVB">'B6'!$AB$39</definedName>
    <definedName name="NEW_AdjONLYGroup" localSheetId="0">'LGAA|0001-00'!$AC$45</definedName>
    <definedName name="NEW_AdjONLYGroup">'B6'!$AC$45</definedName>
    <definedName name="NEW_AdjONLYGroupSalary" localSheetId="0">'LGAA|0001-00'!$AA$45</definedName>
    <definedName name="NEW_AdjONLYGroupSalary">'B6'!$AA$45</definedName>
    <definedName name="NEW_AdjONLYGroupVB" localSheetId="0">'LGAA|0001-00'!$AB$45</definedName>
    <definedName name="NEW_AdjONLYGroupVB">'B6'!$AB$45</definedName>
    <definedName name="NEW_AdjONLYPerm" localSheetId="0">'LGAA|0001-00'!$AC$44</definedName>
    <definedName name="NEW_AdjONLYPerm">'B6'!$AC$44</definedName>
    <definedName name="NEW_AdjONLYPermSalary" localSheetId="0">'LGAA|0001-00'!$AA$44</definedName>
    <definedName name="NEW_AdjONLYPermSalary">'B6'!$AA$44</definedName>
    <definedName name="NEW_AdjONLYPermVB" localSheetId="0">'LGAA|0001-00'!$AB$44</definedName>
    <definedName name="NEW_AdjONLYPermVB">'B6'!$AB$44</definedName>
    <definedName name="NEW_AdjPerm" localSheetId="0">'LGAA|0001-00'!$AC$38</definedName>
    <definedName name="NEW_AdjPerm">'B6'!$AC$38</definedName>
    <definedName name="NEW_AdjPermSalary" localSheetId="0">'LGAA|0001-00'!$AA$38</definedName>
    <definedName name="NEW_AdjPermSalary">'B6'!$AA$38</definedName>
    <definedName name="NEW_AdjPermVB" localSheetId="0">'LGAA|0001-00'!$AB$38</definedName>
    <definedName name="NEW_AdjPermVB">'B6'!$AB$38</definedName>
    <definedName name="NEW_GroupFilled" localSheetId="0">'LGAA|0001-00'!$AC$11</definedName>
    <definedName name="NEW_GroupFilled">'B6'!$AC$11</definedName>
    <definedName name="NEW_GroupSalaryFilled" localSheetId="0">'LGAA|0001-00'!$AA$11</definedName>
    <definedName name="NEW_GroupSalaryFilled">'B6'!$AA$11</definedName>
    <definedName name="NEW_GroupVBFilled" localSheetId="0">'LGAA|0001-00'!$AB$11</definedName>
    <definedName name="NEW_GroupVBFilled">'B6'!$AB$11</definedName>
    <definedName name="NEW_PermFilled" localSheetId="0">'LGAA|0001-00'!$AC$10</definedName>
    <definedName name="NEW_PermFilled">'B6'!$AC$10</definedName>
    <definedName name="NEW_PermSalaryFilled" localSheetId="0">'LGAA|0001-00'!$AA$10</definedName>
    <definedName name="NEW_PermSalaryFilled">'B6'!$AA$10</definedName>
    <definedName name="NEW_PermVBFilled" localSheetId="0">'LGAA|0001-00'!$AB$10</definedName>
    <definedName name="NEW_PermVBFilled">'B6'!$AB$10</definedName>
    <definedName name="OneTimePC_Total" localSheetId="0">'LGAA|0001-00'!$J$63</definedName>
    <definedName name="OneTimePC_Total">'B6'!$J$63</definedName>
    <definedName name="OrigApprop" localSheetId="0">'LGAA|0001-00'!$E$15</definedName>
    <definedName name="OrigApprop">'B6'!$E$15</definedName>
    <definedName name="perm_name" localSheetId="0">'LGAA|0001-00'!$C$10</definedName>
    <definedName name="perm_name">'B6'!$C$10</definedName>
    <definedName name="PermFTP" localSheetId="0">'LGAA|0001-00'!$F$10</definedName>
    <definedName name="PermFTP">'B6'!$F$10</definedName>
    <definedName name="PermFxdBen" localSheetId="0">'LGAA|0001-00'!$H$10</definedName>
    <definedName name="PermFxdBen">'B6'!$H$10</definedName>
    <definedName name="PermFxdBenChg" localSheetId="0">'LGAA|0001-00'!$L$10</definedName>
    <definedName name="PermFxdBenChg">'B6'!$L$10</definedName>
    <definedName name="PermFxdChg" localSheetId="0">'LGAA|0001-00'!$L$10</definedName>
    <definedName name="PermFxdChg">'B6'!$L$10</definedName>
    <definedName name="PermSalary" localSheetId="0">'LGAA|0001-00'!$G$10</definedName>
    <definedName name="PermSalary">'B6'!$G$10</definedName>
    <definedName name="PermVarBen" localSheetId="0">'LGAA|0001-00'!$I$10</definedName>
    <definedName name="PermVarBen">'B6'!$I$10</definedName>
    <definedName name="PermVarBenChg" localSheetId="0">'LGAA|0001-00'!$M$10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'LGAA|0001-00'!$A$1:$N$81</definedName>
    <definedName name="Prog_Unadjusted_Total" localSheetId="0">'LGAA|0001-00'!$C$8:$N$16</definedName>
    <definedName name="Prog_Unadjusted_Total">'B6'!$C$8:$N$16</definedName>
    <definedName name="Program" localSheetId="0">'LGAA|0001-00'!$D$3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'LGAA|0001-00'!$G$52</definedName>
    <definedName name="RoundedAppropSalary">'B6'!$G$52</definedName>
    <definedName name="SalaryChg" localSheetId="0">'LGAA|0001-00'!$K$10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'LGAA|0001-00'!#REF!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28" i="5"/>
  <c r="AY28" i="5"/>
  <c r="AW28" i="5"/>
  <c r="AV28" i="5"/>
  <c r="AU28" i="5"/>
  <c r="AT28" i="5"/>
  <c r="AS28" i="5"/>
  <c r="BA26" i="5"/>
  <c r="AZ26" i="5"/>
  <c r="AY26" i="5"/>
  <c r="AX26" i="5"/>
  <c r="AW26" i="5"/>
  <c r="AV26" i="5"/>
  <c r="AU26" i="5"/>
  <c r="AT26" i="5"/>
  <c r="AS26" i="5"/>
  <c r="AZ20" i="5"/>
  <c r="AY20" i="5"/>
  <c r="AW20" i="5"/>
  <c r="AV20" i="5"/>
  <c r="AU20" i="5"/>
  <c r="AT20" i="5"/>
  <c r="AS20" i="5"/>
  <c r="AZ24" i="5"/>
  <c r="AW24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L39" i="12"/>
  <c r="F39" i="12"/>
  <c r="C39" i="12"/>
  <c r="C38" i="12"/>
  <c r="M35" i="12"/>
  <c r="L35" i="12"/>
  <c r="J35" i="12"/>
  <c r="I35" i="12"/>
  <c r="H35" i="12"/>
  <c r="M34" i="12"/>
  <c r="N34" i="12" s="1"/>
  <c r="L34" i="12"/>
  <c r="J34" i="12"/>
  <c r="I34" i="12"/>
  <c r="H34" i="12"/>
  <c r="M33" i="12"/>
  <c r="L33" i="12"/>
  <c r="J33" i="12"/>
  <c r="I33" i="12"/>
  <c r="H33" i="12"/>
  <c r="M32" i="12"/>
  <c r="M39" i="12" s="1"/>
  <c r="L32" i="12"/>
  <c r="I32" i="12"/>
  <c r="H32" i="12"/>
  <c r="J32" i="12" s="1"/>
  <c r="M30" i="12"/>
  <c r="L30" i="12"/>
  <c r="J30" i="12"/>
  <c r="I30" i="12"/>
  <c r="H30" i="12"/>
  <c r="M29" i="12"/>
  <c r="N29" i="12" s="1"/>
  <c r="L29" i="12"/>
  <c r="J29" i="12"/>
  <c r="I29" i="12"/>
  <c r="H29" i="12"/>
  <c r="M28" i="12"/>
  <c r="L28" i="12"/>
  <c r="N28" i="12" s="1"/>
  <c r="J28" i="12"/>
  <c r="I28" i="12"/>
  <c r="H28" i="12"/>
  <c r="N27" i="12"/>
  <c r="M27" i="12"/>
  <c r="L27" i="12"/>
  <c r="J27" i="12"/>
  <c r="I27" i="12"/>
  <c r="H27" i="12"/>
  <c r="M26" i="12"/>
  <c r="L26" i="12"/>
  <c r="J26" i="12"/>
  <c r="I26" i="12"/>
  <c r="H26" i="12"/>
  <c r="M25" i="12"/>
  <c r="N25" i="12" s="1"/>
  <c r="L25" i="12"/>
  <c r="J25" i="12"/>
  <c r="I25" i="12"/>
  <c r="H25" i="12"/>
  <c r="M24" i="12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N21" i="12" s="1"/>
  <c r="L21" i="12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2" i="5"/>
  <c r="AT17" i="5" s="1"/>
  <c r="AT18" i="5" s="1"/>
  <c r="CM3" i="5"/>
  <c r="CM8" i="5" s="1"/>
  <c r="CM9" i="5" s="1"/>
  <c r="CM4" i="5"/>
  <c r="CM5" i="5"/>
  <c r="CM2" i="5"/>
  <c r="CL3" i="5"/>
  <c r="CL4" i="5"/>
  <c r="CL5" i="5"/>
  <c r="CL2" i="5"/>
  <c r="AW5" i="5"/>
  <c r="AW4" i="5"/>
  <c r="AW3" i="5"/>
  <c r="AW2" i="5"/>
  <c r="AS3" i="5"/>
  <c r="AT3" i="5" s="1"/>
  <c r="AS4" i="5"/>
  <c r="AT4" i="5" s="1"/>
  <c r="CG4" i="5" s="1"/>
  <c r="AS5" i="5"/>
  <c r="AT5" i="5" s="1"/>
  <c r="AS2" i="5"/>
  <c r="AX2" i="5" s="1"/>
  <c r="N24" i="12" l="1"/>
  <c r="N26" i="12"/>
  <c r="N22" i="12"/>
  <c r="N30" i="12"/>
  <c r="N35" i="12"/>
  <c r="N33" i="12"/>
  <c r="H39" i="12"/>
  <c r="N32" i="12"/>
  <c r="BA23" i="5"/>
  <c r="CL8" i="5"/>
  <c r="CL9" i="5" s="1"/>
  <c r="G11" i="12" s="1"/>
  <c r="I11" i="12"/>
  <c r="I39" i="12" s="1"/>
  <c r="AB39" i="12" s="1"/>
  <c r="G5" i="10"/>
  <c r="AX4" i="5"/>
  <c r="BD4" i="5" s="1"/>
  <c r="AY23" i="5"/>
  <c r="AX3" i="5"/>
  <c r="BD3" i="5" s="1"/>
  <c r="AU17" i="5"/>
  <c r="AU18" i="5" s="1"/>
  <c r="AT23" i="5"/>
  <c r="AU23" i="5"/>
  <c r="AU24" i="5" s="1"/>
  <c r="AV23" i="5"/>
  <c r="AV24" i="5" s="1"/>
  <c r="AW8" i="5"/>
  <c r="AW9" i="5" s="1"/>
  <c r="AX23" i="5"/>
  <c r="BA24" i="5"/>
  <c r="AX24" i="5"/>
  <c r="N39" i="12"/>
  <c r="F67" i="12"/>
  <c r="CI3" i="5"/>
  <c r="BT3" i="5"/>
  <c r="BR3" i="5"/>
  <c r="BX3" i="5"/>
  <c r="CD3" i="5"/>
  <c r="BZ3" i="5"/>
  <c r="BK3" i="5"/>
  <c r="BG3" i="5"/>
  <c r="BE3" i="5"/>
  <c r="BA3" i="5"/>
  <c r="CH3" i="5"/>
  <c r="BS3" i="5"/>
  <c r="CK3" i="5"/>
  <c r="CF3" i="5"/>
  <c r="BI3" i="5"/>
  <c r="AY3" i="5"/>
  <c r="BU3" i="5"/>
  <c r="BQ3" i="5"/>
  <c r="BM3" i="5"/>
  <c r="AU3" i="5"/>
  <c r="BN3" i="5" s="1"/>
  <c r="BW3" i="5"/>
  <c r="CJ3" i="5"/>
  <c r="BL3" i="5"/>
  <c r="BV3" i="5"/>
  <c r="AV3" i="5"/>
  <c r="BC3" i="5" s="1"/>
  <c r="CG3" i="5"/>
  <c r="CE3" i="5"/>
  <c r="CC3" i="5"/>
  <c r="CA3" i="5"/>
  <c r="BY3" i="5"/>
  <c r="BJ3" i="5"/>
  <c r="BH3" i="5"/>
  <c r="BF3" i="5"/>
  <c r="AZ3" i="5"/>
  <c r="CE5" i="5"/>
  <c r="CC5" i="5"/>
  <c r="BJ5" i="5"/>
  <c r="BF5" i="5"/>
  <c r="AZ5" i="5"/>
  <c r="BV5" i="5"/>
  <c r="BT5" i="5"/>
  <c r="BK5" i="5"/>
  <c r="AY5" i="5"/>
  <c r="CI5" i="5"/>
  <c r="BX5" i="5"/>
  <c r="BR5" i="5"/>
  <c r="AU5" i="5"/>
  <c r="BN5" i="5" s="1"/>
  <c r="CF5" i="5"/>
  <c r="CD5" i="5"/>
  <c r="BZ5" i="5"/>
  <c r="BG5" i="5"/>
  <c r="BA5" i="5"/>
  <c r="BI5" i="5"/>
  <c r="BE5" i="5"/>
  <c r="CG5" i="5"/>
  <c r="BL5" i="5"/>
  <c r="BH5" i="5"/>
  <c r="CJ5" i="5"/>
  <c r="BW5" i="5"/>
  <c r="BU5" i="5"/>
  <c r="BS5" i="5"/>
  <c r="BQ5" i="5"/>
  <c r="AV5" i="5"/>
  <c r="BO5" i="5" s="1"/>
  <c r="BJ4" i="5"/>
  <c r="BY4" i="5"/>
  <c r="CE4" i="5"/>
  <c r="AX5" i="5"/>
  <c r="AV4" i="5"/>
  <c r="BO4" i="5" s="1"/>
  <c r="AZ4" i="5"/>
  <c r="BF4" i="5"/>
  <c r="CC4" i="5"/>
  <c r="BM4" i="5"/>
  <c r="BQ4" i="5"/>
  <c r="BS4" i="5"/>
  <c r="BU4" i="5"/>
  <c r="BW4" i="5"/>
  <c r="AU4" i="5"/>
  <c r="BN4" i="5" s="1"/>
  <c r="AY4" i="5"/>
  <c r="BA4" i="5"/>
  <c r="BE4" i="5"/>
  <c r="BG4" i="5"/>
  <c r="BI4" i="5"/>
  <c r="BK4" i="5"/>
  <c r="CD4" i="5"/>
  <c r="CF4" i="5"/>
  <c r="CK4" i="5"/>
  <c r="AT2" i="5"/>
  <c r="AS17" i="5" s="1"/>
  <c r="AS18" i="5" s="1"/>
  <c r="BR4" i="5"/>
  <c r="BT4" i="5"/>
  <c r="BV4" i="5"/>
  <c r="CI4" i="5"/>
  <c r="BH4" i="5"/>
  <c r="CA4" i="5"/>
  <c r="C12" i="7"/>
  <c r="G63" i="12" s="1"/>
  <c r="I63" i="12" s="1"/>
  <c r="C13" i="7"/>
  <c r="C14" i="7"/>
  <c r="E51" i="9"/>
  <c r="AX8" i="5" l="1"/>
  <c r="AX9" i="5" s="1"/>
  <c r="BP4" i="5"/>
  <c r="CB4" i="5" s="1"/>
  <c r="BP3" i="5"/>
  <c r="E5" i="10"/>
  <c r="H5" i="10" s="1"/>
  <c r="AY24" i="5"/>
  <c r="AT24" i="5"/>
  <c r="BB3" i="5"/>
  <c r="CB3" i="5"/>
  <c r="AA11" i="12"/>
  <c r="AB11" i="12"/>
  <c r="AB45" i="12" s="1"/>
  <c r="J11" i="12"/>
  <c r="G39" i="12"/>
  <c r="F75" i="12"/>
  <c r="F80" i="12" s="1"/>
  <c r="CJ2" i="5"/>
  <c r="BW2" i="5"/>
  <c r="BW8" i="5" s="1"/>
  <c r="BW9" i="5" s="1"/>
  <c r="BQ2" i="5"/>
  <c r="BQ8" i="5" s="1"/>
  <c r="BQ9" i="5" s="1"/>
  <c r="BY2" i="5"/>
  <c r="CG2" i="5"/>
  <c r="CG8" i="5" s="1"/>
  <c r="CG9" i="5" s="1"/>
  <c r="CE2" i="5"/>
  <c r="CE8" i="5" s="1"/>
  <c r="CE9" i="5" s="1"/>
  <c r="CC2" i="5"/>
  <c r="CC8" i="5" s="1"/>
  <c r="CC9" i="5" s="1"/>
  <c r="CA2" i="5"/>
  <c r="BL2" i="5"/>
  <c r="BJ2" i="5"/>
  <c r="BJ8" i="5" s="1"/>
  <c r="BJ9" i="5" s="1"/>
  <c r="BH2" i="5"/>
  <c r="BH8" i="5" s="1"/>
  <c r="BH9" i="5" s="1"/>
  <c r="BF2" i="5"/>
  <c r="BF8" i="5" s="1"/>
  <c r="BF9" i="5" s="1"/>
  <c r="BD2" i="5"/>
  <c r="AZ2" i="5"/>
  <c r="AZ8" i="5" s="1"/>
  <c r="AZ9" i="5" s="1"/>
  <c r="AV2" i="5"/>
  <c r="AV8" i="5" s="1"/>
  <c r="AV9" i="5" s="1"/>
  <c r="CK2" i="5"/>
  <c r="CI2" i="5"/>
  <c r="CI8" i="5" s="1"/>
  <c r="CI9" i="5" s="1"/>
  <c r="BX2" i="5"/>
  <c r="BV2" i="5"/>
  <c r="BV8" i="5" s="1"/>
  <c r="BV9" i="5" s="1"/>
  <c r="BT2" i="5"/>
  <c r="BT8" i="5" s="1"/>
  <c r="BT9" i="5" s="1"/>
  <c r="BR2" i="5"/>
  <c r="BR8" i="5" s="1"/>
  <c r="BR9" i="5" s="1"/>
  <c r="AT8" i="5"/>
  <c r="AT9" i="5" s="1"/>
  <c r="AS8" i="5"/>
  <c r="AS9" i="5" s="1"/>
  <c r="CH2" i="5"/>
  <c r="CF2" i="5"/>
  <c r="CF8" i="5" s="1"/>
  <c r="CF9" i="5" s="1"/>
  <c r="CD2" i="5"/>
  <c r="CD8" i="5" s="1"/>
  <c r="CD9" i="5" s="1"/>
  <c r="BZ2" i="5"/>
  <c r="BK2" i="5"/>
  <c r="BK8" i="5" s="1"/>
  <c r="BK9" i="5" s="1"/>
  <c r="BI2" i="5"/>
  <c r="BI8" i="5" s="1"/>
  <c r="BI9" i="5" s="1"/>
  <c r="BG2" i="5"/>
  <c r="BG8" i="5" s="1"/>
  <c r="BG9" i="5" s="1"/>
  <c r="BE2" i="5"/>
  <c r="BE8" i="5" s="1"/>
  <c r="BE9" i="5" s="1"/>
  <c r="BA2" i="5"/>
  <c r="BA8" i="5" s="1"/>
  <c r="BA9" i="5" s="1"/>
  <c r="AY2" i="5"/>
  <c r="AU2" i="5"/>
  <c r="AU8" i="5" s="1"/>
  <c r="AU9" i="5" s="1"/>
  <c r="BU2" i="5"/>
  <c r="BU8" i="5" s="1"/>
  <c r="BU9" i="5" s="1"/>
  <c r="BM2" i="5"/>
  <c r="BS2" i="5"/>
  <c r="BS8" i="5" s="1"/>
  <c r="BS9" i="5" s="1"/>
  <c r="BB4" i="5"/>
  <c r="BZ4" i="5" s="1"/>
  <c r="BC4" i="5"/>
  <c r="BB5" i="5"/>
  <c r="BO3" i="5"/>
  <c r="BD5" i="5"/>
  <c r="BM5" i="5" s="1"/>
  <c r="BC5" i="5"/>
  <c r="CA5" i="5" s="1"/>
  <c r="BP5" i="5"/>
  <c r="BX4" i="5"/>
  <c r="BL4" i="5"/>
  <c r="D14" i="7"/>
  <c r="BC2" i="5" l="1"/>
  <c r="BC8" i="5" s="1"/>
  <c r="BC9" i="5" s="1"/>
  <c r="AX17" i="5"/>
  <c r="AA39" i="12"/>
  <c r="J39" i="12"/>
  <c r="BO2" i="5"/>
  <c r="BO8" i="5" s="1"/>
  <c r="BO9" i="5" s="1"/>
  <c r="F10" i="12"/>
  <c r="D4" i="10"/>
  <c r="F12" i="12"/>
  <c r="F40" i="12" s="1"/>
  <c r="D6" i="10"/>
  <c r="D7" i="10" s="1"/>
  <c r="D10" i="10" s="1"/>
  <c r="BN2" i="5"/>
  <c r="G12" i="12"/>
  <c r="E6" i="10"/>
  <c r="AY8" i="5"/>
  <c r="AY9" i="5" s="1"/>
  <c r="AV17" i="5"/>
  <c r="AV18" i="5" s="1"/>
  <c r="AY17" i="5"/>
  <c r="AY18" i="5" s="1"/>
  <c r="K10" i="12"/>
  <c r="I4" i="10"/>
  <c r="BP2" i="5"/>
  <c r="BZ8" i="5"/>
  <c r="BZ9" i="5" s="1"/>
  <c r="BB2" i="5"/>
  <c r="BD8" i="5"/>
  <c r="BD9" i="5" s="1"/>
  <c r="BX8" i="5"/>
  <c r="BX9" i="5" s="1"/>
  <c r="CB5" i="5"/>
  <c r="BY5" i="5"/>
  <c r="BY8" i="5" s="1"/>
  <c r="BY9" i="5" s="1"/>
  <c r="BL8" i="5"/>
  <c r="BL9" i="5" s="1"/>
  <c r="BM8" i="5"/>
  <c r="BM9" i="5" s="1"/>
  <c r="CA8" i="5"/>
  <c r="CA9" i="5" s="1"/>
  <c r="AB10" i="9"/>
  <c r="AX18" i="5" l="1"/>
  <c r="J8" i="11"/>
  <c r="I12" i="12"/>
  <c r="G6" i="10"/>
  <c r="BN8" i="5"/>
  <c r="BN9" i="5" s="1"/>
  <c r="AZ17" i="5"/>
  <c r="AZ18" i="5" s="1"/>
  <c r="G4" i="10"/>
  <c r="I10" i="12"/>
  <c r="BA17" i="5"/>
  <c r="F13" i="12"/>
  <c r="F16" i="12" s="1"/>
  <c r="F38" i="12"/>
  <c r="F41" i="12" s="1"/>
  <c r="L10" i="12"/>
  <c r="L38" i="12" s="1"/>
  <c r="J4" i="10"/>
  <c r="F6" i="10"/>
  <c r="H12" i="12"/>
  <c r="H40" i="12" s="1"/>
  <c r="G10" i="12"/>
  <c r="E4" i="10"/>
  <c r="AC39" i="12"/>
  <c r="AA45" i="12"/>
  <c r="AC45" i="12" s="1"/>
  <c r="J6" i="10"/>
  <c r="L12" i="12"/>
  <c r="BB8" i="5"/>
  <c r="BB9" i="5" s="1"/>
  <c r="AW17" i="5"/>
  <c r="AW18" i="5" s="1"/>
  <c r="G40" i="12"/>
  <c r="CB2" i="5"/>
  <c r="CB8" i="5" s="1"/>
  <c r="CB9" i="5" s="1"/>
  <c r="BP8" i="5"/>
  <c r="BP9" i="5" s="1"/>
  <c r="AA11" i="9"/>
  <c r="AC11" i="9"/>
  <c r="AA10" i="9"/>
  <c r="H6" i="10" l="1"/>
  <c r="J9" i="11"/>
  <c r="AX20" i="5"/>
  <c r="BA18" i="5"/>
  <c r="M8" i="11"/>
  <c r="F43" i="12"/>
  <c r="F44" i="12"/>
  <c r="F45" i="12"/>
  <c r="I13" i="12"/>
  <c r="I40" i="12"/>
  <c r="J12" i="12"/>
  <c r="E7" i="10"/>
  <c r="G38" i="12"/>
  <c r="AA10" i="12"/>
  <c r="G13" i="12"/>
  <c r="I38" i="12"/>
  <c r="F4" i="10"/>
  <c r="H4" i="10" s="1"/>
  <c r="H10" i="12"/>
  <c r="G7" i="10"/>
  <c r="L13" i="12"/>
  <c r="L40" i="12"/>
  <c r="J7" i="10"/>
  <c r="AC10" i="9"/>
  <c r="AX28" i="5" l="1"/>
  <c r="J19" i="11" s="1"/>
  <c r="J11" i="11"/>
  <c r="M9" i="11"/>
  <c r="BA20" i="5"/>
  <c r="I41" i="12"/>
  <c r="H13" i="12"/>
  <c r="J13" i="12" s="1"/>
  <c r="H38" i="12"/>
  <c r="H41" i="12" s="1"/>
  <c r="F7" i="10"/>
  <c r="H7" i="10" s="1"/>
  <c r="E9" i="10" s="1"/>
  <c r="J10" i="12"/>
  <c r="AA38" i="12"/>
  <c r="G41" i="12"/>
  <c r="J40" i="12"/>
  <c r="L41" i="12"/>
  <c r="E73" i="9"/>
  <c r="E72" i="9"/>
  <c r="BA28" i="5" l="1"/>
  <c r="M19" i="11" s="1"/>
  <c r="M11" i="11"/>
  <c r="H15" i="12"/>
  <c r="H16" i="12" s="1"/>
  <c r="G15" i="12"/>
  <c r="G16" i="12" s="1"/>
  <c r="G9" i="10"/>
  <c r="G10" i="10" s="1"/>
  <c r="E10" i="10"/>
  <c r="J38" i="12"/>
  <c r="J41" i="12" s="1"/>
  <c r="G51" i="12" s="1"/>
  <c r="F9" i="10"/>
  <c r="F10" i="10" s="1"/>
  <c r="AA44" i="12"/>
  <c r="J79" i="9"/>
  <c r="J78" i="9"/>
  <c r="J77" i="9"/>
  <c r="I15" i="12" l="1"/>
  <c r="I16" i="12" s="1"/>
  <c r="H9" i="10"/>
  <c r="H10" i="10" s="1"/>
  <c r="G52" i="12"/>
  <c r="G56" i="12" s="1"/>
  <c r="G60" i="12" s="1"/>
  <c r="G43" i="12"/>
  <c r="H51" i="12"/>
  <c r="I51" i="12"/>
  <c r="H63" i="9"/>
  <c r="J51" i="12" l="1"/>
  <c r="J52" i="12" s="1"/>
  <c r="J56" i="12" s="1"/>
  <c r="J60" i="12" s="1"/>
  <c r="J67" i="12" s="1"/>
  <c r="G72" i="12" s="1"/>
  <c r="J15" i="12"/>
  <c r="J16" i="12" s="1"/>
  <c r="G44" i="12"/>
  <c r="G67" i="12"/>
  <c r="I52" i="12"/>
  <c r="I56" i="12" s="1"/>
  <c r="I60" i="12" s="1"/>
  <c r="I43" i="12"/>
  <c r="H52" i="12"/>
  <c r="H56" i="12" s="1"/>
  <c r="H60" i="12" s="1"/>
  <c r="H43" i="12"/>
  <c r="K8" i="9"/>
  <c r="M72" i="12" l="1"/>
  <c r="O72" i="12"/>
  <c r="H68" i="12"/>
  <c r="J68" i="12" s="1"/>
  <c r="G73" i="12"/>
  <c r="I73" i="12" s="1"/>
  <c r="J73" i="12" s="1"/>
  <c r="J10" i="10"/>
  <c r="L16" i="12"/>
  <c r="J43" i="12"/>
  <c r="K43" i="12" s="1"/>
  <c r="G45" i="12"/>
  <c r="H67" i="12"/>
  <c r="H44" i="12"/>
  <c r="I67" i="12"/>
  <c r="I45" i="12" s="1"/>
  <c r="I44" i="12"/>
  <c r="I35" i="9"/>
  <c r="G63" i="9"/>
  <c r="I63" i="9" s="1"/>
  <c r="G75" i="12" l="1"/>
  <c r="G80" i="12" s="1"/>
  <c r="J44" i="12"/>
  <c r="K44" i="12" s="1"/>
  <c r="H45" i="12"/>
  <c r="J45" i="12" s="1"/>
  <c r="H75" i="12"/>
  <c r="H80" i="12" s="1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5" i="5" l="1"/>
  <c r="CK5" i="5" s="1"/>
  <c r="CK8" i="5" s="1"/>
  <c r="CK9" i="5" s="1"/>
  <c r="CH4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M12" i="12" l="1"/>
  <c r="K6" i="10"/>
  <c r="CJ4" i="5"/>
  <c r="CJ8" i="5" s="1"/>
  <c r="CJ9" i="5" s="1"/>
  <c r="CH8" i="5"/>
  <c r="CH9" i="5" s="1"/>
  <c r="F80" i="9"/>
  <c r="F45" i="9"/>
  <c r="N22" i="9"/>
  <c r="N21" i="9"/>
  <c r="H51" i="9"/>
  <c r="I51" i="9"/>
  <c r="G51" i="9"/>
  <c r="G43" i="9" s="1"/>
  <c r="L6" i="10" l="1"/>
  <c r="M10" i="12"/>
  <c r="K4" i="10"/>
  <c r="L4" i="10" s="1"/>
  <c r="L7" i="10" s="1"/>
  <c r="M40" i="12"/>
  <c r="N40" i="12" s="1"/>
  <c r="N12" i="12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N10" i="12" l="1"/>
  <c r="N13" i="12" s="1"/>
  <c r="M38" i="12"/>
  <c r="M13" i="12"/>
  <c r="AB10" i="12"/>
  <c r="AC10" i="12" s="1"/>
  <c r="K7" i="10"/>
  <c r="H44" i="9"/>
  <c r="N41" i="9"/>
  <c r="N38" i="9"/>
  <c r="J43" i="9"/>
  <c r="K43" i="9" s="1"/>
  <c r="I44" i="9"/>
  <c r="I67" i="9"/>
  <c r="AB38" i="12" l="1"/>
  <c r="M41" i="12"/>
  <c r="N38" i="12"/>
  <c r="I45" i="9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D913A50-7B48-4EF2-9E23-B92441273A47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067EA5E-F125-46E6-A006-FD6D145325C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3878976-B8DD-43D3-BEA4-91D817AC049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9172597-9672-4C12-AEDF-6263295CD13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9882170-01A2-43FA-B368-886FB061712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7CFA84B-50E7-4F0A-A6F1-75693C83181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98D5C87-2974-4CD8-B18C-C9290CAD501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CE5A905-91D5-4F88-A0D0-2731955ADC4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8FF5A70-866A-452B-A7D1-B868186D617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E9E4EA1-8791-4003-9332-4C80C089FFC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<sst xmlns="http://schemas.openxmlformats.org/spreadsheetml/2006/main" count="452" uniqueCount="267">
  <si>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</si>
  <si>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</si>
  <si>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</si>
  <si>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</si>
  <si>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</si>
  <si>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</si>
  <si>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</si>
  <si>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</si>
  <si>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</si>
  <si>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</si>
  <si>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</si>
  <si>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</si>
  <si>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</si>
  <si>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</si>
  <si>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</si>
  <si>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</si>
  <si>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</si>
  <si>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</si>
  <si>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</si>
  <si>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</si>
  <si>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</si>
  <si>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</si>
  <si>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</si>
  <si>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</si>
  <si>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</si>
  <si>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</si>
  <si>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</si>
  <si>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</si>
  <si>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</si>
  <si>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</si>
  <si>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</si>
  <si>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</si>
  <si>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</si>
  <si>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</si>
  <si>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</si>
  <si>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</si>
  <si>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</si>
  <si>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</si>
  <si>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</si>
  <si>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</si>
  <si>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</si>
  <si>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</si>
  <si>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</si>
  <si>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</si>
  <si>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</si>
  <si>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</si>
  <si>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</si>
  <si>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</si>
  <si>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</si>
  <si>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</si>
  <si>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</si>
  <si>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</si>
  <si>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</si>
  <si>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</si>
  <si>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</si>
  <si>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</si>
  <si>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</si>
  <si>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</si>
  <si>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</si>
  <si>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</si>
  <si>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</si>
  <si>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</si>
  <si>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</si>
  <si>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</si>
  <si>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</si>
  <si>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</si>
  <si>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</si>
  <si>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</si>
  <si>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</si>
  <si>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</si>
  <si>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</si>
  <si>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</si>
  <si>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</si>
  <si>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</si>
  <si>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</si>
  <si>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</si>
  <si>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</si>
  <si>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</si>
  <si>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</si>
  <si>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</si>
  <si>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</si>
  <si>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</si>
  <si>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</si>
  <si>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</si>
  <si>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</si>
  <si>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</si>
  <si>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</si>
  <si>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</si>
  <si>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</si>
  <si>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</si>
  <si>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</si>
  <si>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</si>
  <si>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</si>
  <si>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</si>
  <si>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</si>
  <si>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</si>
  <si>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</si>
  <si>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</si>
  <si>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</si>
  <si>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</si>
  <si>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</si>
  <si>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</si>
  <si>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</si>
  <si>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</si>
  <si>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</si>
  <si>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</si>
  <si>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</si>
  <si>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</si>
  <si>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</si>
  <si>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</si>
  <si>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</si>
  <si>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</si>
  <si>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</si>
  <si>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</si>
  <si>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</si>
  <si>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</si>
  <si>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</si>
  <si>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</si>
  <si>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</si>
  <si>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</si>
  <si>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</si>
  <si>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</si>
  <si>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</si>
  <si>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</si>
  <si>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</si>
  <si>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</si>
  <si>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</si>
  <si>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</si>
  <si>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</si>
  <si>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</si>
  <si>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</si>
  <si>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</si>
  <si>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</si>
  <si>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</si>
  <si>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</si>
  <si>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</si>
  <si>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</si>
  <si>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</si>
  <si>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</si>
  <si>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</si>
  <si>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</si>
  <si>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</si>
  <si>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</si>
  <si>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</si>
  <si>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</si>
  <si>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</si>
  <si>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</si>
  <si>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</si>
  <si>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</si>
  <si>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</si>
  <si>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</si>
  <si>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</si>
  <si>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</si>
  <si>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</si>
  <si>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</si>
  <si>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</si>
  <si>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</si>
  <si>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</si>
  <si>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</si>
  <si>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</si>
  <si>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</si>
  <si>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</si>
  <si>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120</t>
  </si>
  <si>
    <t>9999</t>
  </si>
  <si>
    <t xml:space="preserve">TEMPORARY EMPLOYEES </t>
  </si>
  <si>
    <t>0001</t>
  </si>
  <si>
    <t>00</t>
  </si>
  <si>
    <t>LGAA</t>
  </si>
  <si>
    <t>001</t>
  </si>
  <si>
    <t>95000</t>
  </si>
  <si>
    <t>F</t>
  </si>
  <si>
    <t>NG</t>
  </si>
  <si>
    <t>N</t>
  </si>
  <si>
    <t>1012</t>
  </si>
  <si>
    <t xml:space="preserve">ADMIN ASST          </t>
  </si>
  <si>
    <t>22211</t>
  </si>
  <si>
    <t>V</t>
  </si>
  <si>
    <t>NR</t>
  </si>
  <si>
    <t>1013</t>
  </si>
  <si>
    <t xml:space="preserve">CHIEF OF STAFF      </t>
  </si>
  <si>
    <t>20315</t>
  </si>
  <si>
    <t>WATTERS, JORDAN C.</t>
  </si>
  <si>
    <t>WATTERS</t>
  </si>
  <si>
    <t>JORDAN</t>
  </si>
  <si>
    <t>CHARLES</t>
  </si>
  <si>
    <t>00000</t>
  </si>
  <si>
    <t>H</t>
  </si>
  <si>
    <t>FS</t>
  </si>
  <si>
    <t>E</t>
  </si>
  <si>
    <t>Y</t>
  </si>
  <si>
    <t xml:space="preserve">    </t>
  </si>
  <si>
    <t>1011</t>
  </si>
  <si>
    <t xml:space="preserve">LIEUTENANT GOVERNOR </t>
  </si>
  <si>
    <t>22100</t>
  </si>
  <si>
    <t>MCGEACHIN, JANICE K.</t>
  </si>
  <si>
    <t>MCGEACHIN</t>
  </si>
  <si>
    <t>JANICE</t>
  </si>
  <si>
    <t>K</t>
  </si>
  <si>
    <t>A</t>
  </si>
  <si>
    <t>FE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</si>
  <si>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</si>
  <si>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</si>
  <si>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</si>
  <si>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</si>
  <si>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</si>
  <si>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</si>
  <si>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</si>
  <si>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</si>
  <si>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</si>
  <si>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</si>
  <si>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</si>
  <si>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</si>
  <si>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</si>
  <si>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</si>
  <si>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</si>
  <si>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</si>
  <si>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</si>
  <si>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</si>
  <si>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</si>
  <si>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</si>
  <si>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</si>
  <si>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</si>
  <si>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</si>
  <si>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</si>
  <si>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</si>
  <si>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</si>
  <si>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</si>
  <si>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</si>
  <si>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</si>
  <si>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</si>
  <si>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</si>
  <si>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</si>
  <si>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</si>
  <si>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</si>
  <si>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</si>
  <si>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</si>
  <si>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</si>
  <si>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</si>
  <si>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</si>
  <si>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</si>
  <si>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</si>
  <si>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</si>
  <si>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</si>
  <si>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</si>
  <si>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</si>
  <si>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</si>
  <si>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</si>
  <si>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</si>
  <si>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LGAA 0001-00</t>
  </si>
  <si>
    <t>LGAA 0001</t>
  </si>
  <si>
    <t>Lieutenant Governor</t>
  </si>
  <si>
    <t>General</t>
  </si>
  <si>
    <t>0001-00</t>
  </si>
  <si>
    <t>10000</t>
  </si>
  <si>
    <t>Lieutenant Governor, General   LGAA-0001-00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</si>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</sst>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F29B-C164-473F-A061-5F60A1C49702}">
  <sheetPr>
    <pageSetUpPr fitToPage="1"/>
  </sheetPr>
  <dimension ref="A1:CP80"/>
  <sheetViews>
    <sheetView showGridLines="0" tabSelected="1" zoomScaleNormal="100" workbookViewId="0">
      <selection activeCell="L76" sqref="L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250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120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250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253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250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167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251</v>
      </c>
      <c r="J5" s="410"/>
      <c r="K5" s="410"/>
      <c r="L5" s="409"/>
      <c r="M5" s="352" t="s">
        <v>115</v>
      </c>
      <c r="N5" s="32" t="s">
        <v>252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"&amp;'LGAA|0001-00'!FiscalYear-1&amp;" SALARY"</f>
        <v>FY 2022 SALARY</v>
      </c>
      <c r="H8" s="50" t="str">
        <f>"FY "&amp;'LGAA|0001-00'!FiscalYear-1&amp;" HEALTH BENEFITS"</f>
        <v>FY 2022 HEALTH BENEFITS</v>
      </c>
      <c r="I8" s="50" t="str">
        <f>"FY "&amp;'LGAA|0001-00'!FiscalYear-1&amp;" VAR BENEFITS"</f>
        <v>FY 2022 VAR BENEFITS</v>
      </c>
      <c r="J8" s="50" t="str">
        <f>"FY "&amp;'LGAA|0001-00'!FiscalYear-1&amp;" TOTAL"</f>
        <v>FY 2022 TOTAL</v>
      </c>
      <c r="K8" s="50" t="str">
        <f>"FY "&amp;'LGAA|0001-00'!FiscalYear&amp;" SALARY CHANGE"</f>
        <v>FY 2023 SALARY CHANGE</v>
      </c>
      <c r="L8" s="50" t="str">
        <f>"FY "&amp;'LGAA|0001-00'!FiscalYear&amp;" CHG HEALTH BENEFITS"</f>
        <v>FY 2023 CHG HEALTH BENEFITS</v>
      </c>
      <c r="M8" s="50" t="str">
        <f>"FY "&amp;'LGAA|0001-00'!FiscalYear&amp;"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[0]!LGAA000100col_INC_FTI</f>
        <v>1</v>
      </c>
      <c r="G10" s="218">
        <f>[0]!LGAA000100col_FTI_SALARY_PERM</f>
        <v>45177.599999999999</v>
      </c>
      <c r="H10" s="218">
        <f>[0]!LGAA000100col_HEALTH_PERM</f>
        <v>11650</v>
      </c>
      <c r="I10" s="218">
        <f>[0]!LGAA000100col_TOT_VB_PERM</f>
        <v>9564.549696</v>
      </c>
      <c r="J10" s="219">
        <f>SUM(G10:I10)</f>
        <v>66392.149695999993</v>
      </c>
      <c r="K10" s="219">
        <f>[0]!LGAA000100col_1_27TH_PP</f>
        <v>0</v>
      </c>
      <c r="L10" s="218">
        <f>[0]!LGAA000100col_HEALTH_PERM_CHG</f>
        <v>0</v>
      </c>
      <c r="M10" s="218">
        <f>[0]!LGAA000100col_TOT_VB_PERM_CHG</f>
        <v>-230.40575999999999</v>
      </c>
      <c r="N10" s="218">
        <f>SUM(L10:M10)</f>
        <v>-230.40575999999999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[0]!LGAA000100col_Group_Salary</f>
        <v>3240</v>
      </c>
      <c r="H11" s="218">
        <v>0</v>
      </c>
      <c r="I11" s="218">
        <f>[0]!LGAA000100col_Group_Ben</f>
        <v>266.27</v>
      </c>
      <c r="J11" s="219">
        <f>SUM(G11:I11)</f>
        <v>3506.27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[0]!LGAA000100col_TOTAL_ELECT_PCN_FTI</f>
        <v>1</v>
      </c>
      <c r="G12" s="218">
        <f>[0]!LGAA000100col_FTI_SALARY_ELECT</f>
        <v>48405.7</v>
      </c>
      <c r="H12" s="218">
        <f>[0]!LGAA000100col_HEALTH_ELECT</f>
        <v>11650</v>
      </c>
      <c r="I12" s="218">
        <f>[0]!LGAA000100col_TOT_VB_ELECT</f>
        <v>10010.782816999999</v>
      </c>
      <c r="J12" s="219">
        <f>SUM(G12:I12)</f>
        <v>70066.482816999996</v>
      </c>
      <c r="K12" s="268"/>
      <c r="L12" s="218">
        <f>[0]!LGAA000100col_HEALTH_ELECT_CHG</f>
        <v>0</v>
      </c>
      <c r="M12" s="218">
        <f>[0]!LGAA000100col_TOT_VB_ELECT_CHG</f>
        <v>-9.6811400000000045</v>
      </c>
      <c r="N12" s="219">
        <f>SUM(L12:M12)</f>
        <v>-9.6811400000000045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2</v>
      </c>
      <c r="G13" s="221">
        <f>SUM(G10:G12)</f>
        <v>96823.299999999988</v>
      </c>
      <c r="H13" s="221">
        <f>SUM(H10:H12)</f>
        <v>23300</v>
      </c>
      <c r="I13" s="221">
        <f>SUM(I10:I12)</f>
        <v>19841.602512999998</v>
      </c>
      <c r="J13" s="219">
        <f>SUM(G13:I13)</f>
        <v>139964.90251299998</v>
      </c>
      <c r="K13" s="268"/>
      <c r="L13" s="219">
        <f>SUM(L10:L12)</f>
        <v>0</v>
      </c>
      <c r="M13" s="219">
        <f>SUM(M10:M12)</f>
        <v>-240.08689999999999</v>
      </c>
      <c r="N13" s="219">
        <f>SUM(N10:N12)</f>
        <v>-240.08689999999999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"&amp;'LGAA|0001-00'!FiscalYear-1</f>
        <v>FY 2022</v>
      </c>
      <c r="D15" s="158" t="s">
        <v>31</v>
      </c>
      <c r="E15" s="355">
        <v>167900</v>
      </c>
      <c r="F15" s="55">
        <v>3</v>
      </c>
      <c r="G15" s="223">
        <f>IF(OrigApprop=0,0,(G13/$J$13)*OrigApprop)</f>
        <v>116147.91835753308</v>
      </c>
      <c r="H15" s="223">
        <f>IF(OrigApprop=0,0,(H13/$J$13)*OrigApprop)</f>
        <v>27950.36419674315</v>
      </c>
      <c r="I15" s="223">
        <f>IF(G15=0,0,(I13/$J$13)*OrigApprop)</f>
        <v>23801.717445723778</v>
      </c>
      <c r="J15" s="223">
        <f>SUM(G15:I15)</f>
        <v>167900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1</v>
      </c>
      <c r="G16" s="162">
        <f>G15-G13</f>
        <v>19324.618357533094</v>
      </c>
      <c r="H16" s="162">
        <f>H15-H13</f>
        <v>4650.3641967431504</v>
      </c>
      <c r="I16" s="162">
        <f>I15-I13</f>
        <v>3960.1149327237799</v>
      </c>
      <c r="J16" s="162">
        <f>J15-J13</f>
        <v>27935.097487000021</v>
      </c>
      <c r="K16" s="269"/>
      <c r="L16" s="56" t="str">
        <f>IF('LGAA|0001-00'!OrigApprop=0,"ERROR! Enter Original Appropriation amount in DU 3.00!","Calculated "&amp;IF('LGAA|0001-00'!AdjustedTotal&gt;0,"overfunding ","underfunding ")&amp;"is "&amp;TEXT('LGAA|0001-00'!AdjustedTotal/'LGAA|0001-00'!AppropTotal,"#.0%;(#.0% );0% ;")&amp;" of Original Appropriation")</f>
        <v>Calculated overfunding is 16.6%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1</v>
      </c>
      <c r="G38" s="191">
        <f>SUMIF($E10:$E35,$E38,$G10:$G35)</f>
        <v>45177.599999999999</v>
      </c>
      <c r="H38" s="192">
        <f>SUMIF($E10:$E35,$E38,$H10:$H35)</f>
        <v>11650</v>
      </c>
      <c r="I38" s="192">
        <f>SUMIF($E10:$E35,$E38,$I10:$I35)</f>
        <v>9564.549696</v>
      </c>
      <c r="J38" s="192">
        <f>SUM(G38:I38)</f>
        <v>66392.149695999993</v>
      </c>
      <c r="K38" s="166"/>
      <c r="L38" s="191">
        <f>SUMIF($E10:$E35,$E38,$L10:$L35)</f>
        <v>0</v>
      </c>
      <c r="M38" s="192">
        <f>SUMIF($E10:$E35,$E38,$M10:$M35)</f>
        <v>-230.40575999999999</v>
      </c>
      <c r="N38" s="192">
        <f>SUM(L38:M38)</f>
        <v>-230.40575999999999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3240</v>
      </c>
      <c r="H39" s="152">
        <f>SUMIF($E10:$E35,$E39,$H10:$H35)</f>
        <v>0</v>
      </c>
      <c r="I39" s="152">
        <f>SUMIF($E10:$E35,$E39,$I10:$I35)</f>
        <v>266.27</v>
      </c>
      <c r="J39" s="152">
        <f>SUM(G39:I39)</f>
        <v>3506.27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1</v>
      </c>
      <c r="G40" s="193">
        <f>SUMIF($E10:$E35,$E40,$G10:$G35)</f>
        <v>48405.7</v>
      </c>
      <c r="H40" s="152">
        <f>SUMIF($E10:$E35,$E40,$H10:$H35)</f>
        <v>11650</v>
      </c>
      <c r="I40" s="152">
        <f>SUMIF($E10:$E35,$E40,$I10:$I35)</f>
        <v>10010.782816999999</v>
      </c>
      <c r="J40" s="152">
        <f>SUM(G40:I40)</f>
        <v>70066.482816999996</v>
      </c>
      <c r="K40" s="259"/>
      <c r="L40" s="193">
        <f>SUMIF($E10:$E35,$E40,$L10:$L35)</f>
        <v>0</v>
      </c>
      <c r="M40" s="152">
        <f>SUMIF($E10:$E35,$E40,$M10:$M35)</f>
        <v>-9.6811400000000045</v>
      </c>
      <c r="N40" s="152">
        <f>SUM(L40:M40)</f>
        <v>-9.6811400000000045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2</v>
      </c>
      <c r="G41" s="195">
        <f>SUM($G$38:$G$40)</f>
        <v>96823.299999999988</v>
      </c>
      <c r="H41" s="162">
        <f>SUM($H$38:$H$40)</f>
        <v>23300</v>
      </c>
      <c r="I41" s="162">
        <f>SUM($I$38:$I$40)</f>
        <v>19841.602512999998</v>
      </c>
      <c r="J41" s="162">
        <f>SUM($J$38:$J$40)</f>
        <v>139964.90251300001</v>
      </c>
      <c r="K41" s="259"/>
      <c r="L41" s="195">
        <f>SUM($L$38:$L$40)</f>
        <v>0</v>
      </c>
      <c r="M41" s="162">
        <f>SUM($M$38:$M$40)</f>
        <v>-240.08689999999999</v>
      </c>
      <c r="N41" s="162">
        <f>SUM(L41:M41)</f>
        <v>-240.08689999999999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1</v>
      </c>
      <c r="G43" s="206">
        <f>ROUND(G51-G41,-2)</f>
        <v>19300</v>
      </c>
      <c r="H43" s="159">
        <f>ROUND(H51-H41,-2)</f>
        <v>4700</v>
      </c>
      <c r="I43" s="159">
        <f>ROUND(I51-I41,-2)</f>
        <v>4000</v>
      </c>
      <c r="J43" s="159">
        <f>SUM(G43:I43)</f>
        <v>28000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16.7%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1</v>
      </c>
      <c r="G44" s="206">
        <f>ROUND(G60-G41,-2)</f>
        <v>19300</v>
      </c>
      <c r="H44" s="159">
        <f>ROUND(H60-H41,-2)</f>
        <v>4700</v>
      </c>
      <c r="I44" s="159">
        <f>ROUND(I60-I41,-2)</f>
        <v>4000</v>
      </c>
      <c r="J44" s="159">
        <f>SUM(G44:I44)</f>
        <v>28000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16.7%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</v>
      </c>
      <c r="G45" s="206">
        <f>ROUND(G67-G41-G63,-2)</f>
        <v>19300</v>
      </c>
      <c r="H45" s="206">
        <f>ROUND(H67-H41-H63,-2)</f>
        <v>4700</v>
      </c>
      <c r="I45" s="206">
        <f>ROUND(I67-I41-I63,-2)</f>
        <v>4000</v>
      </c>
      <c r="J45" s="159">
        <f>SUM(G45:I45)</f>
        <v>28000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16.7%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167900</v>
      </c>
      <c r="F51" s="272">
        <f>AppropFTP</f>
        <v>3</v>
      </c>
      <c r="G51" s="274">
        <f>IF(E51=0,0,(G41/$J$41)*$E$51)</f>
        <v>116147.91835753305</v>
      </c>
      <c r="H51" s="274">
        <f>IF(E51=0,0,(H41/$J$41)*$E$51)</f>
        <v>27950.364196743147</v>
      </c>
      <c r="I51" s="275">
        <f>IF(E51=0,0,(I41/$J$41)*$E$51)</f>
        <v>23801.717445723774</v>
      </c>
      <c r="J51" s="90">
        <f>SUM(G51:I51)</f>
        <v>167899.99999999997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</v>
      </c>
      <c r="G52" s="79">
        <f>ROUND(G51,-2)</f>
        <v>116100</v>
      </c>
      <c r="H52" s="79">
        <f>ROUND(H51,-2)</f>
        <v>28000</v>
      </c>
      <c r="I52" s="266">
        <f>ROUND(I51,-2)</f>
        <v>23800</v>
      </c>
      <c r="J52" s="80">
        <f>ROUND(J51,-2)</f>
        <v>167900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</v>
      </c>
      <c r="G56" s="80">
        <f>SUM(G52:G55)</f>
        <v>116100</v>
      </c>
      <c r="H56" s="80">
        <f>SUM(H52:H55)</f>
        <v>28000</v>
      </c>
      <c r="I56" s="260">
        <f>SUM(I52:I55)</f>
        <v>23800</v>
      </c>
      <c r="J56" s="80">
        <f>SUM(J52:J55)</f>
        <v>167900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</v>
      </c>
      <c r="G60" s="80">
        <f>SUM(G56:G59)</f>
        <v>116100</v>
      </c>
      <c r="H60" s="80">
        <f>SUM(H56:H59)</f>
        <v>28000</v>
      </c>
      <c r="I60" s="260">
        <f>SUM(I56:I59)</f>
        <v>23800</v>
      </c>
      <c r="J60" s="80">
        <f>SUM(J56:J59)</f>
        <v>167900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</v>
      </c>
      <c r="G67" s="80">
        <f>SUM(G60:G64)</f>
        <v>116100</v>
      </c>
      <c r="H67" s="80">
        <f>SUM(H60:H64)</f>
        <v>28000</v>
      </c>
      <c r="I67" s="80">
        <f>SUM(I60:I64)</f>
        <v>23800</v>
      </c>
      <c r="J67" s="80">
        <f>SUM(J60:J64)</f>
        <v>167900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</v>
      </c>
      <c r="G75" s="80">
        <f>SUM(G67:G74)</f>
        <v>116600</v>
      </c>
      <c r="H75" s="80">
        <f>SUM(H67:H74)</f>
        <v>28000</v>
      </c>
      <c r="I75" s="80">
        <f>SUM(I67:I74)</f>
        <v>23700</v>
      </c>
      <c r="J75" s="80">
        <f>SUM(J67:K74)</f>
        <v>168300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</v>
      </c>
      <c r="G80" s="80">
        <f>SUM(G75:G79)</f>
        <v>116600</v>
      </c>
      <c r="H80" s="80">
        <f>SUM(H75:H79)</f>
        <v>28000</v>
      </c>
      <c r="I80" s="80">
        <f>SUM(I75:I79)</f>
        <v>23700</v>
      </c>
      <c r="J80" s="80">
        <f>SUM(J75:J79)</f>
        <v>168300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D07B9A-B8ED-4831-AC3E-0B747F4451F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28"/>
  <sheetViews>
    <sheetView workbookViewId="0">
      <pane xSplit="3" ySplit="1" topLeftCell="BA2" activePane="bottomRight" state="frozen"/>
      <selection pane="topRight" activeCell="D1" sqref="D1"/>
      <selection pane="bottomLeft" activeCell="A2" sqref="A2"/>
      <selection pane="bottomRight" activeCell="BB5" sqref="BB5"/>
    </sheetView>
  </sheetViews>
  <sheetFormatPr defaultRowHeight="15" x14ac:dyDescent="0.25"/>
  <cols>
    <col min="45" max="53" width="15.7109375" customWidth="1"/>
    <col min="54" max="55" width="10.5703125" bestFit="1" customWidth="1"/>
    <col min="56" max="57" width="9.42578125" bestFit="1" customWidth="1"/>
    <col min="58" max="58" width="10.5703125" bestFit="1" customWidth="1"/>
    <col min="59" max="63" width="9" bestFit="1" customWidth="1"/>
    <col min="64" max="64" width="9.7109375" bestFit="1" customWidth="1"/>
    <col min="65" max="67" width="10.5703125" bestFit="1" customWidth="1"/>
    <col min="68" max="69" width="9.42578125" bestFit="1" customWidth="1"/>
    <col min="70" max="70" width="10.5703125" bestFit="1" customWidth="1"/>
    <col min="71" max="75" width="9" bestFit="1" customWidth="1"/>
    <col min="76" max="76" width="9.7109375" bestFit="1" customWidth="1"/>
    <col min="77" max="77" width="10.5703125" bestFit="1" customWidth="1"/>
    <col min="78" max="89" width="9" bestFit="1" customWidth="1"/>
    <col min="90" max="90" width="9.42578125" bestFit="1" customWidth="1"/>
    <col min="91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200</v>
      </c>
      <c r="AT1" s="385" t="s">
        <v>201</v>
      </c>
      <c r="AU1" s="385" t="s">
        <v>202</v>
      </c>
      <c r="AV1" s="385" t="s">
        <v>203</v>
      </c>
      <c r="AW1" s="385" t="s">
        <v>204</v>
      </c>
      <c r="AX1" s="385" t="s">
        <v>205</v>
      </c>
      <c r="AY1" s="385" t="s">
        <v>206</v>
      </c>
      <c r="AZ1" s="385" t="s">
        <v>207</v>
      </c>
      <c r="BA1" s="387" t="s">
        <v>208</v>
      </c>
      <c r="BB1" s="388" t="s">
        <v>209</v>
      </c>
      <c r="BC1" s="388" t="s">
        <v>210</v>
      </c>
      <c r="BD1" s="388" t="s">
        <v>211</v>
      </c>
      <c r="BE1" s="388" t="s">
        <v>212</v>
      </c>
      <c r="BF1" s="388" t="s">
        <v>213</v>
      </c>
      <c r="BG1" s="388" t="s">
        <v>214</v>
      </c>
      <c r="BH1" s="388" t="s">
        <v>215</v>
      </c>
      <c r="BI1" s="388" t="s">
        <v>216</v>
      </c>
      <c r="BJ1" s="388" t="s">
        <v>217</v>
      </c>
      <c r="BK1" s="388" t="s">
        <v>218</v>
      </c>
      <c r="BL1" s="389" t="s">
        <v>219</v>
      </c>
      <c r="BM1" s="389" t="s">
        <v>220</v>
      </c>
      <c r="BN1" s="388" t="s">
        <v>221</v>
      </c>
      <c r="BO1" s="388" t="s">
        <v>222</v>
      </c>
      <c r="BP1" s="388" t="s">
        <v>223</v>
      </c>
      <c r="BQ1" s="388" t="s">
        <v>224</v>
      </c>
      <c r="BR1" s="388" t="s">
        <v>225</v>
      </c>
      <c r="BS1" s="388" t="s">
        <v>226</v>
      </c>
      <c r="BT1" s="388" t="s">
        <v>227</v>
      </c>
      <c r="BU1" s="388" t="s">
        <v>228</v>
      </c>
      <c r="BV1" s="388" t="s">
        <v>229</v>
      </c>
      <c r="BW1" s="388" t="s">
        <v>230</v>
      </c>
      <c r="BX1" s="389" t="s">
        <v>231</v>
      </c>
      <c r="BY1" s="389" t="s">
        <v>232</v>
      </c>
      <c r="BZ1" s="388" t="s">
        <v>233</v>
      </c>
      <c r="CA1" s="388" t="s">
        <v>234</v>
      </c>
      <c r="CB1" s="388" t="s">
        <v>235</v>
      </c>
      <c r="CC1" s="388" t="s">
        <v>236</v>
      </c>
      <c r="CD1" s="388" t="s">
        <v>237</v>
      </c>
      <c r="CE1" s="388" t="s">
        <v>238</v>
      </c>
      <c r="CF1" s="388" t="s">
        <v>239</v>
      </c>
      <c r="CG1" s="388" t="s">
        <v>240</v>
      </c>
      <c r="CH1" s="388" t="s">
        <v>241</v>
      </c>
      <c r="CI1" s="388" t="s">
        <v>242</v>
      </c>
      <c r="CJ1" s="389" t="s">
        <v>243</v>
      </c>
      <c r="CK1" s="389" t="s">
        <v>244</v>
      </c>
      <c r="CL1" s="390" t="s">
        <v>245</v>
      </c>
      <c r="CM1" s="390" t="s">
        <v>246</v>
      </c>
      <c r="CN1" s="390" t="s">
        <v>247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0</v>
      </c>
      <c r="P2" s="384">
        <v>1</v>
      </c>
      <c r="Q2" s="384">
        <v>0</v>
      </c>
      <c r="R2" s="380">
        <v>0</v>
      </c>
      <c r="S2" s="384">
        <v>0</v>
      </c>
      <c r="T2" s="380">
        <v>3240</v>
      </c>
      <c r="U2" s="380">
        <v>0</v>
      </c>
      <c r="V2" s="380">
        <v>266.27</v>
      </c>
      <c r="W2" s="380">
        <v>3240</v>
      </c>
      <c r="X2" s="380">
        <v>266.27</v>
      </c>
      <c r="Y2" s="380">
        <v>3240</v>
      </c>
      <c r="Z2" s="380">
        <v>266.27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172</v>
      </c>
      <c r="AM2" s="378"/>
      <c r="AN2" s="378"/>
      <c r="AO2" s="379">
        <v>0</v>
      </c>
      <c r="AP2" s="384">
        <v>0</v>
      </c>
      <c r="AQ2" s="384">
        <v>0</v>
      </c>
      <c r="AR2" s="382"/>
      <c r="AS2" s="386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6" t="str">
        <f>IF(AT2=0,"",IF(AND(AT2=1,M2="F",SUMIF(C2:C5,C2,AS2:AS5)&lt;=1),SUMIF(C2:C5,C2,AS2:AS5),IF(AND(AT2=1,M2="F",SUMIF(C2:C5,C2,AS2:AS5)&gt;1),1,"")))</f>
        <v/>
      </c>
      <c r="AV2" s="386" t="str">
        <f>IF(AT2=0,"",IF(AND(AT2=3,M2="F",SUMIF(C2:C5,C2,AS2:AS5)&lt;=1),SUMIF(C2:C5,C2,AS2:AS5),IF(AND(AT2=3,M2="F",SUMIF(C2:C5,C2,AS2:AS5)&gt;1),1,"")))</f>
        <v/>
      </c>
      <c r="AW2" s="386">
        <f>SUMIF(C2:C5,C2,O2:O5)</f>
        <v>0</v>
      </c>
      <c r="AX2" s="386">
        <f>IF(AND(M2="F",AS2&lt;&gt;0),SUMIF(C2:C5,C2,W2:W5),0)</f>
        <v>0</v>
      </c>
      <c r="AY2" s="386" t="str">
        <f>IF(AT2=1,W2,"")</f>
        <v/>
      </c>
      <c r="AZ2" s="386" t="str">
        <f>IF(AT2=3,W2,"")</f>
        <v/>
      </c>
      <c r="BA2" s="386">
        <f>IF(AT2=1,Y2-W2,0)</f>
        <v>0</v>
      </c>
      <c r="BB2" s="386">
        <f>IF(AND(AT2=1,AK2="E",AU2&gt;=0.75,AW2=1),Health,IF(AND(AT2=1,AK2="E",AU2&gt;=0.75),Health*P2,IF(AND(AT2=1,AK2="E",AU2&gt;=0.5,AW2=1),PTHealth,IF(AND(AT2=1,AK2="E",AU2&gt;=0.5),PTHealth*P2,0))))</f>
        <v>0</v>
      </c>
      <c r="BC2" s="386">
        <f>IF(AND(AT2=3,AK2="E",AV2&gt;=0.75,AW2=1),Health,IF(AND(AT2=3,AK2="E",AV2&gt;=0.75),Health*P2,IF(AND(AT2=3,AK2="E",AV2&gt;=0.5,AW2=1),PTHealth,IF(AND(AT2=3,AK2="E",AV2&gt;=0.5),PTHealth*P2,0))))</f>
        <v>0</v>
      </c>
      <c r="BD2" s="386">
        <f>IF(AND(AT2&lt;&gt;0,AX2&gt;=MAXSSDI),SSDI*MAXSSDI*P2,IF(AT2&lt;&gt;0,SSDI*W2,0))</f>
        <v>0</v>
      </c>
      <c r="BE2" s="386">
        <f>IF(AT2&lt;&gt;0,SSHI*W2,0)</f>
        <v>0</v>
      </c>
      <c r="BF2" s="386">
        <f>IF(AND(AT2&lt;&gt;0,AN2&lt;&gt;"NE"),VLOOKUP(AN2,Retirement_Rates,3,FALSE)*W2,0)</f>
        <v>0</v>
      </c>
      <c r="BG2" s="386">
        <f>IF(AND(AT2&lt;&gt;0,AJ2&lt;&gt;"PF"),Life*W2,0)</f>
        <v>0</v>
      </c>
      <c r="BH2" s="386">
        <f>IF(AND(AT2&lt;&gt;0,AM2="Y"),UI*W2,0)</f>
        <v>0</v>
      </c>
      <c r="BI2" s="386">
        <f>IF(AND(AT2&lt;&gt;0,N2&lt;&gt;"NR"),DHR*W2,0)</f>
        <v>0</v>
      </c>
      <c r="BJ2" s="386">
        <f>IF(AT2&lt;&gt;0,WC*W2,0)</f>
        <v>0</v>
      </c>
      <c r="BK2" s="386">
        <f>IF(OR(AND(AT2&lt;&gt;0,AJ2&lt;&gt;"PF",AN2&lt;&gt;"NE",AG2&lt;&gt;"A"),AND(AL2="E",OR(AT2=1,AT2=3))),Sick*W2,0)</f>
        <v>0</v>
      </c>
      <c r="BL2" s="386">
        <f>IF(AT2=1,SUM(BD2:BK2),0)</f>
        <v>0</v>
      </c>
      <c r="BM2" s="386">
        <f>IF(AT2=3,SUM(BD2:BK2),0)</f>
        <v>0</v>
      </c>
      <c r="BN2" s="386">
        <f>IF(AND(AT2=1,AK2="E",AU2&gt;=0.75,AW2=1),HealthBY,IF(AND(AT2=1,AK2="E",AU2&gt;=0.75),HealthBY*P2,IF(AND(AT2=1,AK2="E",AU2&gt;=0.5,AW2=1),PTHealthBY,IF(AND(AT2=1,AK2="E",AU2&gt;=0.5),PTHealthBY*P2,0))))</f>
        <v>0</v>
      </c>
      <c r="BO2" s="386">
        <f>IF(AND(AT2=3,AK2="E",AV2&gt;=0.75,AW2=1),HealthBY,IF(AND(AT2=3,AK2="E",AV2&gt;=0.75),HealthBY*P2,IF(AND(AT2=3,AK2="E",AV2&gt;=0.5,AW2=1),PTHealthBY,IF(AND(AT2=3,AK2="E",AV2&gt;=0.5),PTHealthBY*P2,0))))</f>
        <v>0</v>
      </c>
      <c r="BP2" s="386">
        <f>IF(AND(AT2&lt;&gt;0,(AX2+BA2)&gt;=MAXSSDIBY),SSDIBY*MAXSSDIBY*P2,IF(AT2&lt;&gt;0,SSDIBY*W2,0))</f>
        <v>0</v>
      </c>
      <c r="BQ2" s="386">
        <f>IF(AT2&lt;&gt;0,SSHIBY*W2,0)</f>
        <v>0</v>
      </c>
      <c r="BR2" s="386">
        <f>IF(AND(AT2&lt;&gt;0,AN2&lt;&gt;"NE"),VLOOKUP(AN2,Retirement_Rates,4,FALSE)*W2,0)</f>
        <v>0</v>
      </c>
      <c r="BS2" s="386">
        <f>IF(AND(AT2&lt;&gt;0,AJ2&lt;&gt;"PF"),LifeBY*W2,0)</f>
        <v>0</v>
      </c>
      <c r="BT2" s="386">
        <f>IF(AND(AT2&lt;&gt;0,AM2="Y"),UIBY*W2,0)</f>
        <v>0</v>
      </c>
      <c r="BU2" s="386">
        <f>IF(AND(AT2&lt;&gt;0,N2&lt;&gt;"NR"),DHRBY*W2,0)</f>
        <v>0</v>
      </c>
      <c r="BV2" s="386">
        <f>IF(AT2&lt;&gt;0,WCBY*W2,0)</f>
        <v>0</v>
      </c>
      <c r="BW2" s="386">
        <f>IF(OR(AND(AT2&lt;&gt;0,AJ2&lt;&gt;"PF",AN2&lt;&gt;"NE",AG2&lt;&gt;"A"),AND(AL2="E",OR(AT2=1,AT2=3))),SickBY*W2,0)</f>
        <v>0</v>
      </c>
      <c r="BX2" s="386">
        <f>IF(AT2=1,SUM(BP2:BW2),0)</f>
        <v>0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>IF(AT2&lt;&gt;0,SSHICHG*Y2,0)</f>
        <v>0</v>
      </c>
      <c r="CD2" s="386">
        <f>IF(AND(AT2&lt;&gt;0,AN2&lt;&gt;"NE"),VLOOKUP(AN2,Retirement_Rates,5,FALSE)*Y2,0)</f>
        <v>0</v>
      </c>
      <c r="CE2" s="386">
        <f>IF(AND(AT2&lt;&gt;0,AJ2&lt;&gt;"PF"),LifeCHG*Y2,0)</f>
        <v>0</v>
      </c>
      <c r="CF2" s="386">
        <f>IF(AND(AT2&lt;&gt;0,AM2="Y"),UICHG*Y2,0)</f>
        <v>0</v>
      </c>
      <c r="CG2" s="386">
        <f>IF(AND(AT2&lt;&gt;0,N2&lt;&gt;"NR"),DHRCHG*Y2,0)</f>
        <v>0</v>
      </c>
      <c r="CH2" s="386">
        <f>IF(AT2&lt;&gt;0,WCCHG*Y2,0)</f>
        <v>0</v>
      </c>
      <c r="CI2" s="386">
        <f>IF(OR(AND(AT2&lt;&gt;0,AJ2&lt;&gt;"PF",AN2&lt;&gt;"NE",AG2&lt;&gt;"A"),AND(AL2="E",OR(AT2=1,AT2=3))),SickCHG*Y2,0)</f>
        <v>0</v>
      </c>
      <c r="CJ2" s="386">
        <f>IF(AT2=1,SUM(CB2:CI2),0)</f>
        <v>0</v>
      </c>
      <c r="CK2" s="386" t="str">
        <f>IF(AT2=3,SUM(CB2:CI2),"")</f>
        <v/>
      </c>
      <c r="CL2" s="386">
        <f>IF(OR(N2="NG",AG2="D"),(T2+U2),"")</f>
        <v>3240</v>
      </c>
      <c r="CM2" s="386">
        <f>IF(OR(N2="NG",AG2="D"),V2,"")</f>
        <v>266.27</v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173</v>
      </c>
      <c r="D3" s="376" t="s">
        <v>174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175</v>
      </c>
      <c r="L3" s="376" t="s">
        <v>166</v>
      </c>
      <c r="M3" s="376" t="s">
        <v>176</v>
      </c>
      <c r="N3" s="376" t="s">
        <v>177</v>
      </c>
      <c r="O3" s="379">
        <v>0</v>
      </c>
      <c r="P3" s="384">
        <v>1</v>
      </c>
      <c r="Q3" s="384">
        <v>1</v>
      </c>
      <c r="R3" s="380">
        <v>80</v>
      </c>
      <c r="S3" s="384">
        <v>1</v>
      </c>
      <c r="T3" s="380">
        <v>0</v>
      </c>
      <c r="U3" s="380">
        <v>0</v>
      </c>
      <c r="V3" s="380">
        <v>0</v>
      </c>
      <c r="W3" s="380">
        <v>19078.28</v>
      </c>
      <c r="X3" s="380">
        <v>8356.2800000000007</v>
      </c>
      <c r="Y3" s="380">
        <v>19078.28</v>
      </c>
      <c r="Z3" s="380">
        <v>8260.89</v>
      </c>
      <c r="AA3" s="378"/>
      <c r="AB3" s="376" t="s">
        <v>45</v>
      </c>
      <c r="AC3" s="376" t="s">
        <v>45</v>
      </c>
      <c r="AD3" s="378"/>
      <c r="AE3" s="378"/>
      <c r="AF3" s="378"/>
      <c r="AG3" s="378"/>
      <c r="AH3" s="379">
        <v>0</v>
      </c>
      <c r="AI3" s="379">
        <v>0</v>
      </c>
      <c r="AJ3" s="378"/>
      <c r="AK3" s="378"/>
      <c r="AL3" s="376" t="s">
        <v>172</v>
      </c>
      <c r="AM3" s="378"/>
      <c r="AN3" s="378"/>
      <c r="AO3" s="379">
        <v>0</v>
      </c>
      <c r="AP3" s="384">
        <v>0</v>
      </c>
      <c r="AQ3" s="384">
        <v>0</v>
      </c>
      <c r="AR3" s="382"/>
      <c r="AS3" s="386">
        <f t="shared" ref="AS3:AS5" si="0">IF(((AO3/80)*AP3*P3)&gt;1,AQ3,((AO3/80)*AP3*P3))</f>
        <v>0</v>
      </c>
      <c r="AT3">
        <f t="shared" ref="AT3:AT5" si="1">IF(AND(M3="F",N3&lt;&gt;"NG",AS3&lt;&gt;0,AND(AR3&lt;&gt;6,AR3&lt;&gt;36,AR3&lt;&gt;56),AG3&lt;&gt;"A",OR(AG3="H",AJ3="FS")),1,IF(AND(M3="F",N3&lt;&gt;"NG",AS3&lt;&gt;0,AG3="A"),3,0))</f>
        <v>0</v>
      </c>
      <c r="AU3" s="386" t="str">
        <f>IF(AT3=0,"",IF(AND(AT3=1,M3="F",SUMIF(C2:C5,C3,AS2:AS5)&lt;=1),SUMIF(C2:C5,C3,AS2:AS5),IF(AND(AT3=1,M3="F",SUMIF(C2:C5,C3,AS2:AS5)&gt;1),1,"")))</f>
        <v/>
      </c>
      <c r="AV3" s="386" t="str">
        <f>IF(AT3=0,"",IF(AND(AT3=3,M3="F",SUMIF(C2:C5,C3,AS2:AS5)&lt;=1),SUMIF(C2:C5,C3,AS2:AS5),IF(AND(AT3=3,M3="F",SUMIF(C2:C5,C3,AS2:AS5)&gt;1),1,"")))</f>
        <v/>
      </c>
      <c r="AW3" s="386">
        <f>SUMIF(C2:C5,C3,O2:O5)</f>
        <v>0</v>
      </c>
      <c r="AX3" s="386">
        <f>IF(AND(M3="F",AS3&lt;&gt;0),SUMIF(C2:C5,C3,W2:W5),0)</f>
        <v>0</v>
      </c>
      <c r="AY3" s="386" t="str">
        <f t="shared" ref="AY3:AY5" si="2">IF(AT3=1,W3,"")</f>
        <v/>
      </c>
      <c r="AZ3" s="386" t="str">
        <f t="shared" ref="AZ3:AZ5" si="3">IF(AT3=3,W3,"")</f>
        <v/>
      </c>
      <c r="BA3" s="386">
        <f t="shared" ref="BA3:BA5" si="4">IF(AT3=1,Y3-W3,0)</f>
        <v>0</v>
      </c>
      <c r="BB3" s="386">
        <f>IF(AND(AT3=1,AK3="E",AU3&gt;=0.75,AW3=1),Health,IF(AND(AT3=1,AK3="E",AU3&gt;=0.75),Health*P3,IF(AND(AT3=1,AK3="E",AU3&gt;=0.5,AW3=1),PTHealth,IF(AND(AT3=1,AK3="E",AU3&gt;=0.5),PTHealth*P3,0))))</f>
        <v>0</v>
      </c>
      <c r="BC3" s="386">
        <f>IF(AND(AT3=3,AK3="E",AV3&gt;=0.75,AW3=1),Health,IF(AND(AT3=3,AK3="E",AV3&gt;=0.75),Health*P3,IF(AND(AT3=3,AK3="E",AV3&gt;=0.5,AW3=1),PTHealth,IF(AND(AT3=3,AK3="E",AV3&gt;=0.5),PTHealth*P3,0))))</f>
        <v>0</v>
      </c>
      <c r="BD3" s="386">
        <f>IF(AND(AT3&lt;&gt;0,AX3&gt;=MAXSSDI),SSDI*MAXSSDI*P3,IF(AT3&lt;&gt;0,SSDI*W3,0))</f>
        <v>0</v>
      </c>
      <c r="BE3" s="386">
        <f>IF(AT3&lt;&gt;0,SSHI*W3,0)</f>
        <v>0</v>
      </c>
      <c r="BF3" s="386">
        <f>IF(AND(AT3&lt;&gt;0,AN3&lt;&gt;"NE"),VLOOKUP(AN3,Retirement_Rates,3,FALSE)*W3,0)</f>
        <v>0</v>
      </c>
      <c r="BG3" s="386">
        <f>IF(AND(AT3&lt;&gt;0,AJ3&lt;&gt;"PF"),Life*W3,0)</f>
        <v>0</v>
      </c>
      <c r="BH3" s="386">
        <f>IF(AND(AT3&lt;&gt;0,AM3="Y"),UI*W3,0)</f>
        <v>0</v>
      </c>
      <c r="BI3" s="386">
        <f>IF(AND(AT3&lt;&gt;0,N3&lt;&gt;"NR"),DHR*W3,0)</f>
        <v>0</v>
      </c>
      <c r="BJ3" s="386">
        <f>IF(AT3&lt;&gt;0,WC*W3,0)</f>
        <v>0</v>
      </c>
      <c r="BK3" s="386">
        <f>IF(OR(AND(AT3&lt;&gt;0,AJ3&lt;&gt;"PF",AN3&lt;&gt;"NE",AG3&lt;&gt;"A"),AND(AL3="E",OR(AT3=1,AT3=3))),Sick*W3,0)</f>
        <v>0</v>
      </c>
      <c r="BL3" s="386">
        <f t="shared" ref="BL3:BL5" si="5">IF(AT3=1,SUM(BD3:BK3),0)</f>
        <v>0</v>
      </c>
      <c r="BM3" s="386">
        <f t="shared" ref="BM3:BM5" si="6">IF(AT3=3,SUM(BD3:BK3),0)</f>
        <v>0</v>
      </c>
      <c r="BN3" s="386">
        <f>IF(AND(AT3=1,AK3="E",AU3&gt;=0.75,AW3=1),HealthBY,IF(AND(AT3=1,AK3="E",AU3&gt;=0.75),HealthBY*P3,IF(AND(AT3=1,AK3="E",AU3&gt;=0.5,AW3=1),PTHealthBY,IF(AND(AT3=1,AK3="E",AU3&gt;=0.5),PTHealthBY*P3,0))))</f>
        <v>0</v>
      </c>
      <c r="BO3" s="386">
        <f>IF(AND(AT3=3,AK3="E",AV3&gt;=0.75,AW3=1),HealthBY,IF(AND(AT3=3,AK3="E",AV3&gt;=0.75),HealthBY*P3,IF(AND(AT3=3,AK3="E",AV3&gt;=0.5,AW3=1),PTHealthBY,IF(AND(AT3=3,AK3="E",AV3&gt;=0.5),PTHealthBY*P3,0))))</f>
        <v>0</v>
      </c>
      <c r="BP3" s="386">
        <f>IF(AND(AT3&lt;&gt;0,(AX3+BA3)&gt;=MAXSSDIBY),SSDIBY*MAXSSDIBY*P3,IF(AT3&lt;&gt;0,SSDIBY*W3,0))</f>
        <v>0</v>
      </c>
      <c r="BQ3" s="386">
        <f>IF(AT3&lt;&gt;0,SSHIBY*W3,0)</f>
        <v>0</v>
      </c>
      <c r="BR3" s="386">
        <f>IF(AND(AT3&lt;&gt;0,AN3&lt;&gt;"NE"),VLOOKUP(AN3,Retirement_Rates,4,FALSE)*W3,0)</f>
        <v>0</v>
      </c>
      <c r="BS3" s="386">
        <f>IF(AND(AT3&lt;&gt;0,AJ3&lt;&gt;"PF"),LifeBY*W3,0)</f>
        <v>0</v>
      </c>
      <c r="BT3" s="386">
        <f>IF(AND(AT3&lt;&gt;0,AM3="Y"),UIBY*W3,0)</f>
        <v>0</v>
      </c>
      <c r="BU3" s="386">
        <f>IF(AND(AT3&lt;&gt;0,N3&lt;&gt;"NR"),DHRBY*W3,0)</f>
        <v>0</v>
      </c>
      <c r="BV3" s="386">
        <f>IF(AT3&lt;&gt;0,WCBY*W3,0)</f>
        <v>0</v>
      </c>
      <c r="BW3" s="386">
        <f>IF(OR(AND(AT3&lt;&gt;0,AJ3&lt;&gt;"PF",AN3&lt;&gt;"NE",AG3&lt;&gt;"A"),AND(AL3="E",OR(AT3=1,AT3=3))),SickBY*W3,0)</f>
        <v>0</v>
      </c>
      <c r="BX3" s="386">
        <f t="shared" ref="BX3:BX5" si="7">IF(AT3=1,SUM(BP3:BW3),0)</f>
        <v>0</v>
      </c>
      <c r="BY3" s="386">
        <f t="shared" ref="BY3:BY5" si="8">IF(AT3=3,SUM(BP3:BW3),0)</f>
        <v>0</v>
      </c>
      <c r="BZ3" s="386">
        <f t="shared" ref="BZ3:BZ5" si="9">IF(AT3=1,BN3-BB3,0)</f>
        <v>0</v>
      </c>
      <c r="CA3" s="386">
        <f t="shared" ref="CA3:CA5" si="10">IF(AT3=3,BO3-BC3,0)</f>
        <v>0</v>
      </c>
      <c r="CB3" s="386">
        <f t="shared" ref="CB3:CB5" si="11">BP3-BD3</f>
        <v>0</v>
      </c>
      <c r="CC3" s="386">
        <f>IF(AT3&lt;&gt;0,SSHICHG*Y3,0)</f>
        <v>0</v>
      </c>
      <c r="CD3" s="386">
        <f>IF(AND(AT3&lt;&gt;0,AN3&lt;&gt;"NE"),VLOOKUP(AN3,Retirement_Rates,5,FALSE)*Y3,0)</f>
        <v>0</v>
      </c>
      <c r="CE3" s="386">
        <f>IF(AND(AT3&lt;&gt;0,AJ3&lt;&gt;"PF"),LifeCHG*Y3,0)</f>
        <v>0</v>
      </c>
      <c r="CF3" s="386">
        <f>IF(AND(AT3&lt;&gt;0,AM3="Y"),UICHG*Y3,0)</f>
        <v>0</v>
      </c>
      <c r="CG3" s="386">
        <f>IF(AND(AT3&lt;&gt;0,N3&lt;&gt;"NR"),DHRCHG*Y3,0)</f>
        <v>0</v>
      </c>
      <c r="CH3" s="386">
        <f>IF(AT3&lt;&gt;0,WCCHG*Y3,0)</f>
        <v>0</v>
      </c>
      <c r="CI3" s="386">
        <f>IF(OR(AND(AT3&lt;&gt;0,AJ3&lt;&gt;"PF",AN3&lt;&gt;"NE",AG3&lt;&gt;"A"),AND(AL3="E",OR(AT3=1,AT3=3))),SickCHG*Y3,0)</f>
        <v>0</v>
      </c>
      <c r="CJ3" s="386">
        <f t="shared" ref="CJ3:CJ5" si="12">IF(AT3=1,SUM(CB3:CI3),0)</f>
        <v>0</v>
      </c>
      <c r="CK3" s="386" t="str">
        <f t="shared" ref="CK3:CK5" si="13">IF(AT3=3,SUM(CB3:CI3),"")</f>
        <v/>
      </c>
      <c r="CL3" s="386" t="str">
        <f t="shared" ref="CL3:CL5" si="14">IF(OR(N3="NG",AG3="D"),(T3+U3),"")</f>
        <v/>
      </c>
      <c r="CM3" s="386" t="str">
        <f t="shared" ref="CM3:CM5" si="15">IF(OR(N3="NG",AG3="D"),V3,"")</f>
        <v/>
      </c>
      <c r="CN3" s="386" t="str">
        <f t="shared" ref="CN3:CN5" si="16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178</v>
      </c>
      <c r="D4" s="376" t="s">
        <v>179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180</v>
      </c>
      <c r="L4" s="376" t="s">
        <v>166</v>
      </c>
      <c r="M4" s="376" t="s">
        <v>170</v>
      </c>
      <c r="N4" s="376" t="s">
        <v>177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43736.03</v>
      </c>
      <c r="U4" s="380">
        <v>0</v>
      </c>
      <c r="V4" s="380">
        <v>20607.39</v>
      </c>
      <c r="W4" s="380">
        <v>45177.599999999999</v>
      </c>
      <c r="X4" s="380">
        <v>21214.53</v>
      </c>
      <c r="Y4" s="380">
        <v>45177.599999999999</v>
      </c>
      <c r="Z4" s="380">
        <v>20984.13</v>
      </c>
      <c r="AA4" s="376" t="s">
        <v>181</v>
      </c>
      <c r="AB4" s="376" t="s">
        <v>182</v>
      </c>
      <c r="AC4" s="376" t="s">
        <v>183</v>
      </c>
      <c r="AD4" s="376" t="s">
        <v>184</v>
      </c>
      <c r="AE4" s="376" t="s">
        <v>180</v>
      </c>
      <c r="AF4" s="376" t="s">
        <v>185</v>
      </c>
      <c r="AG4" s="376" t="s">
        <v>186</v>
      </c>
      <c r="AH4" s="381">
        <v>21.72</v>
      </c>
      <c r="AI4" s="381">
        <v>5857.5</v>
      </c>
      <c r="AJ4" s="376" t="s">
        <v>187</v>
      </c>
      <c r="AK4" s="376" t="s">
        <v>188</v>
      </c>
      <c r="AL4" s="376" t="s">
        <v>172</v>
      </c>
      <c r="AM4" s="376" t="s">
        <v>189</v>
      </c>
      <c r="AN4" s="376" t="s">
        <v>68</v>
      </c>
      <c r="AO4" s="379">
        <v>80</v>
      </c>
      <c r="AP4" s="384">
        <v>1</v>
      </c>
      <c r="AQ4" s="384">
        <v>1</v>
      </c>
      <c r="AR4" s="383" t="s">
        <v>190</v>
      </c>
      <c r="AS4" s="386">
        <f t="shared" si="0"/>
        <v>1</v>
      </c>
      <c r="AT4">
        <f t="shared" si="1"/>
        <v>1</v>
      </c>
      <c r="AU4" s="386">
        <f>IF(AT4=0,"",IF(AND(AT4=1,M4="F",SUMIF(C2:C5,C4,AS2:AS5)&lt;=1),SUMIF(C2:C5,C4,AS2:AS5),IF(AND(AT4=1,M4="F",SUMIF(C2:C5,C4,AS2:AS5)&gt;1),1,"")))</f>
        <v>1</v>
      </c>
      <c r="AV4" s="386" t="str">
        <f>IF(AT4=0,"",IF(AND(AT4=3,M4="F",SUMIF(C2:C5,C4,AS2:AS5)&lt;=1),SUMIF(C2:C5,C4,AS2:AS5),IF(AND(AT4=3,M4="F",SUMIF(C2:C5,C4,AS2:AS5)&gt;1),1,"")))</f>
        <v/>
      </c>
      <c r="AW4" s="386">
        <f>SUMIF(C2:C5,C4,O2:O5)</f>
        <v>1</v>
      </c>
      <c r="AX4" s="386">
        <f>IF(AND(M4="F",AS4&lt;&gt;0),SUMIF(C2:C5,C4,W2:W5),0)</f>
        <v>45177.599999999999</v>
      </c>
      <c r="AY4" s="386">
        <f t="shared" si="2"/>
        <v>45177.599999999999</v>
      </c>
      <c r="AZ4" s="386" t="str">
        <f t="shared" si="3"/>
        <v/>
      </c>
      <c r="BA4" s="386">
        <f t="shared" si="4"/>
        <v>0</v>
      </c>
      <c r="BB4" s="386">
        <f>IF(AND(AT4=1,AK4="E",AU4&gt;=0.75,AW4=1),Health,IF(AND(AT4=1,AK4="E",AU4&gt;=0.75),Health*P4,IF(AND(AT4=1,AK4="E",AU4&gt;=0.5,AW4=1),PTHealth,IF(AND(AT4=1,AK4="E",AU4&gt;=0.5),PTHealth*P4,0))))</f>
        <v>11650</v>
      </c>
      <c r="BC4" s="386">
        <f>IF(AND(AT4=3,AK4="E",AV4&gt;=0.75,AW4=1),Health,IF(AND(AT4=3,AK4="E",AV4&gt;=0.75),Health*P4,IF(AND(AT4=3,AK4="E",AV4&gt;=0.5,AW4=1),PTHealth,IF(AND(AT4=3,AK4="E",AV4&gt;=0.5),PTHealth*P4,0))))</f>
        <v>0</v>
      </c>
      <c r="BD4" s="386">
        <f>IF(AND(AT4&lt;&gt;0,AX4&gt;=MAXSSDI),SSDI*MAXSSDI*P4,IF(AT4&lt;&gt;0,SSDI*W4,0))</f>
        <v>2801.0111999999999</v>
      </c>
      <c r="BE4" s="386">
        <f>IF(AT4&lt;&gt;0,SSHI*W4,0)</f>
        <v>655.0752</v>
      </c>
      <c r="BF4" s="386">
        <f>IF(AND(AT4&lt;&gt;0,AN4&lt;&gt;"NE"),VLOOKUP(AN4,Retirement_Rates,3,FALSE)*W4,0)</f>
        <v>5394.2054399999997</v>
      </c>
      <c r="BG4" s="386">
        <f>IF(AND(AT4&lt;&gt;0,AJ4&lt;&gt;"PF"),Life*W4,0)</f>
        <v>325.73049600000002</v>
      </c>
      <c r="BH4" s="386">
        <f>IF(AND(AT4&lt;&gt;0,AM4="Y"),UI*W4,0)</f>
        <v>221.37024</v>
      </c>
      <c r="BI4" s="386">
        <f>IF(AND(AT4&lt;&gt;0,N4&lt;&gt;"NR"),DHR*W4,0)</f>
        <v>0</v>
      </c>
      <c r="BJ4" s="386">
        <f>IF(AT4&lt;&gt;0,WC*W4,0)</f>
        <v>167.15711999999999</v>
      </c>
      <c r="BK4" s="386">
        <f>IF(OR(AND(AT4&lt;&gt;0,AJ4&lt;&gt;"PF",AN4&lt;&gt;"NE",AG4&lt;&gt;"A"),AND(AL4="E",OR(AT4=1,AT4=3))),Sick*W4,0)</f>
        <v>0</v>
      </c>
      <c r="BL4" s="386">
        <f t="shared" si="5"/>
        <v>9564.549696</v>
      </c>
      <c r="BM4" s="386">
        <f t="shared" si="6"/>
        <v>0</v>
      </c>
      <c r="BN4" s="386">
        <f>IF(AND(AT4=1,AK4="E",AU4&gt;=0.75,AW4=1),HealthBY,IF(AND(AT4=1,AK4="E",AU4&gt;=0.75),HealthBY*P4,IF(AND(AT4=1,AK4="E",AU4&gt;=0.5,AW4=1),PTHealthBY,IF(AND(AT4=1,AK4="E",AU4&gt;=0.5),PTHealthBY*P4,0))))</f>
        <v>11650</v>
      </c>
      <c r="BO4" s="386">
        <f>IF(AND(AT4=3,AK4="E",AV4&gt;=0.75,AW4=1),HealthBY,IF(AND(AT4=3,AK4="E",AV4&gt;=0.75),HealthBY*P4,IF(AND(AT4=3,AK4="E",AV4&gt;=0.5,AW4=1),PTHealthBY,IF(AND(AT4=3,AK4="E",AV4&gt;=0.5),PTHealthBY*P4,0))))</f>
        <v>0</v>
      </c>
      <c r="BP4" s="386">
        <f>IF(AND(AT4&lt;&gt;0,(AX4+BA4)&gt;=MAXSSDIBY),SSDIBY*MAXSSDIBY*P4,IF(AT4&lt;&gt;0,SSDIBY*W4,0))</f>
        <v>2801.0111999999999</v>
      </c>
      <c r="BQ4" s="386">
        <f>IF(AT4&lt;&gt;0,SSHIBY*W4,0)</f>
        <v>655.0752</v>
      </c>
      <c r="BR4" s="386">
        <f>IF(AND(AT4&lt;&gt;0,AN4&lt;&gt;"NE"),VLOOKUP(AN4,Retirement_Rates,4,FALSE)*W4,0)</f>
        <v>5394.2054399999997</v>
      </c>
      <c r="BS4" s="386">
        <f>IF(AND(AT4&lt;&gt;0,AJ4&lt;&gt;"PF"),LifeBY*W4,0)</f>
        <v>325.73049600000002</v>
      </c>
      <c r="BT4" s="386">
        <f>IF(AND(AT4&lt;&gt;0,AM4="Y"),UIBY*W4,0)</f>
        <v>0</v>
      </c>
      <c r="BU4" s="386">
        <f>IF(AND(AT4&lt;&gt;0,N4&lt;&gt;"NR"),DHRBY*W4,0)</f>
        <v>0</v>
      </c>
      <c r="BV4" s="386">
        <f>IF(AT4&lt;&gt;0,WCBY*W4,0)</f>
        <v>158.1216</v>
      </c>
      <c r="BW4" s="386">
        <f>IF(OR(AND(AT4&lt;&gt;0,AJ4&lt;&gt;"PF",AN4&lt;&gt;"NE",AG4&lt;&gt;"A"),AND(AL4="E",OR(AT4=1,AT4=3))),SickBY*W4,0)</f>
        <v>0</v>
      </c>
      <c r="BX4" s="386">
        <f t="shared" si="7"/>
        <v>9334.1439360000004</v>
      </c>
      <c r="BY4" s="386">
        <f t="shared" si="8"/>
        <v>0</v>
      </c>
      <c r="BZ4" s="386">
        <f t="shared" si="9"/>
        <v>0</v>
      </c>
      <c r="CA4" s="386">
        <f t="shared" si="10"/>
        <v>0</v>
      </c>
      <c r="CB4" s="386">
        <f t="shared" si="11"/>
        <v>0</v>
      </c>
      <c r="CC4" s="386">
        <f>IF(AT4&lt;&gt;0,SSHICHG*Y4,0)</f>
        <v>0</v>
      </c>
      <c r="CD4" s="386">
        <f>IF(AND(AT4&lt;&gt;0,AN4&lt;&gt;"NE"),VLOOKUP(AN4,Retirement_Rates,5,FALSE)*Y4,0)</f>
        <v>0</v>
      </c>
      <c r="CE4" s="386">
        <f>IF(AND(AT4&lt;&gt;0,AJ4&lt;&gt;"PF"),LifeCHG*Y4,0)</f>
        <v>0</v>
      </c>
      <c r="CF4" s="386">
        <f>IF(AND(AT4&lt;&gt;0,AM4="Y"),UICHG*Y4,0)</f>
        <v>-221.37024</v>
      </c>
      <c r="CG4" s="386">
        <f>IF(AND(AT4&lt;&gt;0,N4&lt;&gt;"NR"),DHRCHG*Y4,0)</f>
        <v>0</v>
      </c>
      <c r="CH4" s="386">
        <f>IF(AT4&lt;&gt;0,WCCHG*Y4,0)</f>
        <v>-9.0355200000000035</v>
      </c>
      <c r="CI4" s="386">
        <f>IF(OR(AND(AT4&lt;&gt;0,AJ4&lt;&gt;"PF",AN4&lt;&gt;"NE",AG4&lt;&gt;"A"),AND(AL4="E",OR(AT4=1,AT4=3))),SickCHG*Y4,0)</f>
        <v>0</v>
      </c>
      <c r="CJ4" s="386">
        <f t="shared" si="12"/>
        <v>-230.40575999999999</v>
      </c>
      <c r="CK4" s="386" t="str">
        <f t="shared" si="13"/>
        <v/>
      </c>
      <c r="CL4" s="386" t="str">
        <f t="shared" si="14"/>
        <v/>
      </c>
      <c r="CM4" s="386" t="str">
        <f t="shared" si="15"/>
        <v/>
      </c>
      <c r="CN4" s="386" t="str">
        <f t="shared" si="16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191</v>
      </c>
      <c r="D5" s="376" t="s">
        <v>192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193</v>
      </c>
      <c r="L5" s="376" t="s">
        <v>166</v>
      </c>
      <c r="M5" s="376" t="s">
        <v>170</v>
      </c>
      <c r="N5" s="376" t="s">
        <v>177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48405.7</v>
      </c>
      <c r="U5" s="380">
        <v>0</v>
      </c>
      <c r="V5" s="380">
        <v>21443.41</v>
      </c>
      <c r="W5" s="380">
        <v>48405.7</v>
      </c>
      <c r="X5" s="380">
        <v>21660.77</v>
      </c>
      <c r="Y5" s="380">
        <v>48405.7</v>
      </c>
      <c r="Z5" s="380">
        <v>21651.08</v>
      </c>
      <c r="AA5" s="376" t="s">
        <v>194</v>
      </c>
      <c r="AB5" s="376" t="s">
        <v>195</v>
      </c>
      <c r="AC5" s="376" t="s">
        <v>196</v>
      </c>
      <c r="AD5" s="376" t="s">
        <v>197</v>
      </c>
      <c r="AE5" s="376" t="s">
        <v>193</v>
      </c>
      <c r="AF5" s="376" t="s">
        <v>185</v>
      </c>
      <c r="AG5" s="376" t="s">
        <v>198</v>
      </c>
      <c r="AH5" s="381">
        <v>48405.7</v>
      </c>
      <c r="AI5" s="379">
        <v>16720</v>
      </c>
      <c r="AJ5" s="376" t="s">
        <v>199</v>
      </c>
      <c r="AK5" s="376" t="s">
        <v>188</v>
      </c>
      <c r="AL5" s="376" t="s">
        <v>172</v>
      </c>
      <c r="AM5" s="376" t="s">
        <v>172</v>
      </c>
      <c r="AN5" s="376" t="s">
        <v>68</v>
      </c>
      <c r="AO5" s="379">
        <v>80</v>
      </c>
      <c r="AP5" s="384">
        <v>1</v>
      </c>
      <c r="AQ5" s="384">
        <v>1</v>
      </c>
      <c r="AR5" s="383" t="s">
        <v>190</v>
      </c>
      <c r="AS5" s="386">
        <f t="shared" si="0"/>
        <v>1</v>
      </c>
      <c r="AT5">
        <f t="shared" si="1"/>
        <v>3</v>
      </c>
      <c r="AU5" s="386" t="str">
        <f>IF(AT5=0,"",IF(AND(AT5=1,M5="F",SUMIF(C2:C5,C5,AS2:AS5)&lt;=1),SUMIF(C2:C5,C5,AS2:AS5),IF(AND(AT5=1,M5="F",SUMIF(C2:C5,C5,AS2:AS5)&gt;1),1,"")))</f>
        <v/>
      </c>
      <c r="AV5" s="386">
        <f>IF(AT5=0,"",IF(AND(AT5=3,M5="F",SUMIF(C2:C5,C5,AS2:AS5)&lt;=1),SUMIF(C2:C5,C5,AS2:AS5),IF(AND(AT5=3,M5="F",SUMIF(C2:C5,C5,AS2:AS5)&gt;1),1,"")))</f>
        <v>1</v>
      </c>
      <c r="AW5" s="386">
        <f>SUMIF(C2:C5,C5,O2:O5)</f>
        <v>1</v>
      </c>
      <c r="AX5" s="386">
        <f>IF(AND(M5="F",AS5&lt;&gt;0),SUMIF(C2:C5,C5,W2:W5),0)</f>
        <v>48405.7</v>
      </c>
      <c r="AY5" s="386" t="str">
        <f t="shared" si="2"/>
        <v/>
      </c>
      <c r="AZ5" s="386">
        <f t="shared" si="3"/>
        <v>48405.7</v>
      </c>
      <c r="BA5" s="386">
        <f t="shared" si="4"/>
        <v>0</v>
      </c>
      <c r="BB5" s="386">
        <f>IF(AND(AT5=1,AK5="E",AU5&gt;=0.75,AW5=1),Health,IF(AND(AT5=1,AK5="E",AU5&gt;=0.75),Health*P5,IF(AND(AT5=1,AK5="E",AU5&gt;=0.5,AW5=1),PTHealth,IF(AND(AT5=1,AK5="E",AU5&gt;=0.5),PTHealth*P5,0))))</f>
        <v>0</v>
      </c>
      <c r="BC5" s="386">
        <f>IF(AND(AT5=3,AK5="E",AV5&gt;=0.75,AW5=1),Health,IF(AND(AT5=3,AK5="E",AV5&gt;=0.75),Health*P5,IF(AND(AT5=3,AK5="E",AV5&gt;=0.5,AW5=1),PTHealth,IF(AND(AT5=3,AK5="E",AV5&gt;=0.5),PTHealth*P5,0))))</f>
        <v>11650</v>
      </c>
      <c r="BD5" s="386">
        <f>IF(AND(AT5&lt;&gt;0,AX5&gt;=MAXSSDI),SSDI*MAXSSDI*P5,IF(AT5&lt;&gt;0,SSDI*W5,0))</f>
        <v>3001.1533999999997</v>
      </c>
      <c r="BE5" s="386">
        <f>IF(AT5&lt;&gt;0,SSHI*W5,0)</f>
        <v>701.88265000000001</v>
      </c>
      <c r="BF5" s="386">
        <f>IF(AND(AT5&lt;&gt;0,AN5&lt;&gt;"NE"),VLOOKUP(AN5,Retirement_Rates,3,FALSE)*W5,0)</f>
        <v>5779.6405800000002</v>
      </c>
      <c r="BG5" s="386">
        <f>IF(AND(AT5&lt;&gt;0,AJ5&lt;&gt;"PF"),Life*W5,0)</f>
        <v>349.00509699999998</v>
      </c>
      <c r="BH5" s="386">
        <f>IF(AND(AT5&lt;&gt;0,AM5="Y"),UI*W5,0)</f>
        <v>0</v>
      </c>
      <c r="BI5" s="386">
        <f>IF(AND(AT5&lt;&gt;0,N5&lt;&gt;"NR"),DHR*W5,0)</f>
        <v>0</v>
      </c>
      <c r="BJ5" s="386">
        <f>IF(AT5&lt;&gt;0,WC*W5,0)</f>
        <v>179.10109</v>
      </c>
      <c r="BK5" s="386">
        <f>IF(OR(AND(AT5&lt;&gt;0,AJ5&lt;&gt;"PF",AN5&lt;&gt;"NE",AG5&lt;&gt;"A"),AND(AL5="E",OR(AT5=1,AT5=3))),Sick*W5,0)</f>
        <v>0</v>
      </c>
      <c r="BL5" s="386">
        <f t="shared" si="5"/>
        <v>0</v>
      </c>
      <c r="BM5" s="386">
        <f t="shared" si="6"/>
        <v>10010.782816999999</v>
      </c>
      <c r="BN5" s="386">
        <f>IF(AND(AT5=1,AK5="E",AU5&gt;=0.75,AW5=1),HealthBY,IF(AND(AT5=1,AK5="E",AU5&gt;=0.75),HealthBY*P5,IF(AND(AT5=1,AK5="E",AU5&gt;=0.5,AW5=1),PTHealthBY,IF(AND(AT5=1,AK5="E",AU5&gt;=0.5),PTHealthBY*P5,0))))</f>
        <v>0</v>
      </c>
      <c r="BO5" s="386">
        <f>IF(AND(AT5=3,AK5="E",AV5&gt;=0.75,AW5=1),HealthBY,IF(AND(AT5=3,AK5="E",AV5&gt;=0.75),HealthBY*P5,IF(AND(AT5=3,AK5="E",AV5&gt;=0.5,AW5=1),PTHealthBY,IF(AND(AT5=3,AK5="E",AV5&gt;=0.5),PTHealthBY*P5,0))))</f>
        <v>11650</v>
      </c>
      <c r="BP5" s="386">
        <f>IF(AND(AT5&lt;&gt;0,(AX5+BA5)&gt;=MAXSSDIBY),SSDIBY*MAXSSDIBY*P5,IF(AT5&lt;&gt;0,SSDIBY*W5,0))</f>
        <v>3001.1533999999997</v>
      </c>
      <c r="BQ5" s="386">
        <f>IF(AT5&lt;&gt;0,SSHIBY*W5,0)</f>
        <v>701.88265000000001</v>
      </c>
      <c r="BR5" s="386">
        <f>IF(AND(AT5&lt;&gt;0,AN5&lt;&gt;"NE"),VLOOKUP(AN5,Retirement_Rates,4,FALSE)*W5,0)</f>
        <v>5779.6405800000002</v>
      </c>
      <c r="BS5" s="386">
        <f>IF(AND(AT5&lt;&gt;0,AJ5&lt;&gt;"PF"),LifeBY*W5,0)</f>
        <v>349.00509699999998</v>
      </c>
      <c r="BT5" s="386">
        <f>IF(AND(AT5&lt;&gt;0,AM5="Y"),UIBY*W5,0)</f>
        <v>0</v>
      </c>
      <c r="BU5" s="386">
        <f>IF(AND(AT5&lt;&gt;0,N5&lt;&gt;"NR"),DHRBY*W5,0)</f>
        <v>0</v>
      </c>
      <c r="BV5" s="386">
        <f>IF(AT5&lt;&gt;0,WCBY*W5,0)</f>
        <v>169.41995</v>
      </c>
      <c r="BW5" s="386">
        <f>IF(OR(AND(AT5&lt;&gt;0,AJ5&lt;&gt;"PF",AN5&lt;&gt;"NE",AG5&lt;&gt;"A"),AND(AL5="E",OR(AT5=1,AT5=3))),SickBY*W5,0)</f>
        <v>0</v>
      </c>
      <c r="BX5" s="386">
        <f t="shared" si="7"/>
        <v>0</v>
      </c>
      <c r="BY5" s="386">
        <f t="shared" si="8"/>
        <v>10001.101676999999</v>
      </c>
      <c r="BZ5" s="386">
        <f t="shared" si="9"/>
        <v>0</v>
      </c>
      <c r="CA5" s="386">
        <f t="shared" si="10"/>
        <v>0</v>
      </c>
      <c r="CB5" s="386">
        <f t="shared" si="11"/>
        <v>0</v>
      </c>
      <c r="CC5" s="386">
        <f>IF(AT5&lt;&gt;0,SSHICHG*Y5,0)</f>
        <v>0</v>
      </c>
      <c r="CD5" s="386">
        <f>IF(AND(AT5&lt;&gt;0,AN5&lt;&gt;"NE"),VLOOKUP(AN5,Retirement_Rates,5,FALSE)*Y5,0)</f>
        <v>0</v>
      </c>
      <c r="CE5" s="386">
        <f>IF(AND(AT5&lt;&gt;0,AJ5&lt;&gt;"PF"),LifeCHG*Y5,0)</f>
        <v>0</v>
      </c>
      <c r="CF5" s="386">
        <f>IF(AND(AT5&lt;&gt;0,AM5="Y"),UICHG*Y5,0)</f>
        <v>0</v>
      </c>
      <c r="CG5" s="386">
        <f>IF(AND(AT5&lt;&gt;0,N5&lt;&gt;"NR"),DHRCHG*Y5,0)</f>
        <v>0</v>
      </c>
      <c r="CH5" s="386">
        <f>IF(AT5&lt;&gt;0,WCCHG*Y5,0)</f>
        <v>-9.6811400000000045</v>
      </c>
      <c r="CI5" s="386">
        <f>IF(OR(AND(AT5&lt;&gt;0,AJ5&lt;&gt;"PF",AN5&lt;&gt;"NE",AG5&lt;&gt;"A"),AND(AL5="E",OR(AT5=1,AT5=3))),SickCHG*Y5,0)</f>
        <v>0</v>
      </c>
      <c r="CJ5" s="386">
        <f t="shared" si="12"/>
        <v>0</v>
      </c>
      <c r="CK5" s="386">
        <f t="shared" si="13"/>
        <v>-9.6811400000000045</v>
      </c>
      <c r="CL5" s="386" t="str">
        <f t="shared" si="14"/>
        <v/>
      </c>
      <c r="CM5" s="386" t="str">
        <f t="shared" si="15"/>
        <v/>
      </c>
      <c r="CN5" s="386" t="str">
        <f t="shared" si="16"/>
        <v>0001-00</v>
      </c>
    </row>
    <row r="7" spans="1:92" ht="21" x14ac:dyDescent="0.35">
      <c r="AQ7" s="251" t="s">
        <v>255</v>
      </c>
    </row>
    <row r="8" spans="1:92" ht="15.75" thickBot="1" x14ac:dyDescent="0.3">
      <c r="AR8" t="s">
        <v>248</v>
      </c>
      <c r="AS8" s="386">
        <f>SUMIFS(AS2:AS5,G2:G5,"LGAA",E2:E5,"0001",F2:F5,"00",AT2:AT5,1)</f>
        <v>1</v>
      </c>
      <c r="AT8" s="386">
        <f>SUMIFS(AS2:AS5,G2:G5,"LGAA",E2:E5,"0001",F2:F5,"00",AT2:AT5,3)</f>
        <v>1</v>
      </c>
      <c r="AU8" s="386">
        <f>SUMIFS(AU2:AU5,G2:G5,"LGAA",E2:E5,"0001",F2:F5,"00")</f>
        <v>1</v>
      </c>
      <c r="AV8" s="386">
        <f>SUMIFS(AV2:AV5,G2:G5,"LGAA",E2:E5,"0001",F2:F5,"00")</f>
        <v>1</v>
      </c>
      <c r="AW8" s="386">
        <f>SUMIFS(AW2:AW5,G2:G5,"LGAA",E2:E5,"0001",F2:F5,"00")</f>
        <v>2</v>
      </c>
      <c r="AX8" s="386">
        <f>SUMIFS(AX2:AX5,G2:G5,"LGAA",E2:E5,"0001",F2:F5,"00")</f>
        <v>93583.299999999988</v>
      </c>
      <c r="AY8" s="386">
        <f>SUMIFS(AY2:AY5,G2:G5,"LGAA",E2:E5,"0001",F2:F5,"00")</f>
        <v>45177.599999999999</v>
      </c>
      <c r="AZ8" s="386">
        <f>SUMIFS(AZ2:AZ5,G2:G5,"LGAA",E2:E5,"0001",F2:F5,"00")</f>
        <v>48405.7</v>
      </c>
      <c r="BA8" s="386">
        <f>SUMIFS(BA2:BA5,G2:G5,"LGAA",E2:E5,"0001",F2:F5,"00")</f>
        <v>0</v>
      </c>
      <c r="BB8" s="386">
        <f>SUMIFS(BB2:BB5,G2:G5,"LGAA",E2:E5,"0001",F2:F5,"00")</f>
        <v>11650</v>
      </c>
      <c r="BC8" s="386">
        <f>SUMIFS(BC2:BC5,G2:G5,"LGAA",E2:E5,"0001",F2:F5,"00")</f>
        <v>11650</v>
      </c>
      <c r="BD8" s="386">
        <f>SUMIFS(BD2:BD5,G2:G5,"LGAA",E2:E5,"0001",F2:F5,"00")</f>
        <v>5802.1646000000001</v>
      </c>
      <c r="BE8" s="386">
        <f>SUMIFS(BE2:BE5,G2:G5,"LGAA",E2:E5,"0001",F2:F5,"00")</f>
        <v>1356.95785</v>
      </c>
      <c r="BF8" s="386">
        <f>SUMIFS(BF2:BF5,G2:G5,"LGAA",E2:E5,"0001",F2:F5,"00")</f>
        <v>11173.846020000001</v>
      </c>
      <c r="BG8" s="386">
        <f>SUMIFS(BG2:BG5,G2:G5,"LGAA",E2:E5,"0001",F2:F5,"00")</f>
        <v>674.73559299999999</v>
      </c>
      <c r="BH8" s="386">
        <f>SUMIFS(BH2:BH5,G2:G5,"LGAA",E2:E5,"0001",F2:F5,"00")</f>
        <v>221.37024</v>
      </c>
      <c r="BI8" s="386">
        <f>SUMIFS(BI2:BI5,G2:G5,"LGAA",E2:E5,"0001",F2:F5,"00")</f>
        <v>0</v>
      </c>
      <c r="BJ8" s="386">
        <f>SUMIFS(BJ2:BJ5,G2:G5,"LGAA",E2:E5,"0001",F2:F5,"00")</f>
        <v>346.25820999999996</v>
      </c>
      <c r="BK8" s="386">
        <f>SUMIFS(BK2:BK5,G2:G5,"LGAA",E2:E5,"0001",F2:F5,"00")</f>
        <v>0</v>
      </c>
      <c r="BL8" s="386">
        <f>SUMIFS(BL2:BL5,G2:G5,"LGAA",E2:E5,"0001",F2:F5,"00")</f>
        <v>9564.549696</v>
      </c>
      <c r="BM8" s="386">
        <f>SUMIFS(BM2:BM5,G2:G5,"LGAA",E2:E5,"0001",F2:F5,"00")</f>
        <v>10010.782816999999</v>
      </c>
      <c r="BN8" s="386">
        <f>SUMIFS(BN2:BN5,G2:G5,"LGAA",E2:E5,"0001",F2:F5,"00")</f>
        <v>11650</v>
      </c>
      <c r="BO8" s="386">
        <f>SUMIFS(BO2:BO5,G2:G5,"LGAA",E2:E5,"0001",F2:F5,"00")</f>
        <v>11650</v>
      </c>
      <c r="BP8" s="386">
        <f>SUMIFS(BP2:BP5,G2:G5,"LGAA",E2:E5,"0001",F2:F5,"00")</f>
        <v>5802.1646000000001</v>
      </c>
      <c r="BQ8" s="386">
        <f>SUMIFS(BQ2:BQ5,G2:G5,"LGAA",E2:E5,"0001",F2:F5,"00")</f>
        <v>1356.95785</v>
      </c>
      <c r="BR8" s="386">
        <f>SUMIFS(BR2:BR5,G2:G5,"LGAA",E2:E5,"0001",F2:F5,"00")</f>
        <v>11173.846020000001</v>
      </c>
      <c r="BS8" s="386">
        <f>SUMIFS(BS2:BS5,G2:G5,"LGAA",E2:E5,"0001",F2:F5,"00")</f>
        <v>674.73559299999999</v>
      </c>
      <c r="BT8" s="386">
        <f>SUMIFS(BT2:BT5,G2:G5,"LGAA",E2:E5,"0001",F2:F5,"00")</f>
        <v>0</v>
      </c>
      <c r="BU8" s="386">
        <f>SUMIFS(BU2:BU5,G2:G5,"LGAA",E2:E5,"0001",F2:F5,"00")</f>
        <v>0</v>
      </c>
      <c r="BV8" s="386">
        <f>SUMIFS(BV2:BV5,G2:G5,"LGAA",E2:E5,"0001",F2:F5,"00")</f>
        <v>327.54155000000003</v>
      </c>
      <c r="BW8" s="386">
        <f>SUMIFS(BW2:BW5,G2:G5,"LGAA",E2:E5,"0001",F2:F5,"00")</f>
        <v>0</v>
      </c>
      <c r="BX8" s="386">
        <f>SUMIFS(BX2:BX5,G2:G5,"LGAA",E2:E5,"0001",F2:F5,"00")</f>
        <v>9334.1439360000004</v>
      </c>
      <c r="BY8" s="386">
        <f>SUMIFS(BY2:BY5,G2:G5,"LGAA",E2:E5,"0001",F2:F5,"00")</f>
        <v>10001.101676999999</v>
      </c>
      <c r="BZ8" s="386">
        <f>SUMIFS(BZ2:BZ5,G2:G5,"LGAA",E2:E5,"0001",F2:F5,"00")</f>
        <v>0</v>
      </c>
      <c r="CA8" s="386">
        <f>SUMIFS(CA2:CA5,G2:G5,"LGAA",E2:E5,"0001",F2:F5,"00")</f>
        <v>0</v>
      </c>
      <c r="CB8" s="386">
        <f>SUMIFS(CB2:CB5,G2:G5,"LGAA",E2:E5,"0001",F2:F5,"00")</f>
        <v>0</v>
      </c>
      <c r="CC8" s="386">
        <f>SUMIFS(CC2:CC5,G2:G5,"LGAA",E2:E5,"0001",F2:F5,"00")</f>
        <v>0</v>
      </c>
      <c r="CD8" s="386">
        <f>SUMIFS(CD2:CD5,G2:G5,"LGAA",E2:E5,"0001",F2:F5,"00")</f>
        <v>0</v>
      </c>
      <c r="CE8" s="386">
        <f>SUMIFS(CE2:CE5,G2:G5,"LGAA",E2:E5,"0001",F2:F5,"00")</f>
        <v>0</v>
      </c>
      <c r="CF8" s="386">
        <f>SUMIFS(CF2:CF5,G2:G5,"LGAA",E2:E5,"0001",F2:F5,"00")</f>
        <v>-221.37024</v>
      </c>
      <c r="CG8" s="386">
        <f>SUMIFS(CG2:CG5,G2:G5,"LGAA",E2:E5,"0001",F2:F5,"00")</f>
        <v>0</v>
      </c>
      <c r="CH8" s="386">
        <f>SUMIFS(CH2:CH5,G2:G5,"LGAA",E2:E5,"0001",F2:F5,"00")</f>
        <v>-18.716660000000008</v>
      </c>
      <c r="CI8" s="386">
        <f>SUMIFS(CI2:CI5,G2:G5,"LGAA",E2:E5,"0001",F2:F5,"00")</f>
        <v>0</v>
      </c>
      <c r="CJ8" s="386">
        <f>SUMIFS(CJ2:CJ5,G2:G5,"LGAA",E2:E5,"0001",F2:F5,"00")</f>
        <v>-230.40575999999999</v>
      </c>
      <c r="CK8" s="386">
        <f>SUMIFS(CK2:CK5,G2:G5,"LGAA",E2:E5,"0001",F2:F5,"00")</f>
        <v>-9.6811400000000045</v>
      </c>
      <c r="CL8" s="386">
        <f>SUMIFS(CL2:CL5,G2:G5,"LGAA",E2:E5,"0001",F2:F5,"00")</f>
        <v>3240</v>
      </c>
      <c r="CM8" s="386">
        <f>SUMIFS(CM2:CM5,G2:G5,"LGAA",E2:E5,"0001",F2:F5,"00")</f>
        <v>266.27</v>
      </c>
    </row>
    <row r="9" spans="1:92" ht="18.75" x14ac:dyDescent="0.3">
      <c r="AQ9" s="392" t="s">
        <v>249</v>
      </c>
      <c r="AS9" s="393">
        <f t="shared" ref="AS9:CM9" si="17">SUM(AS8:AS8)</f>
        <v>1</v>
      </c>
      <c r="AT9" s="393">
        <f t="shared" si="17"/>
        <v>1</v>
      </c>
      <c r="AU9" s="393">
        <f t="shared" si="17"/>
        <v>1</v>
      </c>
      <c r="AV9" s="393">
        <f t="shared" si="17"/>
        <v>1</v>
      </c>
      <c r="AW9" s="393">
        <f t="shared" si="17"/>
        <v>2</v>
      </c>
      <c r="AX9" s="393">
        <f t="shared" si="17"/>
        <v>93583.299999999988</v>
      </c>
      <c r="AY9" s="393">
        <f t="shared" si="17"/>
        <v>45177.599999999999</v>
      </c>
      <c r="AZ9" s="393">
        <f t="shared" si="17"/>
        <v>48405.7</v>
      </c>
      <c r="BA9" s="393">
        <f t="shared" si="17"/>
        <v>0</v>
      </c>
      <c r="BB9" s="393">
        <f t="shared" si="17"/>
        <v>11650</v>
      </c>
      <c r="BC9" s="393">
        <f t="shared" si="17"/>
        <v>11650</v>
      </c>
      <c r="BD9" s="393">
        <f t="shared" si="17"/>
        <v>5802.1646000000001</v>
      </c>
      <c r="BE9" s="393">
        <f t="shared" si="17"/>
        <v>1356.95785</v>
      </c>
      <c r="BF9" s="393">
        <f t="shared" si="17"/>
        <v>11173.846020000001</v>
      </c>
      <c r="BG9" s="393">
        <f t="shared" si="17"/>
        <v>674.73559299999999</v>
      </c>
      <c r="BH9" s="393">
        <f t="shared" si="17"/>
        <v>221.37024</v>
      </c>
      <c r="BI9" s="393">
        <f t="shared" si="17"/>
        <v>0</v>
      </c>
      <c r="BJ9" s="393">
        <f t="shared" si="17"/>
        <v>346.25820999999996</v>
      </c>
      <c r="BK9" s="393">
        <f t="shared" si="17"/>
        <v>0</v>
      </c>
      <c r="BL9" s="393">
        <f t="shared" si="17"/>
        <v>9564.549696</v>
      </c>
      <c r="BM9" s="393">
        <f t="shared" si="17"/>
        <v>10010.782816999999</v>
      </c>
      <c r="BN9" s="393">
        <f t="shared" si="17"/>
        <v>11650</v>
      </c>
      <c r="BO9" s="393">
        <f t="shared" si="17"/>
        <v>11650</v>
      </c>
      <c r="BP9" s="393">
        <f t="shared" si="17"/>
        <v>5802.1646000000001</v>
      </c>
      <c r="BQ9" s="393">
        <f t="shared" si="17"/>
        <v>1356.95785</v>
      </c>
      <c r="BR9" s="393">
        <f t="shared" si="17"/>
        <v>11173.846020000001</v>
      </c>
      <c r="BS9" s="393">
        <f t="shared" si="17"/>
        <v>674.73559299999999</v>
      </c>
      <c r="BT9" s="393">
        <f t="shared" si="17"/>
        <v>0</v>
      </c>
      <c r="BU9" s="393">
        <f t="shared" si="17"/>
        <v>0</v>
      </c>
      <c r="BV9" s="393">
        <f t="shared" si="17"/>
        <v>327.54155000000003</v>
      </c>
      <c r="BW9" s="393">
        <f t="shared" si="17"/>
        <v>0</v>
      </c>
      <c r="BX9" s="393">
        <f t="shared" si="17"/>
        <v>9334.1439360000004</v>
      </c>
      <c r="BY9" s="393">
        <f t="shared" si="17"/>
        <v>10001.101676999999</v>
      </c>
      <c r="BZ9" s="393">
        <f t="shared" si="17"/>
        <v>0</v>
      </c>
      <c r="CA9" s="393">
        <f t="shared" si="17"/>
        <v>0</v>
      </c>
      <c r="CB9" s="393">
        <f t="shared" si="17"/>
        <v>0</v>
      </c>
      <c r="CC9" s="393">
        <f t="shared" si="17"/>
        <v>0</v>
      </c>
      <c r="CD9" s="393">
        <f t="shared" si="17"/>
        <v>0</v>
      </c>
      <c r="CE9" s="393">
        <f t="shared" si="17"/>
        <v>0</v>
      </c>
      <c r="CF9" s="393">
        <f t="shared" si="17"/>
        <v>-221.37024</v>
      </c>
      <c r="CG9" s="393">
        <f t="shared" si="17"/>
        <v>0</v>
      </c>
      <c r="CH9" s="393">
        <f t="shared" si="17"/>
        <v>-18.716660000000008</v>
      </c>
      <c r="CI9" s="393">
        <f t="shared" si="17"/>
        <v>0</v>
      </c>
      <c r="CJ9" s="393">
        <f t="shared" si="17"/>
        <v>-230.40575999999999</v>
      </c>
      <c r="CK9" s="393">
        <f t="shared" si="17"/>
        <v>-9.6811400000000045</v>
      </c>
      <c r="CL9" s="393">
        <f t="shared" si="17"/>
        <v>3240</v>
      </c>
      <c r="CM9" s="393">
        <f t="shared" si="17"/>
        <v>266.27</v>
      </c>
    </row>
    <row r="11" spans="1:92" ht="21" x14ac:dyDescent="0.35">
      <c r="AO11" s="251" t="s">
        <v>97</v>
      </c>
      <c r="AP11" s="251"/>
      <c r="AQ11" s="251"/>
    </row>
    <row r="13" spans="1:92" ht="21" x14ac:dyDescent="0.35">
      <c r="AO13" s="252"/>
      <c r="AP13" s="252"/>
      <c r="AQ13" s="252"/>
    </row>
    <row r="14" spans="1:92" ht="15.75" x14ac:dyDescent="0.25">
      <c r="AS14" s="373" t="s">
        <v>83</v>
      </c>
      <c r="AT14" s="474" t="s">
        <v>258</v>
      </c>
      <c r="AU14" s="474"/>
      <c r="AV14" s="475" t="s">
        <v>256</v>
      </c>
      <c r="AW14" s="474" t="s">
        <v>259</v>
      </c>
      <c r="AX14" s="474"/>
      <c r="AY14" s="475" t="s">
        <v>257</v>
      </c>
      <c r="AZ14" s="474" t="s">
        <v>260</v>
      </c>
      <c r="BA14" s="474"/>
    </row>
    <row r="15" spans="1:92" ht="15.75" x14ac:dyDescent="0.25">
      <c r="AS15" s="249"/>
      <c r="AT15" s="373" t="s">
        <v>94</v>
      </c>
      <c r="AU15" s="372" t="s">
        <v>96</v>
      </c>
      <c r="AV15" s="476"/>
      <c r="AW15" s="373" t="s">
        <v>98</v>
      </c>
      <c r="AX15" s="372" t="s">
        <v>95</v>
      </c>
      <c r="AY15" s="476"/>
      <c r="AZ15" s="373" t="s">
        <v>98</v>
      </c>
      <c r="BA15" s="372" t="s">
        <v>95</v>
      </c>
    </row>
    <row r="16" spans="1:92" x14ac:dyDescent="0.25">
      <c r="AO16" s="391" t="s">
        <v>261</v>
      </c>
    </row>
    <row r="17" spans="41:71" x14ac:dyDescent="0.25">
      <c r="AQ17" t="s">
        <v>252</v>
      </c>
      <c r="AS17" s="386">
        <f>SUM(SUMIFS(AS2:AS5,CN2:CN5,AQ17,E2:E5,"0001",F2:F5,"00",AT2:AT5,{1,3}))</f>
        <v>2</v>
      </c>
      <c r="AT17" s="386">
        <f>SUMPRODUCT(--(CN2:CN5=AQ17),--(N2:N5&lt;&gt;"NG"),--(AG2:AG5&lt;&gt;"D"),--(AR2:AR5&lt;&gt;6),--(AR2:AR5&lt;&gt;36),--(AR2:AR5&lt;&gt;56),T2:T5)+SUMPRODUCT(--(CN2:CN5=AQ17),--(N2:N5&lt;&gt;"NG"),--(AG2:AG5&lt;&gt;"D"),--(AR2:AR5&lt;&gt;6),--(AR2:AR5&lt;&gt;36),--(AR2:AR5&lt;&gt;56),U2:U5)</f>
        <v>92141.73</v>
      </c>
      <c r="AU17" s="386">
        <f>SUMPRODUCT(--(CN2:CN5=AQ17),--(N2:N5&lt;&gt;"NG"),--(AG2:AG5&lt;&gt;"D"),--(AR2:AR5&lt;&gt;6),--(AR2:AR5&lt;&gt;36),--(AR2:AR5&lt;&gt;56),V2:V5)</f>
        <v>42050.8</v>
      </c>
      <c r="AV17" s="386">
        <f>SUMPRODUCT(--(CN2:CN5=AQ17),AY2:AY5)+SUMPRODUCT(--(CN2:CN5=AQ17),AZ2:AZ5)</f>
        <v>93583.299999999988</v>
      </c>
      <c r="AW17" s="386">
        <f>SUMPRODUCT(--(CN2:CN5=AQ17),BB2:BB5)+SUMPRODUCT(--(CN2:CN5=AQ17),BC2:BC5)</f>
        <v>23300</v>
      </c>
      <c r="AX17" s="386">
        <f>SUMPRODUCT(--(CN2:CN5=AQ17),BL2:BL5)+SUMPRODUCT(--(CN2:CN5=AQ17),BM2:BM5)</f>
        <v>19575.332513000001</v>
      </c>
      <c r="AY17" s="386">
        <f>SUMPRODUCT(--(CN2:CN5=AQ17),AY2:AY5)+SUMPRODUCT(--(CN2:CN5=AQ17),AZ2:AZ5)+SUMPRODUCT(--(CN2:CN5=AQ17),BA2:BA5)</f>
        <v>93583.299999999988</v>
      </c>
      <c r="AZ17" s="386">
        <f>SUMPRODUCT(--(CN2:CN5=AQ17),BN2:BN5)+SUMPRODUCT(--(CN2:CN5=AQ17),BO2:BO5)</f>
        <v>23300</v>
      </c>
      <c r="BA17" s="386">
        <f>SUMPRODUCT(--(CN2:CN5=AQ17),BX2:BX5)+SUMPRODUCT(--(CN2:CN5=AQ17),BY2:BY5)</f>
        <v>19335.245612999999</v>
      </c>
    </row>
    <row r="18" spans="41:71" x14ac:dyDescent="0.25">
      <c r="AP18" t="s">
        <v>262</v>
      </c>
      <c r="AS18" s="397">
        <f t="shared" ref="AS18:BA18" si="18">SUM(AS17:AS17)</f>
        <v>2</v>
      </c>
      <c r="AT18" s="397">
        <f t="shared" si="18"/>
        <v>92141.73</v>
      </c>
      <c r="AU18" s="397">
        <f t="shared" si="18"/>
        <v>42050.8</v>
      </c>
      <c r="AV18" s="397">
        <f t="shared" si="18"/>
        <v>93583.299999999988</v>
      </c>
      <c r="AW18" s="397">
        <f t="shared" si="18"/>
        <v>23300</v>
      </c>
      <c r="AX18" s="397">
        <f t="shared" si="18"/>
        <v>19575.332513000001</v>
      </c>
      <c r="AY18" s="397">
        <f t="shared" si="18"/>
        <v>93583.299999999988</v>
      </c>
      <c r="AZ18" s="397">
        <f t="shared" si="18"/>
        <v>23300</v>
      </c>
      <c r="BA18" s="397">
        <f t="shared" si="18"/>
        <v>19335.245612999999</v>
      </c>
    </row>
    <row r="19" spans="41:71" x14ac:dyDescent="0.25">
      <c r="AS19" s="386"/>
      <c r="AT19" s="386"/>
      <c r="AU19" s="386"/>
      <c r="AV19" s="386"/>
      <c r="AW19" s="386"/>
      <c r="AX19" s="386"/>
      <c r="AY19" s="386"/>
      <c r="AZ19" s="386"/>
      <c r="BA19" s="386"/>
    </row>
    <row r="20" spans="41:71" x14ac:dyDescent="0.25">
      <c r="AO20" s="395" t="s">
        <v>263</v>
      </c>
      <c r="AS20" s="398">
        <f t="shared" ref="AS20:BA20" si="19">SUM(AS18)</f>
        <v>2</v>
      </c>
      <c r="AT20" s="398">
        <f t="shared" si="19"/>
        <v>92141.73</v>
      </c>
      <c r="AU20" s="398">
        <f t="shared" si="19"/>
        <v>42050.8</v>
      </c>
      <c r="AV20" s="398">
        <f t="shared" si="19"/>
        <v>93583.299999999988</v>
      </c>
      <c r="AW20" s="398">
        <f t="shared" si="19"/>
        <v>23300</v>
      </c>
      <c r="AX20" s="398">
        <f t="shared" si="19"/>
        <v>19575.332513000001</v>
      </c>
      <c r="AY20" s="398">
        <f t="shared" si="19"/>
        <v>93583.299999999988</v>
      </c>
      <c r="AZ20" s="398">
        <f t="shared" si="19"/>
        <v>23300</v>
      </c>
      <c r="BA20" s="398">
        <f t="shared" si="19"/>
        <v>19335.245612999999</v>
      </c>
    </row>
    <row r="21" spans="41:71" x14ac:dyDescent="0.25">
      <c r="AS21" s="386"/>
      <c r="AT21" s="386"/>
      <c r="AU21" s="386"/>
      <c r="AV21" s="386"/>
      <c r="AW21" s="386"/>
      <c r="AX21" s="386"/>
      <c r="AY21" s="386"/>
      <c r="AZ21" s="386"/>
      <c r="BA21" s="386"/>
    </row>
    <row r="22" spans="41:71" x14ac:dyDescent="0.25">
      <c r="AO22" s="391" t="s">
        <v>264</v>
      </c>
      <c r="AS22" s="386"/>
      <c r="AT22" s="386"/>
      <c r="AU22" s="386"/>
      <c r="AV22" s="386"/>
      <c r="AW22" s="386"/>
      <c r="AX22" s="386"/>
      <c r="AY22" s="386"/>
      <c r="AZ22" s="386"/>
      <c r="BA22" s="386"/>
    </row>
    <row r="23" spans="41:71" x14ac:dyDescent="0.25">
      <c r="AQ23" t="s">
        <v>252</v>
      </c>
      <c r="AS23" s="386"/>
      <c r="AT23" s="386">
        <f>SUMIF(CN2:CN5,AQ23,CL2:CL5)</f>
        <v>3240</v>
      </c>
      <c r="AU23" s="386">
        <f>SUMIF(CN2:CN5,AQ23,CM2:CM5)</f>
        <v>266.27</v>
      </c>
      <c r="AV23" s="386">
        <f>SUMIF(CN2:CN5,AQ23,CL2:CL5)</f>
        <v>3240</v>
      </c>
      <c r="AW23" s="386">
        <v>0</v>
      </c>
      <c r="AX23" s="386">
        <f>SUMIF(CN2:CN5,AQ23,CM2:CM5)</f>
        <v>266.27</v>
      </c>
      <c r="AY23" s="386">
        <f>SUMIF(CN2:CN5,AQ23,CL2:CL5)</f>
        <v>3240</v>
      </c>
      <c r="AZ23" s="386">
        <v>0</v>
      </c>
      <c r="BA23" s="386">
        <f>SUMIF(CN2:CN5,AQ23,CM2:CM5)</f>
        <v>266.27</v>
      </c>
    </row>
    <row r="24" spans="41:71" x14ac:dyDescent="0.25">
      <c r="AP24" t="s">
        <v>262</v>
      </c>
      <c r="AS24" s="397"/>
      <c r="AT24" s="397">
        <f t="shared" ref="AT24:BA24" si="20">SUM(AT23:AT23)</f>
        <v>3240</v>
      </c>
      <c r="AU24" s="397">
        <f t="shared" si="20"/>
        <v>266.27</v>
      </c>
      <c r="AV24" s="397">
        <f t="shared" si="20"/>
        <v>3240</v>
      </c>
      <c r="AW24" s="397">
        <f t="shared" si="20"/>
        <v>0</v>
      </c>
      <c r="AX24" s="397">
        <f t="shared" si="20"/>
        <v>266.27</v>
      </c>
      <c r="AY24" s="397">
        <f t="shared" si="20"/>
        <v>3240</v>
      </c>
      <c r="AZ24" s="397">
        <f t="shared" si="20"/>
        <v>0</v>
      </c>
      <c r="BA24" s="397">
        <f t="shared" si="20"/>
        <v>266.27</v>
      </c>
    </row>
    <row r="25" spans="41:71" x14ac:dyDescent="0.25">
      <c r="AS25" s="386"/>
      <c r="AT25" s="386"/>
      <c r="AU25" s="386"/>
      <c r="AV25" s="386"/>
      <c r="AW25" s="386"/>
      <c r="AX25" s="386"/>
      <c r="AY25" s="386"/>
      <c r="AZ25" s="386"/>
      <c r="BA25" s="386"/>
    </row>
    <row r="26" spans="41:71" x14ac:dyDescent="0.25">
      <c r="AO26" s="395" t="s">
        <v>265</v>
      </c>
      <c r="AS26" s="398">
        <f t="shared" ref="AS26:BA26" si="21">SUM(AS24)</f>
        <v>0</v>
      </c>
      <c r="AT26" s="398">
        <f t="shared" si="21"/>
        <v>3240</v>
      </c>
      <c r="AU26" s="398">
        <f t="shared" si="21"/>
        <v>266.27</v>
      </c>
      <c r="AV26" s="398">
        <f t="shared" si="21"/>
        <v>3240</v>
      </c>
      <c r="AW26" s="398">
        <f t="shared" si="21"/>
        <v>0</v>
      </c>
      <c r="AX26" s="398">
        <f t="shared" si="21"/>
        <v>266.27</v>
      </c>
      <c r="AY26" s="398">
        <f t="shared" si="21"/>
        <v>3240</v>
      </c>
      <c r="AZ26" s="398">
        <f t="shared" si="21"/>
        <v>0</v>
      </c>
      <c r="BA26" s="398">
        <f t="shared" si="21"/>
        <v>266.27</v>
      </c>
      <c r="BM26" s="391"/>
      <c r="BS26" s="391"/>
    </row>
    <row r="27" spans="41:71" x14ac:dyDescent="0.25">
      <c r="AS27" s="386"/>
      <c r="AT27" s="386"/>
      <c r="AU27" s="386"/>
      <c r="AV27" s="386"/>
      <c r="AW27" s="386"/>
      <c r="AX27" s="386"/>
      <c r="AY27" s="386"/>
      <c r="AZ27" s="386"/>
      <c r="BA27" s="386"/>
    </row>
    <row r="28" spans="41:71" x14ac:dyDescent="0.25">
      <c r="AO28" s="396" t="s">
        <v>266</v>
      </c>
      <c r="AS28" s="399">
        <f t="shared" ref="AS28:BA28" si="22">SUM(AS20,AS26)</f>
        <v>2</v>
      </c>
      <c r="AT28" s="400">
        <f t="shared" si="22"/>
        <v>95381.73</v>
      </c>
      <c r="AU28" s="400">
        <f t="shared" si="22"/>
        <v>42317.07</v>
      </c>
      <c r="AV28" s="400">
        <f t="shared" si="22"/>
        <v>96823.299999999988</v>
      </c>
      <c r="AW28" s="400">
        <f t="shared" si="22"/>
        <v>23300</v>
      </c>
      <c r="AX28" s="400">
        <f t="shared" si="22"/>
        <v>19841.602513000002</v>
      </c>
      <c r="AY28" s="400">
        <f t="shared" si="22"/>
        <v>96823.299999999988</v>
      </c>
      <c r="AZ28" s="400">
        <f t="shared" si="22"/>
        <v>23300</v>
      </c>
      <c r="BA28" s="400">
        <f t="shared" si="22"/>
        <v>19601.515613</v>
      </c>
    </row>
  </sheetData>
  <mergeCells count="5">
    <mergeCell ref="AT14:AU14"/>
    <mergeCell ref="AV14:AV15"/>
    <mergeCell ref="AW14:AX14"/>
    <mergeCell ref="AY14:AY15"/>
    <mergeCell ref="AZ14:BA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B11" sqref="B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3.7000000000000002E-3</v>
      </c>
      <c r="D8" s="234">
        <v>3.5000000000000001E-3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9.2309999999999989E-2</v>
      </c>
      <c r="D12" s="234">
        <f>SUM(D5:D11)</f>
        <v>8.7209999999999996E-2</v>
      </c>
      <c r="E12" s="315">
        <f>D12-C12</f>
        <v>-5.0999999999999934E-3</v>
      </c>
      <c r="M12" s="320"/>
    </row>
    <row r="13" spans="1:15" x14ac:dyDescent="0.3">
      <c r="A13" s="3"/>
      <c r="B13" s="231" t="s">
        <v>9</v>
      </c>
      <c r="C13" s="226">
        <f>SUM(C5:C8)</f>
        <v>8.5099999999999995E-2</v>
      </c>
      <c r="D13" s="226">
        <f>SUM(D5:D8)</f>
        <v>0.08</v>
      </c>
      <c r="E13" s="313">
        <f t="shared" si="0"/>
        <v>-5.0999999999999934E-3</v>
      </c>
      <c r="F13" s="8"/>
    </row>
    <row r="14" spans="1:15" x14ac:dyDescent="0.3">
      <c r="A14" s="230"/>
      <c r="B14" s="232" t="s">
        <v>102</v>
      </c>
      <c r="C14" s="226">
        <f>SUM(C5:C6,C8:C9)</f>
        <v>8.7409999999999988E-2</v>
      </c>
      <c r="D14" s="226">
        <f>SUM(D5:D6,D8:D9)</f>
        <v>8.7209999999999996E-2</v>
      </c>
      <c r="E14" s="313">
        <f>D14-C14</f>
        <v>-1.9999999999999185E-4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6"/>
      <c r="N1" s="407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8"/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6"/>
      <c r="N3" s="407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/>
      <c r="J5" s="410"/>
      <c r="K5" s="410"/>
      <c r="L5" s="409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1" t="s">
        <v>22</v>
      </c>
      <c r="D8" s="412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254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11" t="s">
        <v>22</v>
      </c>
      <c r="B2" s="412"/>
      <c r="C2" s="370" t="s">
        <v>23</v>
      </c>
      <c r="D2" s="49" t="s">
        <v>24</v>
      </c>
      <c r="E2" s="50" t="str">
        <f>"FY "&amp;'LGAA|0001-00'!FiscalYear-1&amp;" SALARY"</f>
        <v>FY 2022 SALARY</v>
      </c>
      <c r="F2" s="50" t="str">
        <f>"FY "&amp;'LGAA|0001-00'!FiscalYear-1&amp;" HEALTH BENEFITS"</f>
        <v>FY 2022 HEALTH BENEFITS</v>
      </c>
      <c r="G2" s="50" t="str">
        <f>"FY "&amp;'LGAA|0001-00'!FiscalYear-1&amp;" VAR BENEFITS"</f>
        <v>FY 2022 VAR BENEFITS</v>
      </c>
      <c r="H2" s="50" t="str">
        <f>"FY "&amp;'LGAA|0001-00'!FiscalYear-1&amp;" TOTAL"</f>
        <v>FY 2022 TOTAL</v>
      </c>
      <c r="I2" s="50" t="str">
        <f>"FY "&amp;'LGAA|0001-00'!FiscalYear&amp;" SALARY CHANGE"</f>
        <v>FY 2023 SALARY CHANGE</v>
      </c>
      <c r="J2" s="50" t="str">
        <f>"FY "&amp;'LGAA|0001-00'!FiscalYear&amp;" CHG HEALTH BENEFITS"</f>
        <v>FY 2023 CHG HEALTH BENEFITS</v>
      </c>
      <c r="K2" s="50" t="str">
        <f>"FY "&amp;'LGAA|0001-00'!FiscalYear&amp;" CHG VAR BENEFITS"</f>
        <v>FY 2023 CHG VAR BENEFITS</v>
      </c>
      <c r="L2" s="50" t="s">
        <v>25</v>
      </c>
    </row>
    <row r="3" spans="1:12" x14ac:dyDescent="0.25">
      <c r="A3" s="414" t="s">
        <v>26</v>
      </c>
      <c r="B3" s="41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4" t="s">
        <v>27</v>
      </c>
      <c r="B4" s="405"/>
      <c r="C4" s="217">
        <v>1</v>
      </c>
      <c r="D4" s="288">
        <f>[0]!LGAA000100col_INC_FTI</f>
        <v>1</v>
      </c>
      <c r="E4" s="218">
        <f>[0]!LGAA000100col_FTI_SALARY_PERM</f>
        <v>45177.599999999999</v>
      </c>
      <c r="F4" s="218">
        <f>[0]!LGAA000100col_HEALTH_PERM</f>
        <v>11650</v>
      </c>
      <c r="G4" s="218">
        <f>[0]!LGAA000100col_TOT_VB_PERM</f>
        <v>9564.549696</v>
      </c>
      <c r="H4" s="219">
        <f>SUM(E4:G4)</f>
        <v>66392.149695999993</v>
      </c>
      <c r="I4" s="219">
        <f>[0]!LGAA000100col_1_27TH_PP</f>
        <v>0</v>
      </c>
      <c r="J4" s="218">
        <f>[0]!LGAA000100col_HEALTH_PERM_CHG</f>
        <v>0</v>
      </c>
      <c r="K4" s="218">
        <f>[0]!LGAA000100col_TOT_VB_PERM_CHG</f>
        <v>-230.40575999999999</v>
      </c>
      <c r="L4" s="218">
        <f>SUM(J4:K4)</f>
        <v>-230.40575999999999</v>
      </c>
    </row>
    <row r="5" spans="1:12" x14ac:dyDescent="0.25">
      <c r="A5" s="404" t="s">
        <v>28</v>
      </c>
      <c r="B5" s="405"/>
      <c r="C5" s="217">
        <v>2</v>
      </c>
      <c r="D5" s="288"/>
      <c r="E5" s="218">
        <f>[0]!LGAA000100col_Group_Salary</f>
        <v>3240</v>
      </c>
      <c r="F5" s="218">
        <v>0</v>
      </c>
      <c r="G5" s="218">
        <f>[0]!LGAA000100col_Group_Ben</f>
        <v>266.27</v>
      </c>
      <c r="H5" s="219">
        <f>SUM(E5:G5)</f>
        <v>3506.27</v>
      </c>
      <c r="I5" s="268"/>
      <c r="J5" s="218"/>
      <c r="K5" s="218"/>
      <c r="L5" s="218"/>
    </row>
    <row r="6" spans="1:12" x14ac:dyDescent="0.25">
      <c r="A6" s="404" t="s">
        <v>29</v>
      </c>
      <c r="B6" s="416"/>
      <c r="C6" s="217">
        <v>3</v>
      </c>
      <c r="D6" s="288">
        <f>[0]!LGAA000100col_TOTAL_ELECT_PCN_FTI</f>
        <v>1</v>
      </c>
      <c r="E6" s="218">
        <f>[0]!LGAA000100col_FTI_SALARY_ELECT</f>
        <v>48405.7</v>
      </c>
      <c r="F6" s="218">
        <f>[0]!LGAA000100col_HEALTH_ELECT</f>
        <v>11650</v>
      </c>
      <c r="G6" s="218">
        <f>[0]!LGAA000100col_TOT_VB_ELECT</f>
        <v>10010.782816999999</v>
      </c>
      <c r="H6" s="219">
        <f>SUM(E6:G6)</f>
        <v>70066.482816999996</v>
      </c>
      <c r="I6" s="268"/>
      <c r="J6" s="218">
        <f>[0]!LGAA000100col_HEALTH_ELECT_CHG</f>
        <v>0</v>
      </c>
      <c r="K6" s="218">
        <f>[0]!LGAA000100col_TOT_VB_ELECT_CHG</f>
        <v>-9.6811400000000045</v>
      </c>
      <c r="L6" s="219">
        <f>SUM(J6:K6)</f>
        <v>-9.6811400000000045</v>
      </c>
    </row>
    <row r="7" spans="1:12" x14ac:dyDescent="0.25">
      <c r="A7" s="404" t="s">
        <v>30</v>
      </c>
      <c r="B7" s="405"/>
      <c r="C7" s="217"/>
      <c r="D7" s="220">
        <f>SUM(D4:D6)</f>
        <v>2</v>
      </c>
      <c r="E7" s="221">
        <f>SUM(E4:E6)</f>
        <v>96823.299999999988</v>
      </c>
      <c r="F7" s="221">
        <f>SUM(F4:F6)</f>
        <v>23300</v>
      </c>
      <c r="G7" s="221">
        <f>SUM(G4:G6)</f>
        <v>19841.602512999998</v>
      </c>
      <c r="H7" s="219">
        <f>SUM(E7:G7)</f>
        <v>139964.90251299998</v>
      </c>
      <c r="I7" s="268"/>
      <c r="J7" s="219">
        <f>SUM(J4:J6)</f>
        <v>0</v>
      </c>
      <c r="K7" s="219">
        <f>SUM(K4:K6)</f>
        <v>-240.08689999999999</v>
      </c>
      <c r="L7" s="219">
        <f>SUM(L4:L6)</f>
        <v>-240.08689999999999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"&amp;'LGAA|0001-00'!FiscalYear-1</f>
        <v>FY 2022</v>
      </c>
      <c r="B9" s="158" t="s">
        <v>31</v>
      </c>
      <c r="C9" s="355">
        <v>167900</v>
      </c>
      <c r="D9" s="55">
        <v>3</v>
      </c>
      <c r="E9" s="223">
        <f>IF('LGAA|0001-00'!OrigApprop=0,0,(E7/H7)*'LGAA|0001-00'!OrigApprop)</f>
        <v>116147.91835753308</v>
      </c>
      <c r="F9" s="223">
        <f>IF('LGAA|0001-00'!OrigApprop=0,0,(F7/H7)*'LGAA|0001-00'!OrigApprop)</f>
        <v>27950.36419674315</v>
      </c>
      <c r="G9" s="223">
        <f>IF(E9=0,0,(G7/H7)*'LGAA|0001-00'!OrigApprop)</f>
        <v>23801.717445723778</v>
      </c>
      <c r="H9" s="223">
        <f>SUM(E9:G9)</f>
        <v>167900</v>
      </c>
      <c r="I9" s="268"/>
      <c r="J9" s="224"/>
      <c r="K9" s="224"/>
      <c r="L9" s="224"/>
    </row>
    <row r="10" spans="1:12" x14ac:dyDescent="0.25">
      <c r="A10" s="422" t="s">
        <v>32</v>
      </c>
      <c r="B10" s="423"/>
      <c r="C10" s="160" t="s">
        <v>33</v>
      </c>
      <c r="D10" s="161">
        <f>D9-D7</f>
        <v>1</v>
      </c>
      <c r="E10" s="162">
        <f>E9-E7</f>
        <v>19324.618357533094</v>
      </c>
      <c r="F10" s="162">
        <f>F9-F7</f>
        <v>4650.3641967431504</v>
      </c>
      <c r="G10" s="162">
        <f>G9-G7</f>
        <v>3960.1149327237799</v>
      </c>
      <c r="H10" s="162">
        <f>H9-H7</f>
        <v>27935.097487000021</v>
      </c>
      <c r="I10" s="269"/>
      <c r="J10" s="56" t="str">
        <f>IF('LGAA|0001-00'!OrigApprop=0,"ERROR! Enter Original Appropriation amount in DU 3.00!","Calculated "&amp;IF('LGAA|0001-00'!AdjustedTotal&gt;0,"overfunding ","underfunding ")&amp;"is "&amp;TEXT('LGAA|0001-00'!AdjustedTotal/'LGAA|0001-00'!AppropTotal,"#.0%;(#.0% );0% ;")&amp;" of Original Appropriation")</f>
        <v>Calculated overfunding is 16.6%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Lieutenant Governor&amp;R&amp;"Arial"&amp;10 Agency 120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5.7109375" bestFit="1" customWidth="1"/>
    <col min="6" max="6" width="10.7109375" bestFit="1" customWidth="1"/>
    <col min="7" max="7" width="14" bestFit="1" customWidth="1"/>
    <col min="8" max="8" width="10.7109375" bestFit="1" customWidth="1"/>
    <col min="9" max="9" width="15.42578125" bestFit="1" customWidth="1"/>
    <col min="10" max="10" width="17" bestFit="1" customWidth="1"/>
    <col min="11" max="11" width="10.710937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258</v>
      </c>
      <c r="G5" s="474"/>
      <c r="H5" s="475" t="s">
        <v>256</v>
      </c>
      <c r="I5" s="474" t="s">
        <v>259</v>
      </c>
      <c r="J5" s="474"/>
      <c r="K5" s="475" t="s">
        <v>257</v>
      </c>
      <c r="L5" s="474" t="s">
        <v>260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261</v>
      </c>
      <c r="D7" s="250"/>
    </row>
    <row r="8" spans="1:13" x14ac:dyDescent="0.25">
      <c r="C8" t="s">
        <v>252</v>
      </c>
      <c r="D8" s="250"/>
      <c r="E8" s="401">
        <f>Data!AS17</f>
        <v>2</v>
      </c>
      <c r="F8" s="401">
        <f>Data!AT17</f>
        <v>92141.73</v>
      </c>
      <c r="G8" s="401">
        <f>Data!AU17</f>
        <v>42050.8</v>
      </c>
      <c r="H8" s="401">
        <f>Data!AV17</f>
        <v>93583.299999999988</v>
      </c>
      <c r="I8" s="401">
        <f>Data!AW17</f>
        <v>23300</v>
      </c>
      <c r="J8" s="401">
        <f>Data!AX17</f>
        <v>19575.332513000001</v>
      </c>
      <c r="K8" s="401">
        <f>Data!AY17</f>
        <v>93583.299999999988</v>
      </c>
      <c r="L8" s="401">
        <f>Data!AZ17</f>
        <v>23300</v>
      </c>
      <c r="M8" s="401">
        <f>Data!BA17</f>
        <v>19335.245612999999</v>
      </c>
    </row>
    <row r="9" spans="1:13" x14ac:dyDescent="0.25">
      <c r="B9" t="s">
        <v>262</v>
      </c>
      <c r="D9" s="250"/>
      <c r="E9" s="402">
        <f>Data!AS18</f>
        <v>2</v>
      </c>
      <c r="F9" s="402">
        <f>Data!AT18</f>
        <v>92141.73</v>
      </c>
      <c r="G9" s="402">
        <f>Data!AU18</f>
        <v>42050.8</v>
      </c>
      <c r="H9" s="402">
        <f>Data!AV18</f>
        <v>93583.299999999988</v>
      </c>
      <c r="I9" s="402">
        <f>Data!AW18</f>
        <v>23300</v>
      </c>
      <c r="J9" s="402">
        <f>Data!AX18</f>
        <v>19575.332513000001</v>
      </c>
      <c r="K9" s="402">
        <f>Data!AY18</f>
        <v>93583.299999999988</v>
      </c>
      <c r="L9" s="402">
        <f>Data!AZ18</f>
        <v>23300</v>
      </c>
      <c r="M9" s="402">
        <f>Data!BA18</f>
        <v>19335.245612999999</v>
      </c>
    </row>
    <row r="10" spans="1:13" x14ac:dyDescent="0.25">
      <c r="D10" s="250"/>
      <c r="E10" s="401">
        <f>Data!AS19</f>
        <v>0</v>
      </c>
      <c r="F10" s="401">
        <f>Data!AT19</f>
        <v>0</v>
      </c>
      <c r="G10" s="401">
        <f>Data!AU19</f>
        <v>0</v>
      </c>
      <c r="H10" s="401">
        <f>Data!AV19</f>
        <v>0</v>
      </c>
      <c r="I10" s="401">
        <f>Data!AW19</f>
        <v>0</v>
      </c>
      <c r="J10" s="401">
        <f>Data!AX19</f>
        <v>0</v>
      </c>
      <c r="K10" s="401">
        <f>Data!AY19</f>
        <v>0</v>
      </c>
      <c r="L10" s="401">
        <f>Data!AZ19</f>
        <v>0</v>
      </c>
      <c r="M10" s="401">
        <f>Data!BA19</f>
        <v>0</v>
      </c>
    </row>
    <row r="11" spans="1:13" x14ac:dyDescent="0.25">
      <c r="A11" s="395" t="s">
        <v>263</v>
      </c>
      <c r="D11" s="250"/>
      <c r="E11" s="403">
        <f>Data!AS20</f>
        <v>2</v>
      </c>
      <c r="F11" s="403">
        <f>Data!AT20</f>
        <v>92141.73</v>
      </c>
      <c r="G11" s="403">
        <f>Data!AU20</f>
        <v>42050.8</v>
      </c>
      <c r="H11" s="403">
        <f>Data!AV20</f>
        <v>93583.299999999988</v>
      </c>
      <c r="I11" s="403">
        <f>Data!AW20</f>
        <v>23300</v>
      </c>
      <c r="J11" s="403">
        <f>Data!AX20</f>
        <v>19575.332513000001</v>
      </c>
      <c r="K11" s="403">
        <f>Data!AY20</f>
        <v>93583.299999999988</v>
      </c>
      <c r="L11" s="403">
        <f>Data!AZ20</f>
        <v>23300</v>
      </c>
      <c r="M11" s="403">
        <f>Data!BA20</f>
        <v>19335.245612999999</v>
      </c>
    </row>
    <row r="12" spans="1:13" x14ac:dyDescent="0.25">
      <c r="D12" s="250"/>
      <c r="E12" s="401">
        <f>Data!AS21</f>
        <v>0</v>
      </c>
      <c r="F12" s="401">
        <f>Data!AT21</f>
        <v>0</v>
      </c>
      <c r="G12" s="401">
        <f>Data!AU21</f>
        <v>0</v>
      </c>
      <c r="H12" s="401">
        <f>Data!AV21</f>
        <v>0</v>
      </c>
      <c r="I12" s="401">
        <f>Data!AW21</f>
        <v>0</v>
      </c>
      <c r="J12" s="401">
        <f>Data!AX21</f>
        <v>0</v>
      </c>
      <c r="K12" s="401">
        <f>Data!AY21</f>
        <v>0</v>
      </c>
      <c r="L12" s="401">
        <f>Data!AZ21</f>
        <v>0</v>
      </c>
      <c r="M12" s="401">
        <f>Data!BA21</f>
        <v>0</v>
      </c>
    </row>
    <row r="13" spans="1:13" x14ac:dyDescent="0.25">
      <c r="A13" s="391" t="s">
        <v>264</v>
      </c>
      <c r="D13" s="250"/>
      <c r="E13" s="401">
        <f>Data!AS22</f>
        <v>0</v>
      </c>
      <c r="F13" s="401">
        <f>Data!AT22</f>
        <v>0</v>
      </c>
      <c r="G13" s="401">
        <f>Data!AU22</f>
        <v>0</v>
      </c>
      <c r="H13" s="401">
        <f>Data!AV22</f>
        <v>0</v>
      </c>
      <c r="I13" s="401">
        <f>Data!AW22</f>
        <v>0</v>
      </c>
      <c r="J13" s="401">
        <f>Data!AX22</f>
        <v>0</v>
      </c>
      <c r="K13" s="401">
        <f>Data!AY22</f>
        <v>0</v>
      </c>
      <c r="L13" s="401">
        <f>Data!AZ22</f>
        <v>0</v>
      </c>
      <c r="M13" s="401">
        <f>Data!BA22</f>
        <v>0</v>
      </c>
    </row>
    <row r="14" spans="1:13" x14ac:dyDescent="0.25">
      <c r="C14" t="s">
        <v>252</v>
      </c>
      <c r="E14" s="401">
        <f>Data!AS23</f>
        <v>0</v>
      </c>
      <c r="F14" s="401">
        <f>Data!AT23</f>
        <v>3240</v>
      </c>
      <c r="G14" s="401">
        <f>Data!AU23</f>
        <v>266.27</v>
      </c>
      <c r="H14" s="401">
        <f>Data!AV23</f>
        <v>3240</v>
      </c>
      <c r="I14" s="401">
        <f>Data!AW23</f>
        <v>0</v>
      </c>
      <c r="J14" s="401">
        <f>Data!AX23</f>
        <v>266.27</v>
      </c>
      <c r="K14" s="401">
        <f>Data!AY23</f>
        <v>3240</v>
      </c>
      <c r="L14" s="401">
        <f>Data!AZ23</f>
        <v>0</v>
      </c>
      <c r="M14" s="401">
        <f>Data!BA23</f>
        <v>266.27</v>
      </c>
    </row>
    <row r="15" spans="1:13" x14ac:dyDescent="0.25">
      <c r="B15" t="s">
        <v>262</v>
      </c>
      <c r="E15" s="402">
        <f>Data!AS24</f>
        <v>0</v>
      </c>
      <c r="F15" s="402">
        <f>Data!AT24</f>
        <v>3240</v>
      </c>
      <c r="G15" s="402">
        <f>Data!AU24</f>
        <v>266.27</v>
      </c>
      <c r="H15" s="402">
        <f>Data!AV24</f>
        <v>3240</v>
      </c>
      <c r="I15" s="402">
        <f>Data!AW24</f>
        <v>0</v>
      </c>
      <c r="J15" s="402">
        <f>Data!AX24</f>
        <v>266.27</v>
      </c>
      <c r="K15" s="402">
        <f>Data!AY24</f>
        <v>3240</v>
      </c>
      <c r="L15" s="402">
        <f>Data!AZ24</f>
        <v>0</v>
      </c>
      <c r="M15" s="402">
        <f>Data!BA24</f>
        <v>266.27</v>
      </c>
    </row>
    <row r="16" spans="1:13" x14ac:dyDescent="0.25">
      <c r="E16" s="401">
        <f>Data!AS25</f>
        <v>0</v>
      </c>
      <c r="F16" s="401">
        <f>Data!AT25</f>
        <v>0</v>
      </c>
      <c r="G16" s="401">
        <f>Data!AU25</f>
        <v>0</v>
      </c>
      <c r="H16" s="401">
        <f>Data!AV25</f>
        <v>0</v>
      </c>
      <c r="I16" s="401">
        <f>Data!AW25</f>
        <v>0</v>
      </c>
      <c r="J16" s="401">
        <f>Data!AX25</f>
        <v>0</v>
      </c>
      <c r="K16" s="401">
        <f>Data!AY25</f>
        <v>0</v>
      </c>
      <c r="L16" s="401">
        <f>Data!AZ25</f>
        <v>0</v>
      </c>
      <c r="M16" s="401">
        <f>Data!BA25</f>
        <v>0</v>
      </c>
    </row>
    <row r="17" spans="1:13" x14ac:dyDescent="0.25">
      <c r="A17" s="395" t="s">
        <v>265</v>
      </c>
      <c r="E17" s="403">
        <f>Data!AS26</f>
        <v>0</v>
      </c>
      <c r="F17" s="403">
        <f>Data!AT26</f>
        <v>3240</v>
      </c>
      <c r="G17" s="403">
        <f>Data!AU26</f>
        <v>266.27</v>
      </c>
      <c r="H17" s="403">
        <f>Data!AV26</f>
        <v>3240</v>
      </c>
      <c r="I17" s="403">
        <f>Data!AW26</f>
        <v>0</v>
      </c>
      <c r="J17" s="403">
        <f>Data!AX26</f>
        <v>266.27</v>
      </c>
      <c r="K17" s="403">
        <f>Data!AY26</f>
        <v>3240</v>
      </c>
      <c r="L17" s="403">
        <f>Data!AZ26</f>
        <v>0</v>
      </c>
      <c r="M17" s="403">
        <f>Data!BA26</f>
        <v>266.27</v>
      </c>
    </row>
    <row r="18" spans="1:13" x14ac:dyDescent="0.25">
      <c r="E18" s="401">
        <f>Data!AS27</f>
        <v>0</v>
      </c>
      <c r="F18" s="401">
        <f>Data!AT27</f>
        <v>0</v>
      </c>
      <c r="G18" s="401">
        <f>Data!AU27</f>
        <v>0</v>
      </c>
      <c r="H18" s="401">
        <f>Data!AV27</f>
        <v>0</v>
      </c>
      <c r="I18" s="401">
        <f>Data!AW27</f>
        <v>0</v>
      </c>
      <c r="J18" s="401">
        <f>Data!AX27</f>
        <v>0</v>
      </c>
      <c r="K18" s="401">
        <f>Data!AY27</f>
        <v>0</v>
      </c>
      <c r="L18" s="401">
        <f>Data!AZ27</f>
        <v>0</v>
      </c>
      <c r="M18" s="401">
        <f>Data!BA27</f>
        <v>0</v>
      </c>
    </row>
    <row r="19" spans="1:13" x14ac:dyDescent="0.25">
      <c r="A19" s="396" t="s">
        <v>266</v>
      </c>
      <c r="E19" s="399">
        <f>Data!AS28</f>
        <v>2</v>
      </c>
      <c r="F19" s="400">
        <f>Data!AT28</f>
        <v>95381.73</v>
      </c>
      <c r="G19" s="400">
        <f>Data!AU28</f>
        <v>42317.07</v>
      </c>
      <c r="H19" s="400">
        <f>Data!AV28</f>
        <v>96823.299999999988</v>
      </c>
      <c r="I19" s="400">
        <f>Data!AW28</f>
        <v>23300</v>
      </c>
      <c r="J19" s="400">
        <f>Data!AX28</f>
        <v>19841.602513000002</v>
      </c>
      <c r="K19" s="400">
        <f>Data!AY28</f>
        <v>96823.299999999988</v>
      </c>
      <c r="L19" s="400">
        <f>Data!AZ28</f>
        <v>23300</v>
      </c>
      <c r="M19" s="400">
        <f>Data!BA28</f>
        <v>19601.515613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6" orientation="landscape" horizontalDpi="1200" verticalDpi="1200" r:id="rId1"/>
  <headerFooter>
    <oddHeader>&amp;L&amp;"Arial"&amp;14 Lieutenant Governor&amp;R&amp;"Arial"&amp;10 Agency 120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LGAA|0001-00</vt:lpstr>
      <vt:lpstr>Data</vt:lpstr>
      <vt:lpstr>Benefits</vt:lpstr>
      <vt:lpstr>B6</vt:lpstr>
      <vt:lpstr>Summary</vt:lpstr>
      <vt:lpstr>FundSummary</vt:lpstr>
      <vt:lpstr>'LGAA|0001-00'!AdjGroupHlth</vt:lpstr>
      <vt:lpstr>AdjGroupHlth</vt:lpstr>
      <vt:lpstr>'LGAA|0001-00'!AdjGroupSalary</vt:lpstr>
      <vt:lpstr>AdjGroupSalary</vt:lpstr>
      <vt:lpstr>'LGAA|0001-00'!AdjGroupVB</vt:lpstr>
      <vt:lpstr>AdjGroupVB</vt:lpstr>
      <vt:lpstr>'LGAA|0001-00'!AdjGroupVBBY</vt:lpstr>
      <vt:lpstr>AdjGroupVBBY</vt:lpstr>
      <vt:lpstr>'LGAA|0001-00'!AdjPermHlth</vt:lpstr>
      <vt:lpstr>AdjPermHlth</vt:lpstr>
      <vt:lpstr>'LGAA|0001-00'!AdjPermHlthBY</vt:lpstr>
      <vt:lpstr>AdjPermHlthBY</vt:lpstr>
      <vt:lpstr>'LGAA|0001-00'!AdjPermSalary</vt:lpstr>
      <vt:lpstr>AdjPermSalary</vt:lpstr>
      <vt:lpstr>'LGAA|0001-00'!AdjPermVB</vt:lpstr>
      <vt:lpstr>AdjPermVB</vt:lpstr>
      <vt:lpstr>'LGAA|0001-00'!AdjPermVBBY</vt:lpstr>
      <vt:lpstr>AdjPermVBBY</vt:lpstr>
      <vt:lpstr>'LGAA|0001-00'!AdjustedTotal</vt:lpstr>
      <vt:lpstr>AdjustedTotal</vt:lpstr>
      <vt:lpstr>'LGAA|0001-00'!AgencyNum</vt:lpstr>
      <vt:lpstr>AgencyNum</vt:lpstr>
      <vt:lpstr>'LGAA|0001-00'!AppropFTP</vt:lpstr>
      <vt:lpstr>AppropFTP</vt:lpstr>
      <vt:lpstr>'LGAA|0001-00'!AppropTotal</vt:lpstr>
      <vt:lpstr>AppropTotal</vt:lpstr>
      <vt:lpstr>'LGAA|0001-00'!AtZHealth</vt:lpstr>
      <vt:lpstr>AtZHealth</vt:lpstr>
      <vt:lpstr>'LGAA|0001-00'!AtZSalary</vt:lpstr>
      <vt:lpstr>AtZSalary</vt:lpstr>
      <vt:lpstr>'LGAA|0001-00'!AtZTotal</vt:lpstr>
      <vt:lpstr>AtZTotal</vt:lpstr>
      <vt:lpstr>'LGAA|0001-00'!AtZVarBen</vt:lpstr>
      <vt:lpstr>AtZVarBen</vt:lpstr>
      <vt:lpstr>'LGAA|0001-00'!BudgetUnit</vt:lpstr>
      <vt:lpstr>BudgetUnit</vt:lpstr>
      <vt:lpstr>BudgetYear</vt:lpstr>
      <vt:lpstr>CECGroup</vt:lpstr>
      <vt:lpstr>'LGAA|0001-00'!CECOrigElectSalary</vt:lpstr>
      <vt:lpstr>CECOrigElectSalary</vt:lpstr>
      <vt:lpstr>'LGAA|0001-00'!CECOrigElectVB</vt:lpstr>
      <vt:lpstr>CECOrigElectVB</vt:lpstr>
      <vt:lpstr>'LGAA|0001-00'!CECOrigGroupSalary</vt:lpstr>
      <vt:lpstr>CECOrigGroupSalary</vt:lpstr>
      <vt:lpstr>'LGAA|0001-00'!CECOrigGroupVB</vt:lpstr>
      <vt:lpstr>CECOrigGroupVB</vt:lpstr>
      <vt:lpstr>'LGAA|0001-00'!CECOrigPermSalary</vt:lpstr>
      <vt:lpstr>CECOrigPermSalary</vt:lpstr>
      <vt:lpstr>'LGAA|0001-00'!CECOrigPermVB</vt:lpstr>
      <vt:lpstr>CECOrigPermVB</vt:lpstr>
      <vt:lpstr>CECPerm</vt:lpstr>
      <vt:lpstr>'LGAA|0001-00'!CECpermCalc</vt:lpstr>
      <vt:lpstr>CECpermCalc</vt:lpstr>
      <vt:lpstr>'LGAA|0001-00'!Department</vt:lpstr>
      <vt:lpstr>Department</vt:lpstr>
      <vt:lpstr>DHR</vt:lpstr>
      <vt:lpstr>DHRBY</vt:lpstr>
      <vt:lpstr>DHRCHG</vt:lpstr>
      <vt:lpstr>'LGAA|0001-00'!Division</vt:lpstr>
      <vt:lpstr>Division</vt:lpstr>
      <vt:lpstr>'LGAA|0001-00'!DUCECElect</vt:lpstr>
      <vt:lpstr>DUCECElect</vt:lpstr>
      <vt:lpstr>'LGAA|0001-00'!DUCECGroup</vt:lpstr>
      <vt:lpstr>DUCECGroup</vt:lpstr>
      <vt:lpstr>'LGAA|0001-00'!DUCECPerm</vt:lpstr>
      <vt:lpstr>DUCECPerm</vt:lpstr>
      <vt:lpstr>'LGAA|0001-00'!DUEleven</vt:lpstr>
      <vt:lpstr>DUEleven</vt:lpstr>
      <vt:lpstr>'LGAA|0001-00'!DUHealthBen</vt:lpstr>
      <vt:lpstr>DUHealthBen</vt:lpstr>
      <vt:lpstr>'LGAA|0001-00'!DUNine</vt:lpstr>
      <vt:lpstr>DUNine</vt:lpstr>
      <vt:lpstr>'LGAA|0001-00'!DUThirteen</vt:lpstr>
      <vt:lpstr>DUThirteen</vt:lpstr>
      <vt:lpstr>'LGAA|0001-00'!DUVariableBen</vt:lpstr>
      <vt:lpstr>DUVariableBen</vt:lpstr>
      <vt:lpstr>'LGAA|0001-00'!Elect_chg_health</vt:lpstr>
      <vt:lpstr>Elect_chg_health</vt:lpstr>
      <vt:lpstr>'LGAA|0001-00'!Elect_chg_Var</vt:lpstr>
      <vt:lpstr>Elect_chg_Var</vt:lpstr>
      <vt:lpstr>'LGAA|0001-00'!elect_FTP</vt:lpstr>
      <vt:lpstr>elect_FTP</vt:lpstr>
      <vt:lpstr>'LGAA|0001-00'!Elect_health</vt:lpstr>
      <vt:lpstr>Elect_health</vt:lpstr>
      <vt:lpstr>'LGAA|0001-00'!Elect_name</vt:lpstr>
      <vt:lpstr>Elect_name</vt:lpstr>
      <vt:lpstr>'LGAA|0001-00'!Elect_salary</vt:lpstr>
      <vt:lpstr>Elect_salary</vt:lpstr>
      <vt:lpstr>'LGAA|0001-00'!Elect_Var</vt:lpstr>
      <vt:lpstr>Elect_Var</vt:lpstr>
      <vt:lpstr>'LGAA|0001-00'!Elect_VarBen</vt:lpstr>
      <vt:lpstr>Elect_VarBen</vt:lpstr>
      <vt:lpstr>ElectVB</vt:lpstr>
      <vt:lpstr>ElectVBBY</vt:lpstr>
      <vt:lpstr>ElectVBCHG</vt:lpstr>
      <vt:lpstr>FillRate_Avg</vt:lpstr>
      <vt:lpstr>'LGAA|0001-00'!FiscalYear</vt:lpstr>
      <vt:lpstr>FiscalYear</vt:lpstr>
      <vt:lpstr>'LGAA|0001-00'!FundName</vt:lpstr>
      <vt:lpstr>FundName</vt:lpstr>
      <vt:lpstr>'LGAA|0001-00'!FundNum</vt:lpstr>
      <vt:lpstr>FundNum</vt:lpstr>
      <vt:lpstr>'LGAA|0001-00'!FundNumber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'LGAA|0001-00'!Group_name</vt:lpstr>
      <vt:lpstr>Group_name</vt:lpstr>
      <vt:lpstr>'LGAA|0001-00'!GroupFxdBen</vt:lpstr>
      <vt:lpstr>GroupFxdBen</vt:lpstr>
      <vt:lpstr>'LGAA|0001-00'!GroupSalary</vt:lpstr>
      <vt:lpstr>GroupSalary</vt:lpstr>
      <vt:lpstr>'LGAA|0001-00'!GroupVarBen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LGAA000100col_1_27TH_PP</vt:lpstr>
      <vt:lpstr>LGAA000100col_DHR</vt:lpstr>
      <vt:lpstr>LGAA000100col_DHR_BY</vt:lpstr>
      <vt:lpstr>LGAA000100col_DHR_CHG</vt:lpstr>
      <vt:lpstr>LGAA000100col_FTI_SALARY_ELECT</vt:lpstr>
      <vt:lpstr>LGAA000100col_FTI_SALARY_PERM</vt:lpstr>
      <vt:lpstr>LGAA000100col_FTI_SALARY_SSDI</vt:lpstr>
      <vt:lpstr>LGAA000100col_Group_Ben</vt:lpstr>
      <vt:lpstr>LGAA000100col_Group_Salary</vt:lpstr>
      <vt:lpstr>LGAA000100col_HEALTH_ELECT</vt:lpstr>
      <vt:lpstr>LGAA000100col_HEALTH_ELECT_BY</vt:lpstr>
      <vt:lpstr>LGAA000100col_HEALTH_ELECT_CHG</vt:lpstr>
      <vt:lpstr>LGAA000100col_HEALTH_PERM</vt:lpstr>
      <vt:lpstr>LGAA000100col_HEALTH_PERM_BY</vt:lpstr>
      <vt:lpstr>LGAA000100col_HEALTH_PERM_CHG</vt:lpstr>
      <vt:lpstr>LGAA000100col_INC_FTI</vt:lpstr>
      <vt:lpstr>LGAA000100col_LIFE_INS</vt:lpstr>
      <vt:lpstr>LGAA000100col_LIFE_INS_BY</vt:lpstr>
      <vt:lpstr>LGAA000100col_LIFE_INS_CHG</vt:lpstr>
      <vt:lpstr>LGAA000100col_RETIREMENT</vt:lpstr>
      <vt:lpstr>LGAA000100col_RETIREMENT_BY</vt:lpstr>
      <vt:lpstr>LGAA000100col_RETIREMENT_CHG</vt:lpstr>
      <vt:lpstr>LGAA000100col_ROWS_PER_PCN</vt:lpstr>
      <vt:lpstr>LGAA000100col_SICK</vt:lpstr>
      <vt:lpstr>LGAA000100col_SICK_BY</vt:lpstr>
      <vt:lpstr>LGAA000100col_SICK_CHG</vt:lpstr>
      <vt:lpstr>LGAA000100col_SSDI</vt:lpstr>
      <vt:lpstr>LGAA000100col_SSDI_BY</vt:lpstr>
      <vt:lpstr>LGAA000100col_SSDI_CHG</vt:lpstr>
      <vt:lpstr>LGAA000100col_SSHI</vt:lpstr>
      <vt:lpstr>LGAA000100col_SSHI_BY</vt:lpstr>
      <vt:lpstr>LGAA000100col_SSHI_CHGv</vt:lpstr>
      <vt:lpstr>LGAA000100col_TOT_VB_ELECT</vt:lpstr>
      <vt:lpstr>LGAA000100col_TOT_VB_ELECT_BY</vt:lpstr>
      <vt:lpstr>LGAA000100col_TOT_VB_ELECT_CHG</vt:lpstr>
      <vt:lpstr>LGAA000100col_TOT_VB_PERM</vt:lpstr>
      <vt:lpstr>LGAA000100col_TOT_VB_PERM_BY</vt:lpstr>
      <vt:lpstr>LGAA000100col_TOT_VB_PERM_CHG</vt:lpstr>
      <vt:lpstr>LGAA000100col_TOTAL_ELECT_PCN_FTI</vt:lpstr>
      <vt:lpstr>LGAA000100col_TOTAL_ELECT_PCN_FTI_ALT</vt:lpstr>
      <vt:lpstr>LGAA000100col_TOTAL_PERM_PCN_FTI</vt:lpstr>
      <vt:lpstr>LGAA000100col_UNEMP_INS</vt:lpstr>
      <vt:lpstr>LGAA000100col_UNEMP_INS_BY</vt:lpstr>
      <vt:lpstr>LGAA000100col_UNEMP_INS_CHG</vt:lpstr>
      <vt:lpstr>LGAA000100col_WORKERS_COMP</vt:lpstr>
      <vt:lpstr>LGAA000100col_WORKERS_COMP_BY</vt:lpstr>
      <vt:lpstr>LGAA000100col_WORKERS_COMP_CHG</vt:lpstr>
      <vt:lpstr>Life</vt:lpstr>
      <vt:lpstr>LifeBY</vt:lpstr>
      <vt:lpstr>LifeCHG</vt:lpstr>
      <vt:lpstr>'LGAA|0001-00'!LUMAFund</vt:lpstr>
      <vt:lpstr>LUMAFund</vt:lpstr>
      <vt:lpstr>MAXSSDI</vt:lpstr>
      <vt:lpstr>MAXSSDIBY</vt:lpstr>
      <vt:lpstr>'LGAA|0001-00'!NEW_AdjGroup</vt:lpstr>
      <vt:lpstr>NEW_AdjGroup</vt:lpstr>
      <vt:lpstr>'LGAA|0001-00'!NEW_AdjGroupSalary</vt:lpstr>
      <vt:lpstr>NEW_AdjGroupSalary</vt:lpstr>
      <vt:lpstr>'LGAA|0001-00'!NEW_AdjGroupVB</vt:lpstr>
      <vt:lpstr>NEW_AdjGroupVB</vt:lpstr>
      <vt:lpstr>'LGAA|0001-00'!NEW_AdjONLYGroup</vt:lpstr>
      <vt:lpstr>NEW_AdjONLYGroup</vt:lpstr>
      <vt:lpstr>'LGAA|0001-00'!NEW_AdjONLYGroupSalary</vt:lpstr>
      <vt:lpstr>NEW_AdjONLYGroupSalary</vt:lpstr>
      <vt:lpstr>'LGAA|0001-00'!NEW_AdjONLYGroupVB</vt:lpstr>
      <vt:lpstr>NEW_AdjONLYGroupVB</vt:lpstr>
      <vt:lpstr>'LGAA|0001-00'!NEW_AdjONLYPerm</vt:lpstr>
      <vt:lpstr>NEW_AdjONLYPerm</vt:lpstr>
      <vt:lpstr>'LGAA|0001-00'!NEW_AdjONLYPermSalary</vt:lpstr>
      <vt:lpstr>NEW_AdjONLYPermSalary</vt:lpstr>
      <vt:lpstr>'LGAA|0001-00'!NEW_AdjONLYPermVB</vt:lpstr>
      <vt:lpstr>NEW_AdjONLYPermVB</vt:lpstr>
      <vt:lpstr>'LGAA|0001-00'!NEW_AdjPerm</vt:lpstr>
      <vt:lpstr>NEW_AdjPerm</vt:lpstr>
      <vt:lpstr>'LGAA|0001-00'!NEW_AdjPermSalary</vt:lpstr>
      <vt:lpstr>NEW_AdjPermSalary</vt:lpstr>
      <vt:lpstr>'LGAA|0001-00'!NEW_AdjPermVB</vt:lpstr>
      <vt:lpstr>NEW_AdjPermVB</vt:lpstr>
      <vt:lpstr>'LGAA|0001-00'!NEW_GroupFilled</vt:lpstr>
      <vt:lpstr>NEW_GroupFilled</vt:lpstr>
      <vt:lpstr>'LGAA|0001-00'!NEW_GroupSalaryFilled</vt:lpstr>
      <vt:lpstr>NEW_GroupSalaryFilled</vt:lpstr>
      <vt:lpstr>'LGAA|0001-00'!NEW_GroupVBFilled</vt:lpstr>
      <vt:lpstr>NEW_GroupVBFilled</vt:lpstr>
      <vt:lpstr>'LGAA|0001-00'!NEW_PermFilled</vt:lpstr>
      <vt:lpstr>NEW_PermFilled</vt:lpstr>
      <vt:lpstr>'LGAA|0001-00'!NEW_PermSalaryFilled</vt:lpstr>
      <vt:lpstr>NEW_PermSalaryFilled</vt:lpstr>
      <vt:lpstr>'LGAA|0001-00'!NEW_PermVBFilled</vt:lpstr>
      <vt:lpstr>NEW_PermVBFilled</vt:lpstr>
      <vt:lpstr>'LGAA|0001-00'!OneTimePC_Total</vt:lpstr>
      <vt:lpstr>OneTimePC_Total</vt:lpstr>
      <vt:lpstr>'LGAA|0001-00'!OrigApprop</vt:lpstr>
      <vt:lpstr>OrigApprop</vt:lpstr>
      <vt:lpstr>'LGAA|0001-00'!perm_name</vt:lpstr>
      <vt:lpstr>perm_name</vt:lpstr>
      <vt:lpstr>'LGAA|0001-00'!PermFTP</vt:lpstr>
      <vt:lpstr>PermFTP</vt:lpstr>
      <vt:lpstr>'LGAA|0001-00'!PermFxdBen</vt:lpstr>
      <vt:lpstr>PermFxdBen</vt:lpstr>
      <vt:lpstr>'LGAA|0001-00'!PermFxdBenChg</vt:lpstr>
      <vt:lpstr>PermFxdBenChg</vt:lpstr>
      <vt:lpstr>'LGAA|0001-00'!PermFxdChg</vt:lpstr>
      <vt:lpstr>PermFxdChg</vt:lpstr>
      <vt:lpstr>'LGAA|0001-00'!PermSalary</vt:lpstr>
      <vt:lpstr>PermSalary</vt:lpstr>
      <vt:lpstr>'LGAA|0001-00'!PermVarBen</vt:lpstr>
      <vt:lpstr>PermVarBen</vt:lpstr>
      <vt:lpstr>'LGAA|0001-00'!PermVarBenChg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'LGAA|0001-00'!Print_Area</vt:lpstr>
      <vt:lpstr>'LGAA|0001-00'!Prog_Unadjusted_Total</vt:lpstr>
      <vt:lpstr>Prog_Unadjusted_Total</vt:lpstr>
      <vt:lpstr>'LGAA|0001-00'!Program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'LGAA|0001-00'!RoundedAppropSalary</vt:lpstr>
      <vt:lpstr>RoundedAppropSalary</vt:lpstr>
      <vt:lpstr>'LGAA|0001-00'!SalaryChg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130 B6</dc:title>
  <dc:subject>B6</dc:subject>
  <dc:creator>Shane Winslow</dc:creator>
  <cp:lastModifiedBy>Max Flom</cp:lastModifiedBy>
  <cp:lastPrinted>2019-06-21T15:46:35Z</cp:lastPrinted>
  <dcterms:created xsi:type="dcterms:W3CDTF">2013-05-01T19:55:41Z</dcterms:created>
  <dcterms:modified xsi:type="dcterms:W3CDTF">2021-07-15T21:07:12Z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