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BC98D01B-1CAF-4F06-8D09-BE247DD7A86C}" xr6:coauthVersionLast="45" xr6:coauthVersionMax="45" xr10:uidLastSave="{00000000-0000-0000-0000-000000000000}"/>
  <bookViews>
    <workbookView xWindow="-28710" yWindow="1560" windowWidth="27990" windowHeight="14025" xr2:uid="{00000000-000D-0000-FFFF-FFFF00000000}"/>
  </bookViews>
  <sheets>
    <sheet name="SSAA|0001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'SSAA|0001-00'!$H$39</definedName>
    <definedName name="AdjGroupHlth">'B6'!$H$39</definedName>
    <definedName name="AdjGroupSalary" localSheetId="0">'SSAA|0001-00'!$G$39</definedName>
    <definedName name="AdjGroupSalary">'B6'!$G$39</definedName>
    <definedName name="AdjGroupVB" localSheetId="0">'SSAA|0001-00'!$I$39</definedName>
    <definedName name="AdjGroupVB">'B6'!$I$39</definedName>
    <definedName name="AdjGroupVBBY" localSheetId="0">'SSAA|0001-00'!$M$39</definedName>
    <definedName name="AdjGroupVBBY">'B6'!$M$39</definedName>
    <definedName name="AdjPermHlth" localSheetId="0">'SSAA|0001-00'!$H$38</definedName>
    <definedName name="AdjPermHlth">'B6'!$H$38</definedName>
    <definedName name="AdjPermHlthBY" localSheetId="0">'SSAA|0001-00'!$L$38</definedName>
    <definedName name="AdjPermHlthBY">'B6'!$L$38</definedName>
    <definedName name="AdjPermSalary" localSheetId="0">'SSAA|0001-00'!$G$38</definedName>
    <definedName name="AdjPermSalary">'B6'!$G$38</definedName>
    <definedName name="AdjPermVB" localSheetId="0">'SSAA|0001-00'!$I$38</definedName>
    <definedName name="AdjPermVB">'B6'!$I$38</definedName>
    <definedName name="AdjPermVBBY" localSheetId="0">'SSAA|0001-00'!$M$38</definedName>
    <definedName name="AdjPermVBBY">'B6'!$M$38</definedName>
    <definedName name="AdjustedTotal" localSheetId="0">'SSAA|0001-00'!$J$16</definedName>
    <definedName name="AdjustedTotal">'B6'!$J$16</definedName>
    <definedName name="AgencyNum" localSheetId="0">'SSAA|0001-00'!$M$1</definedName>
    <definedName name="AgencyNum">'B6'!$M$1</definedName>
    <definedName name="AppropFTP" localSheetId="0">'SSAA|0001-00'!$F$15</definedName>
    <definedName name="AppropFTP">'B6'!$F$15</definedName>
    <definedName name="AppropTotal" localSheetId="0">'SSAA|0001-00'!$J$15</definedName>
    <definedName name="AppropTotal">'B6'!$J$15</definedName>
    <definedName name="AtZHealth" localSheetId="0">'SSAA|0001-00'!$H$45</definedName>
    <definedName name="AtZHealth">'B6'!$H$45</definedName>
    <definedName name="AtZSalary" localSheetId="0">'SSAA|0001-00'!$G$45</definedName>
    <definedName name="AtZSalary">'B6'!$G$45</definedName>
    <definedName name="AtZTotal" localSheetId="0">'SSAA|0001-00'!$J$45</definedName>
    <definedName name="AtZTotal">'B6'!$J$45</definedName>
    <definedName name="AtZVarBen" localSheetId="0">'SSAA|0001-00'!$I$45</definedName>
    <definedName name="AtZVarBen">'B6'!$I$45</definedName>
    <definedName name="BudgetUnit" localSheetId="0">'SSAA|0001-00'!$M$3</definedName>
    <definedName name="BudgetUnit">'B6'!$M$3</definedName>
    <definedName name="BudgetYear">Benefits!$D$4</definedName>
    <definedName name="CECGroup">Benefits!$C$39</definedName>
    <definedName name="CECOrigElectSalary" localSheetId="0">'SSAA|0001-00'!$G$74</definedName>
    <definedName name="CECOrigElectSalary">'B6'!$G$74</definedName>
    <definedName name="CECOrigElectVB" localSheetId="0">'SSAA|0001-00'!$I$74</definedName>
    <definedName name="CECOrigElectVB">'B6'!$I$74</definedName>
    <definedName name="CECOrigGroupSalary" localSheetId="0">'SSAA|0001-00'!$G$73</definedName>
    <definedName name="CECOrigGroupSalary">'B6'!$G$73</definedName>
    <definedName name="CECOrigGroupVB" localSheetId="0">'SSAA|0001-00'!$I$73</definedName>
    <definedName name="CECOrigGroupVB">'B6'!$I$73</definedName>
    <definedName name="CECOrigPermSalary" localSheetId="0">'SSAA|0001-00'!$G$72</definedName>
    <definedName name="CECOrigPermSalary">'B6'!$G$72</definedName>
    <definedName name="CECOrigPermVB" localSheetId="0">'SSAA|0001-00'!$I$72</definedName>
    <definedName name="CECOrigPermVB">'B6'!$I$72</definedName>
    <definedName name="CECPerm">Benefits!$C$38</definedName>
    <definedName name="CECpermCalc" localSheetId="0">'SSAA|0001-00'!$E$72</definedName>
    <definedName name="CECpermCalc">'B6'!$E$72</definedName>
    <definedName name="Department" localSheetId="0">'SSAA|0001-00'!$D$1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'SSAA|0001-00'!$D$2</definedName>
    <definedName name="Division">'B6'!$D$2</definedName>
    <definedName name="DUCECElect" localSheetId="0">'SSAA|0001-00'!$J$74</definedName>
    <definedName name="DUCECElect">'B6'!$J$74</definedName>
    <definedName name="DUCECGroup" localSheetId="0">'SSAA|0001-00'!$J$73</definedName>
    <definedName name="DUCECGroup">'B6'!$J$73</definedName>
    <definedName name="DUCECPerm" localSheetId="0">'SSAA|0001-00'!$J$72</definedName>
    <definedName name="DUCECPerm">'B6'!$J$72</definedName>
    <definedName name="DUEleven" localSheetId="0">'SSAA|0001-00'!$J$75</definedName>
    <definedName name="DUEleven">'B6'!$J$75</definedName>
    <definedName name="DUHealthBen" localSheetId="0">'SSAA|0001-00'!$J$68</definedName>
    <definedName name="DUHealthBen">'B6'!$J$68</definedName>
    <definedName name="DUNine" localSheetId="0">'SSAA|0001-00'!$J$67</definedName>
    <definedName name="DUNine">'B6'!$J$67</definedName>
    <definedName name="DUThirteen" localSheetId="0">'SSAA|0001-00'!$J$80</definedName>
    <definedName name="DUThirteen">'B6'!$J$80</definedName>
    <definedName name="DUVariableBen" localSheetId="0">'SSAA|0001-00'!$J$69</definedName>
    <definedName name="DUVariableBen">'B6'!$J$69</definedName>
    <definedName name="Elect_chg_health" localSheetId="0">'SSAA|0001-00'!$L$12</definedName>
    <definedName name="Elect_chg_health">'B6'!$L$12</definedName>
    <definedName name="Elect_chg_Var" localSheetId="0">'SSAA|0001-00'!$M$12</definedName>
    <definedName name="Elect_chg_Var">'B6'!$M$12</definedName>
    <definedName name="elect_FTP" localSheetId="0">'SSAA|0001-00'!$F$12</definedName>
    <definedName name="elect_FTP">'B6'!$F$12</definedName>
    <definedName name="Elect_health" localSheetId="0">'SSAA|0001-00'!$H$12</definedName>
    <definedName name="Elect_health">'B6'!$H$12</definedName>
    <definedName name="Elect_name" localSheetId="0">'SSAA|0001-00'!$C$12</definedName>
    <definedName name="Elect_name">'B6'!$C$12</definedName>
    <definedName name="Elect_salary" localSheetId="0">'SSAA|0001-00'!$G$12</definedName>
    <definedName name="Elect_salary">'B6'!$G$12</definedName>
    <definedName name="Elect_Var" localSheetId="0">'SSAA|0001-00'!$I$12</definedName>
    <definedName name="Elect_Var">'B6'!$I$12</definedName>
    <definedName name="Elect_VarBen" localSheetId="0">'SSAA|0001-00'!$I$12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'SSAA|0001-00'!#REF!</definedName>
    <definedName name="FillRateAvg_B6">'B6'!#REF!</definedName>
    <definedName name="FiscalYear" localSheetId="0">'SSAA|0001-00'!$M$4</definedName>
    <definedName name="FiscalYear">'B6'!$M$4</definedName>
    <definedName name="FundName" localSheetId="0">'SSAA|0001-00'!$I$5</definedName>
    <definedName name="FundName">'B6'!$I$5</definedName>
    <definedName name="FundNum" localSheetId="0">'SSAA|0001-00'!$N$5</definedName>
    <definedName name="FundNum">'B6'!$N$5</definedName>
    <definedName name="FundNumber" localSheetId="0">'SSAA|0001-00'!$N$5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'SSAA|0001-00'!$C$11</definedName>
    <definedName name="Group_name">'B6'!$C$11</definedName>
    <definedName name="GroupFxdBen" localSheetId="0">'SSAA|0001-00'!$H$11</definedName>
    <definedName name="GroupFxdBen">'B6'!$H$11</definedName>
    <definedName name="GroupSalary" localSheetId="0">'SSAA|0001-00'!$G$11</definedName>
    <definedName name="GroupSalary">'B6'!$G$11</definedName>
    <definedName name="GroupVarBen" localSheetId="0">'SSAA|0001-00'!$I$11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'SSAA|0001-00'!$M$2</definedName>
    <definedName name="LUMAFund">'B6'!$M$2</definedName>
    <definedName name="MAXSSDI">Benefits!$F$5</definedName>
    <definedName name="MAXSSDIBY">Benefits!$G$5</definedName>
    <definedName name="NEW_AdjGroup" localSheetId="0">'SSAA|0001-00'!$AC$39</definedName>
    <definedName name="NEW_AdjGroup">'B6'!$AC$39</definedName>
    <definedName name="NEW_AdjGroupSalary" localSheetId="0">'SSAA|0001-00'!$AA$39</definedName>
    <definedName name="NEW_AdjGroupSalary">'B6'!$AA$39</definedName>
    <definedName name="NEW_AdjGroupVB" localSheetId="0">'SSAA|0001-00'!$AB$39</definedName>
    <definedName name="NEW_AdjGroupVB">'B6'!$AB$39</definedName>
    <definedName name="NEW_AdjONLYGroup" localSheetId="0">'SSAA|0001-00'!$AC$45</definedName>
    <definedName name="NEW_AdjONLYGroup">'B6'!$AC$45</definedName>
    <definedName name="NEW_AdjONLYGroupSalary" localSheetId="0">'SSAA|0001-00'!$AA$45</definedName>
    <definedName name="NEW_AdjONLYGroupSalary">'B6'!$AA$45</definedName>
    <definedName name="NEW_AdjONLYGroupVB" localSheetId="0">'SSAA|0001-00'!$AB$45</definedName>
    <definedName name="NEW_AdjONLYGroupVB">'B6'!$AB$45</definedName>
    <definedName name="NEW_AdjONLYPerm" localSheetId="0">'SSAA|0001-00'!$AC$44</definedName>
    <definedName name="NEW_AdjONLYPerm">'B6'!$AC$44</definedName>
    <definedName name="NEW_AdjONLYPermSalary" localSheetId="0">'SSAA|0001-00'!$AA$44</definedName>
    <definedName name="NEW_AdjONLYPermSalary">'B6'!$AA$44</definedName>
    <definedName name="NEW_AdjONLYPermVB" localSheetId="0">'SSAA|0001-00'!$AB$44</definedName>
    <definedName name="NEW_AdjONLYPermVB">'B6'!$AB$44</definedName>
    <definedName name="NEW_AdjPerm" localSheetId="0">'SSAA|0001-00'!$AC$38</definedName>
    <definedName name="NEW_AdjPerm">'B6'!$AC$38</definedName>
    <definedName name="NEW_AdjPermSalary" localSheetId="0">'SSAA|0001-00'!$AA$38</definedName>
    <definedName name="NEW_AdjPermSalary">'B6'!$AA$38</definedName>
    <definedName name="NEW_AdjPermVB" localSheetId="0">'SSAA|0001-00'!$AB$38</definedName>
    <definedName name="NEW_AdjPermVB">'B6'!$AB$38</definedName>
    <definedName name="NEW_GroupFilled" localSheetId="0">'SSAA|0001-00'!$AC$11</definedName>
    <definedName name="NEW_GroupFilled">'B6'!$AC$11</definedName>
    <definedName name="NEW_GroupSalaryFilled" localSheetId="0">'SSAA|0001-00'!$AA$11</definedName>
    <definedName name="NEW_GroupSalaryFilled">'B6'!$AA$11</definedName>
    <definedName name="NEW_GroupVBFilled" localSheetId="0">'SSAA|0001-00'!$AB$11</definedName>
    <definedName name="NEW_GroupVBFilled">'B6'!$AB$11</definedName>
    <definedName name="NEW_PermFilled" localSheetId="0">'SSAA|0001-00'!$AC$10</definedName>
    <definedName name="NEW_PermFilled">'B6'!$AC$10</definedName>
    <definedName name="NEW_PermSalaryFilled" localSheetId="0">'SSAA|0001-00'!$AA$10</definedName>
    <definedName name="NEW_PermSalaryFilled">'B6'!$AA$10</definedName>
    <definedName name="NEW_PermVBFilled" localSheetId="0">'SSAA|0001-00'!$AB$10</definedName>
    <definedName name="NEW_PermVBFilled">'B6'!$AB$10</definedName>
    <definedName name="OneTimePC_Total" localSheetId="0">'SSAA|0001-00'!$J$63</definedName>
    <definedName name="OneTimePC_Total">'B6'!$J$63</definedName>
    <definedName name="OrigApprop" localSheetId="0">'SSAA|0001-00'!$E$15</definedName>
    <definedName name="OrigApprop">'B6'!$E$15</definedName>
    <definedName name="perm_name" localSheetId="0">'SSAA|0001-00'!$C$10</definedName>
    <definedName name="perm_name">'B6'!$C$10</definedName>
    <definedName name="PermFTP" localSheetId="0">'SSAA|0001-00'!$F$10</definedName>
    <definedName name="PermFTP">'B6'!$F$10</definedName>
    <definedName name="PermFxdBen" localSheetId="0">'SSAA|0001-00'!$H$10</definedName>
    <definedName name="PermFxdBen">'B6'!$H$10</definedName>
    <definedName name="PermFxdBenChg" localSheetId="0">'SSAA|0001-00'!$L$10</definedName>
    <definedName name="PermFxdBenChg">'B6'!$L$10</definedName>
    <definedName name="PermFxdChg" localSheetId="0">'SSAA|0001-00'!$L$10</definedName>
    <definedName name="PermFxdChg">'B6'!$L$10</definedName>
    <definedName name="PermSalary" localSheetId="0">'SSAA|0001-00'!$G$10</definedName>
    <definedName name="PermSalary">'B6'!$G$10</definedName>
    <definedName name="PermVarBen" localSheetId="0">'SSAA|0001-00'!$I$10</definedName>
    <definedName name="PermVarBen">'B6'!$I$10</definedName>
    <definedName name="PermVarBenChg" localSheetId="0">'SSAA|0001-00'!$M$10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'SSAA|0001-00'!$A$1:$N$81</definedName>
    <definedName name="Prog_Unadjusted_Total" localSheetId="0">'SSAA|0001-00'!$C$8:$N$16</definedName>
    <definedName name="Prog_Unadjusted_Total">'B6'!$C$8:$N$16</definedName>
    <definedName name="Program" localSheetId="0">'SSAA|0001-00'!$D$3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'SSAA|0001-00'!$G$52</definedName>
    <definedName name="RoundedAppropSalary">'B6'!$G$52</definedName>
    <definedName name="SalaryChg" localSheetId="0">'SSAA|0001-00'!$K$10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AA000100col_1_27TH_PP">Data!$BA$38</definedName>
    <definedName name="SSAA000100col_DHR">Data!$BI$38</definedName>
    <definedName name="SSAA000100col_DHR_BY">Data!$BU$38</definedName>
    <definedName name="SSAA000100col_DHR_CHG">Data!$CG$38</definedName>
    <definedName name="SSAA000100col_FTI_SALARY_ELECT">Data!$AZ$38</definedName>
    <definedName name="SSAA000100col_FTI_SALARY_PERM">Data!$AY$38</definedName>
    <definedName name="SSAA000100col_FTI_SALARY_SSDI">Data!$AX$38</definedName>
    <definedName name="SSAA000100col_Group_Ben">Data!$CM$38</definedName>
    <definedName name="SSAA000100col_Group_Salary">Data!$CL$38</definedName>
    <definedName name="SSAA000100col_HEALTH_ELECT">Data!$BC$38</definedName>
    <definedName name="SSAA000100col_HEALTH_ELECT_BY">Data!$BO$38</definedName>
    <definedName name="SSAA000100col_HEALTH_ELECT_CHG">Data!$CA$38</definedName>
    <definedName name="SSAA000100col_HEALTH_PERM">Data!$BB$38</definedName>
    <definedName name="SSAA000100col_HEALTH_PERM_BY">Data!$BN$38</definedName>
    <definedName name="SSAA000100col_HEALTH_PERM_CHG">Data!$BZ$38</definedName>
    <definedName name="SSAA000100col_INC_FTI">Data!$AS$38</definedName>
    <definedName name="SSAA000100col_LIFE_INS">Data!$BG$38</definedName>
    <definedName name="SSAA000100col_LIFE_INS_BY">Data!$BS$38</definedName>
    <definedName name="SSAA000100col_LIFE_INS_CHG">Data!$CE$38</definedName>
    <definedName name="SSAA000100col_RETIREMENT">Data!$BF$38</definedName>
    <definedName name="SSAA000100col_RETIREMENT_BY">Data!$BR$38</definedName>
    <definedName name="SSAA000100col_RETIREMENT_CHG">Data!$CD$38</definedName>
    <definedName name="SSAA000100col_ROWS_PER_PCN">Data!$AW$38</definedName>
    <definedName name="SSAA000100col_SICK">Data!$BK$38</definedName>
    <definedName name="SSAA000100col_SICK_BY">Data!$BW$38</definedName>
    <definedName name="SSAA000100col_SICK_CHG">Data!$CI$38</definedName>
    <definedName name="SSAA000100col_SSDI">Data!$BD$38</definedName>
    <definedName name="SSAA000100col_SSDI_BY">Data!$BP$38</definedName>
    <definedName name="SSAA000100col_SSDI_CHG">Data!$CB$38</definedName>
    <definedName name="SSAA000100col_SSHI">Data!$BE$38</definedName>
    <definedName name="SSAA000100col_SSHI_BY">Data!$BQ$38</definedName>
    <definedName name="SSAA000100col_SSHI_CHGv">Data!$CC$38</definedName>
    <definedName name="SSAA000100col_TOT_VB_ELECT">Data!$BM$38</definedName>
    <definedName name="SSAA000100col_TOT_VB_ELECT_BY">Data!$BY$38</definedName>
    <definedName name="SSAA000100col_TOT_VB_ELECT_CHG">Data!$CK$38</definedName>
    <definedName name="SSAA000100col_TOT_VB_PERM">Data!$BL$38</definedName>
    <definedName name="SSAA000100col_TOT_VB_PERM_BY">Data!$BX$38</definedName>
    <definedName name="SSAA000100col_TOT_VB_PERM_CHG">Data!$CJ$38</definedName>
    <definedName name="SSAA000100col_TOTAL_ELECT_PCN_FTI">Data!$AT$38</definedName>
    <definedName name="SSAA000100col_TOTAL_ELECT_PCN_FTI_ALT">Data!$AV$38</definedName>
    <definedName name="SSAA000100col_TOTAL_PERM_PCN_FTI">Data!$AU$38</definedName>
    <definedName name="SSAA000100col_UNEMP_INS">Data!$BH$38</definedName>
    <definedName name="SSAA000100col_UNEMP_INS_BY">Data!$BT$38</definedName>
    <definedName name="SSAA000100col_UNEMP_INS_CHG">Data!$CF$38</definedName>
    <definedName name="SSAA000100col_WORKERS_COMP">Data!$BJ$38</definedName>
    <definedName name="SSAA000100col_WORKERS_COMP_BY">Data!$BV$38</definedName>
    <definedName name="SSAA000100col_WORKERS_COMP_CHG">Data!$CH$38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'SSAA|0001-00'!#REF!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K17" i="11"/>
  <c r="L17" i="11"/>
  <c r="AZ55" i="5"/>
  <c r="AY55" i="5"/>
  <c r="AW55" i="5"/>
  <c r="AV55" i="5"/>
  <c r="AU55" i="5"/>
  <c r="AT55" i="5"/>
  <c r="AS55" i="5"/>
  <c r="AZ49" i="5"/>
  <c r="AY49" i="5"/>
  <c r="AW49" i="5"/>
  <c r="AV49" i="5"/>
  <c r="AU49" i="5"/>
  <c r="AT49" i="5"/>
  <c r="AS49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N33" i="12" s="1"/>
  <c r="L33" i="12"/>
  <c r="J33" i="12"/>
  <c r="I33" i="12"/>
  <c r="H33" i="12"/>
  <c r="M32" i="12"/>
  <c r="N32" i="12" s="1"/>
  <c r="L32" i="12"/>
  <c r="J32" i="12"/>
  <c r="I32" i="12"/>
  <c r="H32" i="12"/>
  <c r="M30" i="12"/>
  <c r="L30" i="12"/>
  <c r="N30" i="12" s="1"/>
  <c r="J30" i="12"/>
  <c r="I30" i="12"/>
  <c r="H30" i="12"/>
  <c r="M29" i="12"/>
  <c r="L29" i="12"/>
  <c r="J29" i="12"/>
  <c r="I29" i="12"/>
  <c r="H29" i="12"/>
  <c r="M28" i="12"/>
  <c r="N28" i="12" s="1"/>
  <c r="L28" i="12"/>
  <c r="J28" i="12"/>
  <c r="I28" i="12"/>
  <c r="H28" i="12"/>
  <c r="M27" i="12"/>
  <c r="N27" i="12" s="1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N24" i="12" s="1"/>
  <c r="L24" i="12"/>
  <c r="J24" i="12"/>
  <c r="I24" i="12"/>
  <c r="H24" i="12"/>
  <c r="M23" i="12"/>
  <c r="N23" i="12" s="1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N20" i="12" s="1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2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T4" i="5" s="1"/>
  <c r="AS5" i="5"/>
  <c r="AX5" i="5" s="1"/>
  <c r="AS6" i="5"/>
  <c r="AX6" i="5" s="1"/>
  <c r="AS7" i="5"/>
  <c r="AS8" i="5"/>
  <c r="AX8" i="5" s="1"/>
  <c r="AS9" i="5"/>
  <c r="AX9" i="5" s="1"/>
  <c r="AS10" i="5"/>
  <c r="AS11" i="5"/>
  <c r="AX11" i="5" s="1"/>
  <c r="AS12" i="5"/>
  <c r="AT12" i="5" s="1"/>
  <c r="AS13" i="5"/>
  <c r="AX13" i="5" s="1"/>
  <c r="AS14" i="5"/>
  <c r="AX14" i="5" s="1"/>
  <c r="AS15" i="5"/>
  <c r="AS16" i="5"/>
  <c r="AX16" i="5" s="1"/>
  <c r="AS17" i="5"/>
  <c r="AX17" i="5" s="1"/>
  <c r="AS18" i="5"/>
  <c r="AS19" i="5"/>
  <c r="AX19" i="5" s="1"/>
  <c r="AS20" i="5"/>
  <c r="AT20" i="5" s="1"/>
  <c r="AU20" i="5" s="1"/>
  <c r="AS21" i="5"/>
  <c r="AT21" i="5" s="1"/>
  <c r="AS22" i="5"/>
  <c r="AX22" i="5" s="1"/>
  <c r="AS23" i="5"/>
  <c r="AS24" i="5"/>
  <c r="AX24" i="5" s="1"/>
  <c r="AS25" i="5"/>
  <c r="AX25" i="5" s="1"/>
  <c r="AS26" i="5"/>
  <c r="AS27" i="5"/>
  <c r="AX27" i="5" s="1"/>
  <c r="AS28" i="5"/>
  <c r="AX28" i="5" s="1"/>
  <c r="AS29" i="5"/>
  <c r="AX29" i="5" s="1"/>
  <c r="AS30" i="5"/>
  <c r="AS31" i="5"/>
  <c r="AS32" i="5"/>
  <c r="AX32" i="5" s="1"/>
  <c r="AS33" i="5"/>
  <c r="AX33" i="5" s="1"/>
  <c r="AS34" i="5"/>
  <c r="AS2" i="5"/>
  <c r="AT2" i="5" s="1"/>
  <c r="AV2" i="5" s="1"/>
  <c r="N22" i="12" l="1"/>
  <c r="N26" i="12"/>
  <c r="N29" i="12"/>
  <c r="N34" i="12"/>
  <c r="N25" i="12"/>
  <c r="N21" i="12"/>
  <c r="N35" i="12"/>
  <c r="AT46" i="5"/>
  <c r="AT47" i="5" s="1"/>
  <c r="AU46" i="5"/>
  <c r="AU47" i="5" s="1"/>
  <c r="AT9" i="5"/>
  <c r="CG9" i="5" s="1"/>
  <c r="CM37" i="5"/>
  <c r="CM38" i="5" s="1"/>
  <c r="I11" i="12" s="1"/>
  <c r="I39" i="12" s="1"/>
  <c r="AB39" i="12" s="1"/>
  <c r="AT17" i="5"/>
  <c r="CG17" i="5" s="1"/>
  <c r="AT11" i="5"/>
  <c r="AU11" i="5" s="1"/>
  <c r="BN11" i="5" s="1"/>
  <c r="AX2" i="5"/>
  <c r="BD2" i="5" s="1"/>
  <c r="AT3" i="5"/>
  <c r="CF3" i="5" s="1"/>
  <c r="AT33" i="5"/>
  <c r="CF33" i="5" s="1"/>
  <c r="AX12" i="5"/>
  <c r="BD12" i="5" s="1"/>
  <c r="AT27" i="5"/>
  <c r="CK27" i="5" s="1"/>
  <c r="AX20" i="5"/>
  <c r="AT25" i="5"/>
  <c r="CF25" i="5" s="1"/>
  <c r="AX21" i="5"/>
  <c r="BD21" i="5" s="1"/>
  <c r="AT19" i="5"/>
  <c r="CK19" i="5" s="1"/>
  <c r="CL37" i="5"/>
  <c r="CL38" i="5" s="1"/>
  <c r="N39" i="12"/>
  <c r="F52" i="12"/>
  <c r="F56" i="12" s="1"/>
  <c r="F60" i="12" s="1"/>
  <c r="AW37" i="5"/>
  <c r="AW38" i="5" s="1"/>
  <c r="CI11" i="5"/>
  <c r="BV11" i="5"/>
  <c r="CE11" i="5"/>
  <c r="AT24" i="5"/>
  <c r="CA20" i="5"/>
  <c r="BQ20" i="5"/>
  <c r="CK20" i="5"/>
  <c r="CI20" i="5"/>
  <c r="CG20" i="5"/>
  <c r="BW20" i="5"/>
  <c r="CF20" i="5"/>
  <c r="CE20" i="5"/>
  <c r="BU20" i="5"/>
  <c r="CC20" i="5"/>
  <c r="BS20" i="5"/>
  <c r="BV20" i="5"/>
  <c r="BK20" i="5"/>
  <c r="BT20" i="5"/>
  <c r="BF20" i="5"/>
  <c r="BG20" i="5"/>
  <c r="CD20" i="5"/>
  <c r="AV20" i="5"/>
  <c r="BO20" i="5" s="1"/>
  <c r="BY20" i="5"/>
  <c r="BH20" i="5"/>
  <c r="BA20" i="5"/>
  <c r="BR20" i="5"/>
  <c r="BN20" i="5"/>
  <c r="BI20" i="5"/>
  <c r="BE20" i="5"/>
  <c r="BB20" i="5"/>
  <c r="AZ20" i="5"/>
  <c r="AY20" i="5"/>
  <c r="BM20" i="5"/>
  <c r="BJ20" i="5"/>
  <c r="CA12" i="5"/>
  <c r="BQ12" i="5"/>
  <c r="CK12" i="5"/>
  <c r="CI12" i="5"/>
  <c r="CG12" i="5"/>
  <c r="BY12" i="5"/>
  <c r="BW12" i="5"/>
  <c r="CF12" i="5"/>
  <c r="CE12" i="5"/>
  <c r="BU12" i="5"/>
  <c r="CC12" i="5"/>
  <c r="BS12" i="5"/>
  <c r="BK12" i="5"/>
  <c r="BV12" i="5"/>
  <c r="BH12" i="5"/>
  <c r="CD12" i="5"/>
  <c r="BR12" i="5"/>
  <c r="BF12" i="5"/>
  <c r="AV12" i="5"/>
  <c r="BC12" i="5" s="1"/>
  <c r="BJ12" i="5"/>
  <c r="BM12" i="5"/>
  <c r="BG12" i="5"/>
  <c r="BT12" i="5"/>
  <c r="BA12" i="5"/>
  <c r="AZ12" i="5"/>
  <c r="BI12" i="5"/>
  <c r="BE12" i="5"/>
  <c r="AY12" i="5"/>
  <c r="CA4" i="5"/>
  <c r="BQ4" i="5"/>
  <c r="CJ4" i="5"/>
  <c r="CK4" i="5"/>
  <c r="CI4" i="5"/>
  <c r="CH4" i="5"/>
  <c r="CG4" i="5"/>
  <c r="BY4" i="5"/>
  <c r="BW4" i="5"/>
  <c r="CF4" i="5"/>
  <c r="CE4" i="5"/>
  <c r="BU4" i="5"/>
  <c r="CC4" i="5"/>
  <c r="BS4" i="5"/>
  <c r="BV4" i="5"/>
  <c r="BK4" i="5"/>
  <c r="BZ4" i="5"/>
  <c r="BX4" i="5"/>
  <c r="BL4" i="5"/>
  <c r="BE4" i="5"/>
  <c r="BT4" i="5"/>
  <c r="BM4" i="5"/>
  <c r="BH4" i="5"/>
  <c r="AZ4" i="5"/>
  <c r="AY4" i="5"/>
  <c r="AV4" i="5"/>
  <c r="BI4" i="5"/>
  <c r="BF4" i="5"/>
  <c r="BJ4" i="5"/>
  <c r="BR4" i="5"/>
  <c r="BG4" i="5"/>
  <c r="CD4" i="5"/>
  <c r="BA4" i="5"/>
  <c r="AU4" i="5"/>
  <c r="BB4" i="5" s="1"/>
  <c r="AX34" i="5"/>
  <c r="AT34" i="5"/>
  <c r="AT26" i="5"/>
  <c r="AX26" i="5"/>
  <c r="AT18" i="5"/>
  <c r="AX18" i="5"/>
  <c r="AX10" i="5"/>
  <c r="AT10" i="5"/>
  <c r="CA2" i="5"/>
  <c r="CK2" i="5"/>
  <c r="CJ2" i="5"/>
  <c r="CH2" i="5"/>
  <c r="BZ2" i="5"/>
  <c r="BY2" i="5"/>
  <c r="BX2" i="5"/>
  <c r="CI2" i="5"/>
  <c r="CG2" i="5"/>
  <c r="CF2" i="5"/>
  <c r="BV2" i="5"/>
  <c r="CE2" i="5"/>
  <c r="CD2" i="5"/>
  <c r="BR2" i="5"/>
  <c r="BJ2" i="5"/>
  <c r="BL2" i="5"/>
  <c r="BG2" i="5"/>
  <c r="BQ2" i="5"/>
  <c r="BF2" i="5"/>
  <c r="AY2" i="5"/>
  <c r="BU2" i="5"/>
  <c r="BC2" i="5"/>
  <c r="BO2" i="5"/>
  <c r="CC2" i="5"/>
  <c r="BK2" i="5"/>
  <c r="BH2" i="5"/>
  <c r="AU2" i="5"/>
  <c r="BN2" i="5" s="1"/>
  <c r="BW2" i="5"/>
  <c r="BS2" i="5"/>
  <c r="BE2" i="5"/>
  <c r="BT2" i="5"/>
  <c r="BA2" i="5"/>
  <c r="BM2" i="5"/>
  <c r="BI2" i="5"/>
  <c r="AZ2" i="5"/>
  <c r="AT16" i="5"/>
  <c r="AU12" i="5"/>
  <c r="BB12" i="5" s="1"/>
  <c r="AX31" i="5"/>
  <c r="AT31" i="5"/>
  <c r="AX23" i="5"/>
  <c r="AT23" i="5"/>
  <c r="AX15" i="5"/>
  <c r="AT15" i="5"/>
  <c r="AX7" i="5"/>
  <c r="AT7" i="5"/>
  <c r="AT8" i="5"/>
  <c r="AT32" i="5"/>
  <c r="AX30" i="5"/>
  <c r="AT30" i="5"/>
  <c r="CA3" i="5"/>
  <c r="CK3" i="5"/>
  <c r="CC21" i="5"/>
  <c r="BR21" i="5"/>
  <c r="CK21" i="5"/>
  <c r="BY21" i="5"/>
  <c r="CI21" i="5"/>
  <c r="CG21" i="5"/>
  <c r="CF21" i="5"/>
  <c r="BV21" i="5"/>
  <c r="CD21" i="5"/>
  <c r="BT21" i="5"/>
  <c r="BW21" i="5"/>
  <c r="CE21" i="5"/>
  <c r="BU21" i="5"/>
  <c r="BH21" i="5"/>
  <c r="BQ21" i="5"/>
  <c r="BK21" i="5"/>
  <c r="BJ21" i="5"/>
  <c r="CA21" i="5"/>
  <c r="BG21" i="5"/>
  <c r="AU21" i="5"/>
  <c r="BN21" i="5" s="1"/>
  <c r="BA21" i="5"/>
  <c r="BI21" i="5"/>
  <c r="BE21" i="5"/>
  <c r="AZ21" i="5"/>
  <c r="BS21" i="5"/>
  <c r="BF21" i="5"/>
  <c r="AY21" i="5"/>
  <c r="BM21" i="5"/>
  <c r="AV21" i="5"/>
  <c r="BC21" i="5" s="1"/>
  <c r="AT14" i="5"/>
  <c r="AT29" i="5"/>
  <c r="AT13" i="5"/>
  <c r="AT5" i="5"/>
  <c r="AX4" i="5"/>
  <c r="BD4" i="5" s="1"/>
  <c r="AT22" i="5"/>
  <c r="AT6" i="5"/>
  <c r="AT28" i="5"/>
  <c r="C12" i="7"/>
  <c r="G63" i="12" s="1"/>
  <c r="I63" i="12" s="1"/>
  <c r="C13" i="7"/>
  <c r="C14" i="7"/>
  <c r="E51" i="9"/>
  <c r="BY27" i="5" l="1"/>
  <c r="BI9" i="5"/>
  <c r="BR9" i="5"/>
  <c r="BF9" i="5"/>
  <c r="CE9" i="5"/>
  <c r="AV27" i="5"/>
  <c r="BC27" i="5" s="1"/>
  <c r="AU27" i="5"/>
  <c r="BN27" i="5" s="1"/>
  <c r="BG27" i="5"/>
  <c r="BJ27" i="5"/>
  <c r="BA9" i="5"/>
  <c r="BP9" i="5" s="1"/>
  <c r="CD27" i="5"/>
  <c r="BV19" i="5"/>
  <c r="AS46" i="5"/>
  <c r="AS47" i="5" s="1"/>
  <c r="BW3" i="5"/>
  <c r="CI19" i="5"/>
  <c r="AV9" i="5"/>
  <c r="BO9" i="5" s="1"/>
  <c r="BU27" i="5"/>
  <c r="AZ3" i="5"/>
  <c r="BJ9" i="5"/>
  <c r="BP2" i="5"/>
  <c r="BY9" i="5"/>
  <c r="CI27" i="5"/>
  <c r="CD9" i="5"/>
  <c r="BS27" i="5"/>
  <c r="CI3" i="5"/>
  <c r="CA27" i="5"/>
  <c r="BE19" i="5"/>
  <c r="BG3" i="5"/>
  <c r="AY3" i="5"/>
  <c r="BY11" i="5"/>
  <c r="BH19" i="5"/>
  <c r="BE9" i="5"/>
  <c r="CF9" i="5"/>
  <c r="BF27" i="5"/>
  <c r="BK9" i="5"/>
  <c r="BW9" i="5"/>
  <c r="BA27" i="5"/>
  <c r="BP27" i="5" s="1"/>
  <c r="BQ19" i="5"/>
  <c r="BW11" i="5"/>
  <c r="BT19" i="5"/>
  <c r="AY11" i="5"/>
  <c r="CI25" i="5"/>
  <c r="BD27" i="5"/>
  <c r="BJ3" i="5"/>
  <c r="BQ9" i="5"/>
  <c r="BS9" i="5"/>
  <c r="BQ27" i="5"/>
  <c r="BM3" i="5"/>
  <c r="AV25" i="5"/>
  <c r="BC25" i="5" s="1"/>
  <c r="BQ3" i="5"/>
  <c r="BJ25" i="5"/>
  <c r="BT11" i="5"/>
  <c r="BY3" i="5"/>
  <c r="CG25" i="5"/>
  <c r="BD11" i="5"/>
  <c r="CB11" i="5" s="1"/>
  <c r="BA3" i="5"/>
  <c r="BP3" i="5" s="1"/>
  <c r="BR3" i="5"/>
  <c r="AV11" i="5"/>
  <c r="BO11" i="5" s="1"/>
  <c r="BJ11" i="5"/>
  <c r="BA11" i="5"/>
  <c r="BP11" i="5" s="1"/>
  <c r="CA25" i="5"/>
  <c r="BD3" i="5"/>
  <c r="BU3" i="5"/>
  <c r="BW25" i="5"/>
  <c r="BD9" i="5"/>
  <c r="CB9" i="5" s="1"/>
  <c r="BV9" i="5"/>
  <c r="BH27" i="5"/>
  <c r="BI27" i="5"/>
  <c r="AZ19" i="5"/>
  <c r="CA19" i="5"/>
  <c r="BE3" i="5"/>
  <c r="CG3" i="5"/>
  <c r="BH25" i="5"/>
  <c r="AY9" i="5"/>
  <c r="CA9" i="5"/>
  <c r="CI9" i="5"/>
  <c r="AY27" i="5"/>
  <c r="BV27" i="5"/>
  <c r="BJ19" i="5"/>
  <c r="BG9" i="5"/>
  <c r="BH9" i="5"/>
  <c r="CC27" i="5"/>
  <c r="CE27" i="5"/>
  <c r="BD19" i="5"/>
  <c r="BU19" i="5"/>
  <c r="BA33" i="5"/>
  <c r="BK27" i="5"/>
  <c r="BM27" i="5"/>
  <c r="CF27" i="5"/>
  <c r="BW19" i="5"/>
  <c r="CE19" i="5"/>
  <c r="BK19" i="5"/>
  <c r="CF19" i="5"/>
  <c r="BM19" i="5"/>
  <c r="BS19" i="5"/>
  <c r="BY19" i="5"/>
  <c r="AV33" i="5"/>
  <c r="BO33" i="5" s="1"/>
  <c r="CF17" i="5"/>
  <c r="BI3" i="5"/>
  <c r="CE3" i="5"/>
  <c r="BG25" i="5"/>
  <c r="BU9" i="5"/>
  <c r="BM9" i="5"/>
  <c r="CC9" i="5"/>
  <c r="CK9" i="5"/>
  <c r="BT27" i="5"/>
  <c r="BW27" i="5"/>
  <c r="CG27" i="5"/>
  <c r="BA19" i="5"/>
  <c r="BP19" i="5" s="1"/>
  <c r="CC19" i="5"/>
  <c r="CG19" i="5"/>
  <c r="BG19" i="5"/>
  <c r="BI19" i="5"/>
  <c r="CD19" i="5"/>
  <c r="BM33" i="5"/>
  <c r="CG33" i="5"/>
  <c r="BF25" i="5"/>
  <c r="BY25" i="5"/>
  <c r="BR25" i="5"/>
  <c r="BS25" i="5"/>
  <c r="CK25" i="5"/>
  <c r="BU11" i="5"/>
  <c r="BW33" i="5"/>
  <c r="BD25" i="5"/>
  <c r="AY25" i="5"/>
  <c r="CC25" i="5"/>
  <c r="BB11" i="5"/>
  <c r="BZ11" i="5" s="1"/>
  <c r="BQ25" i="5"/>
  <c r="AZ25" i="5"/>
  <c r="CE25" i="5"/>
  <c r="BP21" i="5"/>
  <c r="BX21" i="5" s="1"/>
  <c r="BS3" i="5"/>
  <c r="CC3" i="5"/>
  <c r="BV3" i="5"/>
  <c r="AU25" i="5"/>
  <c r="BN25" i="5" s="1"/>
  <c r="BU25" i="5"/>
  <c r="BV25" i="5"/>
  <c r="AU9" i="5"/>
  <c r="BN9" i="5" s="1"/>
  <c r="AZ9" i="5"/>
  <c r="BT9" i="5"/>
  <c r="AZ27" i="5"/>
  <c r="BE27" i="5"/>
  <c r="BR27" i="5"/>
  <c r="AZ11" i="5"/>
  <c r="CC11" i="5"/>
  <c r="BV33" i="5"/>
  <c r="CI17" i="5"/>
  <c r="BK3" i="5"/>
  <c r="BH3" i="5"/>
  <c r="CD3" i="5"/>
  <c r="BE25" i="5"/>
  <c r="BT25" i="5"/>
  <c r="BA25" i="5"/>
  <c r="BP25" i="5" s="1"/>
  <c r="CD25" i="5"/>
  <c r="AY33" i="5"/>
  <c r="CK33" i="5"/>
  <c r="BF3" i="5"/>
  <c r="BT3" i="5"/>
  <c r="BK25" i="5"/>
  <c r="BI25" i="5"/>
  <c r="BM25" i="5"/>
  <c r="BR33" i="5"/>
  <c r="BE17" i="5"/>
  <c r="BE33" i="5"/>
  <c r="CJ17" i="5"/>
  <c r="BP33" i="5"/>
  <c r="BY33" i="5"/>
  <c r="AY17" i="5"/>
  <c r="BS11" i="5"/>
  <c r="CG11" i="5"/>
  <c r="BT17" i="5"/>
  <c r="BP20" i="5"/>
  <c r="BX20" i="5" s="1"/>
  <c r="AU33" i="5"/>
  <c r="BN33" i="5" s="1"/>
  <c r="BQ33" i="5"/>
  <c r="CE33" i="5"/>
  <c r="BI17" i="5"/>
  <c r="BS33" i="5"/>
  <c r="BU33" i="5"/>
  <c r="CI33" i="5"/>
  <c r="CD17" i="5"/>
  <c r="BK33" i="5"/>
  <c r="CA33" i="5"/>
  <c r="AU17" i="5"/>
  <c r="BN17" i="5" s="1"/>
  <c r="BV17" i="5"/>
  <c r="AS37" i="5"/>
  <c r="AS38" i="5" s="1"/>
  <c r="F10" i="12" s="1"/>
  <c r="BF33" i="5"/>
  <c r="BJ33" i="5"/>
  <c r="CC33" i="5"/>
  <c r="BG17" i="5"/>
  <c r="BQ17" i="5"/>
  <c r="BI11" i="5"/>
  <c r="BK11" i="5"/>
  <c r="CK11" i="5"/>
  <c r="BS17" i="5"/>
  <c r="BR17" i="5"/>
  <c r="BB2" i="5"/>
  <c r="AX37" i="5"/>
  <c r="AX38" i="5" s="1"/>
  <c r="AY19" i="5"/>
  <c r="BF19" i="5"/>
  <c r="BR19" i="5"/>
  <c r="BE11" i="5"/>
  <c r="BG11" i="5"/>
  <c r="CD11" i="5"/>
  <c r="BG33" i="5"/>
  <c r="BD33" i="5"/>
  <c r="BT33" i="5"/>
  <c r="CD33" i="5"/>
  <c r="BU17" i="5"/>
  <c r="BL17" i="5"/>
  <c r="BH11" i="5"/>
  <c r="BF11" i="5"/>
  <c r="CF11" i="5"/>
  <c r="BI33" i="5"/>
  <c r="AZ33" i="5"/>
  <c r="BH33" i="5"/>
  <c r="AZ17" i="5"/>
  <c r="CC17" i="5"/>
  <c r="BD20" i="5"/>
  <c r="BQ11" i="5"/>
  <c r="BM11" i="5"/>
  <c r="BR11" i="5"/>
  <c r="CA11" i="5"/>
  <c r="BJ17" i="5"/>
  <c r="BK17" i="5"/>
  <c r="BH17" i="5"/>
  <c r="CE17" i="5"/>
  <c r="AV17" i="5"/>
  <c r="BC17" i="5" s="1"/>
  <c r="BA17" i="5"/>
  <c r="BP17" i="5" s="1"/>
  <c r="BZ17" i="5"/>
  <c r="BW17" i="5"/>
  <c r="G5" i="10"/>
  <c r="BF17" i="5"/>
  <c r="BD17" i="5"/>
  <c r="BX17" i="5"/>
  <c r="BP12" i="5"/>
  <c r="BX12" i="5" s="1"/>
  <c r="BN4" i="5"/>
  <c r="BO12" i="5"/>
  <c r="G11" i="12"/>
  <c r="E5" i="10"/>
  <c r="AV3" i="5"/>
  <c r="AU3" i="5"/>
  <c r="AU19" i="5"/>
  <c r="AV19" i="5"/>
  <c r="F67" i="12"/>
  <c r="BZ20" i="5"/>
  <c r="BL21" i="5"/>
  <c r="CF32" i="5"/>
  <c r="CE32" i="5"/>
  <c r="BU32" i="5"/>
  <c r="CD32" i="5"/>
  <c r="CC32" i="5"/>
  <c r="CA32" i="5"/>
  <c r="CI32" i="5"/>
  <c r="CG32" i="5"/>
  <c r="BW32" i="5"/>
  <c r="CK32" i="5"/>
  <c r="BY32" i="5"/>
  <c r="BM32" i="5"/>
  <c r="BG32" i="5"/>
  <c r="BT32" i="5"/>
  <c r="BV32" i="5"/>
  <c r="BQ32" i="5"/>
  <c r="BJ32" i="5"/>
  <c r="BE32" i="5"/>
  <c r="AZ32" i="5"/>
  <c r="AY32" i="5"/>
  <c r="BR32" i="5"/>
  <c r="BK32" i="5"/>
  <c r="BD32" i="5"/>
  <c r="BS32" i="5"/>
  <c r="BH32" i="5"/>
  <c r="AV32" i="5"/>
  <c r="BC32" i="5" s="1"/>
  <c r="BI32" i="5"/>
  <c r="BF32" i="5"/>
  <c r="BA32" i="5"/>
  <c r="BP32" i="5" s="1"/>
  <c r="AU32" i="5"/>
  <c r="BN32" i="5" s="1"/>
  <c r="BO4" i="5"/>
  <c r="BO21" i="5"/>
  <c r="CD30" i="5"/>
  <c r="CC30" i="5"/>
  <c r="BS30" i="5"/>
  <c r="CA30" i="5"/>
  <c r="CK30" i="5"/>
  <c r="BY30" i="5"/>
  <c r="CI30" i="5"/>
  <c r="CG30" i="5"/>
  <c r="BW30" i="5"/>
  <c r="CE30" i="5"/>
  <c r="BU30" i="5"/>
  <c r="BT30" i="5"/>
  <c r="BE30" i="5"/>
  <c r="BR30" i="5"/>
  <c r="BH30" i="5"/>
  <c r="BK30" i="5"/>
  <c r="BI30" i="5"/>
  <c r="BA30" i="5"/>
  <c r="BP30" i="5" s="1"/>
  <c r="CF30" i="5"/>
  <c r="BM30" i="5"/>
  <c r="BF30" i="5"/>
  <c r="AZ30" i="5"/>
  <c r="BV30" i="5"/>
  <c r="AY30" i="5"/>
  <c r="BQ30" i="5"/>
  <c r="BJ30" i="5"/>
  <c r="AU30" i="5"/>
  <c r="BN30" i="5" s="1"/>
  <c r="BG30" i="5"/>
  <c r="BD30" i="5"/>
  <c r="AV30" i="5"/>
  <c r="BC30" i="5" s="1"/>
  <c r="CE23" i="5"/>
  <c r="CD23" i="5"/>
  <c r="BT23" i="5"/>
  <c r="CC23" i="5"/>
  <c r="CA23" i="5"/>
  <c r="CK23" i="5"/>
  <c r="BY23" i="5"/>
  <c r="CF23" i="5"/>
  <c r="BV23" i="5"/>
  <c r="BF23" i="5"/>
  <c r="CG23" i="5"/>
  <c r="BW23" i="5"/>
  <c r="BU23" i="5"/>
  <c r="BR23" i="5"/>
  <c r="BJ23" i="5"/>
  <c r="BE23" i="5"/>
  <c r="AY23" i="5"/>
  <c r="BM23" i="5"/>
  <c r="BQ23" i="5"/>
  <c r="BK23" i="5"/>
  <c r="BG23" i="5"/>
  <c r="BD23" i="5"/>
  <c r="BH23" i="5"/>
  <c r="CI23" i="5"/>
  <c r="BA23" i="5"/>
  <c r="BP23" i="5" s="1"/>
  <c r="AV23" i="5"/>
  <c r="BO23" i="5" s="1"/>
  <c r="BS23" i="5"/>
  <c r="BI23" i="5"/>
  <c r="AZ23" i="5"/>
  <c r="AU23" i="5"/>
  <c r="BB23" i="5" s="1"/>
  <c r="CK10" i="5"/>
  <c r="CI10" i="5"/>
  <c r="CG10" i="5"/>
  <c r="BY10" i="5"/>
  <c r="BW10" i="5"/>
  <c r="CF10" i="5"/>
  <c r="CE10" i="5"/>
  <c r="BU10" i="5"/>
  <c r="CD10" i="5"/>
  <c r="CC10" i="5"/>
  <c r="CA10" i="5"/>
  <c r="BQ10" i="5"/>
  <c r="BI10" i="5"/>
  <c r="BT10" i="5"/>
  <c r="BK10" i="5"/>
  <c r="BF10" i="5"/>
  <c r="BR10" i="5"/>
  <c r="BA10" i="5"/>
  <c r="BP10" i="5" s="1"/>
  <c r="BM10" i="5"/>
  <c r="BJ10" i="5"/>
  <c r="BG10" i="5"/>
  <c r="BS10" i="5"/>
  <c r="BD10" i="5"/>
  <c r="BH10" i="5"/>
  <c r="AZ10" i="5"/>
  <c r="AU10" i="5"/>
  <c r="BB10" i="5" s="1"/>
  <c r="BE10" i="5"/>
  <c r="AY10" i="5"/>
  <c r="BV10" i="5"/>
  <c r="AV10" i="5"/>
  <c r="BO10" i="5" s="1"/>
  <c r="BP4" i="5"/>
  <c r="CB4" i="5" s="1"/>
  <c r="BL12" i="5"/>
  <c r="CC5" i="5"/>
  <c r="BR5" i="5"/>
  <c r="CK5" i="5"/>
  <c r="CI5" i="5"/>
  <c r="CG5" i="5"/>
  <c r="BY5" i="5"/>
  <c r="BW5" i="5"/>
  <c r="CF5" i="5"/>
  <c r="BV5" i="5"/>
  <c r="CD5" i="5"/>
  <c r="BT5" i="5"/>
  <c r="BD5" i="5"/>
  <c r="CA5" i="5"/>
  <c r="BU5" i="5"/>
  <c r="BJ5" i="5"/>
  <c r="BQ5" i="5"/>
  <c r="BE5" i="5"/>
  <c r="BS5" i="5"/>
  <c r="BH5" i="5"/>
  <c r="BA5" i="5"/>
  <c r="BP5" i="5" s="1"/>
  <c r="AU5" i="5"/>
  <c r="BN5" i="5" s="1"/>
  <c r="AY5" i="5"/>
  <c r="BI5" i="5"/>
  <c r="BF5" i="5"/>
  <c r="CE5" i="5"/>
  <c r="BM5" i="5"/>
  <c r="AZ5" i="5"/>
  <c r="BK5" i="5"/>
  <c r="BG5" i="5"/>
  <c r="AV5" i="5"/>
  <c r="BO5" i="5" s="1"/>
  <c r="CF8" i="5"/>
  <c r="CE8" i="5"/>
  <c r="BU8" i="5"/>
  <c r="CD8" i="5"/>
  <c r="CC8" i="5"/>
  <c r="CJ8" i="5"/>
  <c r="BX8" i="5"/>
  <c r="CH8" i="5"/>
  <c r="CA8" i="5"/>
  <c r="CK8" i="5"/>
  <c r="CI8" i="5"/>
  <c r="CG8" i="5"/>
  <c r="BY8" i="5"/>
  <c r="BW8" i="5"/>
  <c r="BS8" i="5"/>
  <c r="BG8" i="5"/>
  <c r="BR8" i="5"/>
  <c r="BM8" i="5"/>
  <c r="BI8" i="5"/>
  <c r="BD8" i="5"/>
  <c r="AZ8" i="5"/>
  <c r="AY8" i="5"/>
  <c r="BL8" i="5"/>
  <c r="BK8" i="5"/>
  <c r="BT8" i="5"/>
  <c r="BH8" i="5"/>
  <c r="BE8" i="5"/>
  <c r="BA8" i="5"/>
  <c r="BP8" i="5" s="1"/>
  <c r="BZ8" i="5"/>
  <c r="BQ8" i="5"/>
  <c r="AV8" i="5"/>
  <c r="BC8" i="5" s="1"/>
  <c r="BV8" i="5"/>
  <c r="BF8" i="5"/>
  <c r="AU8" i="5"/>
  <c r="BN8" i="5" s="1"/>
  <c r="BJ8" i="5"/>
  <c r="CC13" i="5"/>
  <c r="BR13" i="5"/>
  <c r="CK13" i="5"/>
  <c r="CI13" i="5"/>
  <c r="CG13" i="5"/>
  <c r="BY13" i="5"/>
  <c r="BW13" i="5"/>
  <c r="CF13" i="5"/>
  <c r="BV13" i="5"/>
  <c r="CD13" i="5"/>
  <c r="BT13" i="5"/>
  <c r="CE13" i="5"/>
  <c r="BD13" i="5"/>
  <c r="BS13" i="5"/>
  <c r="BM13" i="5"/>
  <c r="BE13" i="5"/>
  <c r="CA13" i="5"/>
  <c r="BH13" i="5"/>
  <c r="BI13" i="5"/>
  <c r="AY13" i="5"/>
  <c r="BU13" i="5"/>
  <c r="AU13" i="5"/>
  <c r="BB13" i="5" s="1"/>
  <c r="BJ13" i="5"/>
  <c r="BK13" i="5"/>
  <c r="BG13" i="5"/>
  <c r="BA13" i="5"/>
  <c r="BP13" i="5" s="1"/>
  <c r="AV13" i="5"/>
  <c r="BC13" i="5" s="1"/>
  <c r="BQ13" i="5"/>
  <c r="AZ13" i="5"/>
  <c r="BF13" i="5"/>
  <c r="CE31" i="5"/>
  <c r="CD31" i="5"/>
  <c r="BT31" i="5"/>
  <c r="CC31" i="5"/>
  <c r="CA31" i="5"/>
  <c r="CK31" i="5"/>
  <c r="BZ31" i="5"/>
  <c r="BY31" i="5"/>
  <c r="CJ31" i="5"/>
  <c r="CH31" i="5"/>
  <c r="CF31" i="5"/>
  <c r="BX31" i="5"/>
  <c r="BV31" i="5"/>
  <c r="BU31" i="5"/>
  <c r="BF31" i="5"/>
  <c r="BS31" i="5"/>
  <c r="AY31" i="5"/>
  <c r="BH31" i="5"/>
  <c r="BR31" i="5"/>
  <c r="BK31" i="5"/>
  <c r="BG31" i="5"/>
  <c r="BD31" i="5"/>
  <c r="CG31" i="5"/>
  <c r="BW31" i="5"/>
  <c r="BE31" i="5"/>
  <c r="BI31" i="5"/>
  <c r="BA31" i="5"/>
  <c r="BP31" i="5" s="1"/>
  <c r="BM31" i="5"/>
  <c r="BL31" i="5"/>
  <c r="AZ31" i="5"/>
  <c r="AV31" i="5"/>
  <c r="BO31" i="5" s="1"/>
  <c r="CI31" i="5"/>
  <c r="BQ31" i="5"/>
  <c r="BJ31" i="5"/>
  <c r="AU31" i="5"/>
  <c r="BN31" i="5" s="1"/>
  <c r="BC4" i="5"/>
  <c r="CC29" i="5"/>
  <c r="BR29" i="5"/>
  <c r="CK29" i="5"/>
  <c r="BZ29" i="5"/>
  <c r="BY29" i="5"/>
  <c r="CI29" i="5"/>
  <c r="CG29" i="5"/>
  <c r="CF29" i="5"/>
  <c r="BV29" i="5"/>
  <c r="CD29" i="5"/>
  <c r="BT29" i="5"/>
  <c r="BS29" i="5"/>
  <c r="BD29" i="5"/>
  <c r="CJ29" i="5"/>
  <c r="BQ29" i="5"/>
  <c r="BK29" i="5"/>
  <c r="BF29" i="5"/>
  <c r="CH29" i="5"/>
  <c r="BH29" i="5"/>
  <c r="AU29" i="5"/>
  <c r="BN29" i="5" s="1"/>
  <c r="BW29" i="5"/>
  <c r="BI29" i="5"/>
  <c r="BE29" i="5"/>
  <c r="BA29" i="5"/>
  <c r="BP29" i="5" s="1"/>
  <c r="CA29" i="5"/>
  <c r="BM29" i="5"/>
  <c r="AZ29" i="5"/>
  <c r="BX29" i="5"/>
  <c r="BL29" i="5"/>
  <c r="AY29" i="5"/>
  <c r="BJ29" i="5"/>
  <c r="CE29" i="5"/>
  <c r="BG29" i="5"/>
  <c r="AV29" i="5"/>
  <c r="BO29" i="5" s="1"/>
  <c r="BU29" i="5"/>
  <c r="BB21" i="5"/>
  <c r="BZ21" i="5" s="1"/>
  <c r="AT37" i="5"/>
  <c r="AT38" i="5" s="1"/>
  <c r="CK18" i="5"/>
  <c r="BY18" i="5"/>
  <c r="CI18" i="5"/>
  <c r="CG18" i="5"/>
  <c r="BW18" i="5"/>
  <c r="CF18" i="5"/>
  <c r="CE18" i="5"/>
  <c r="BU18" i="5"/>
  <c r="CD18" i="5"/>
  <c r="CC18" i="5"/>
  <c r="CA18" i="5"/>
  <c r="BQ18" i="5"/>
  <c r="BS18" i="5"/>
  <c r="BI18" i="5"/>
  <c r="BR18" i="5"/>
  <c r="BT18" i="5"/>
  <c r="BD18" i="5"/>
  <c r="BA18" i="5"/>
  <c r="BP18" i="5" s="1"/>
  <c r="BV18" i="5"/>
  <c r="BK18" i="5"/>
  <c r="BH18" i="5"/>
  <c r="BE18" i="5"/>
  <c r="AZ18" i="5"/>
  <c r="AY18" i="5"/>
  <c r="BM18" i="5"/>
  <c r="AU18" i="5"/>
  <c r="BN18" i="5" s="1"/>
  <c r="BF18" i="5"/>
  <c r="BJ18" i="5"/>
  <c r="BG18" i="5"/>
  <c r="AV18" i="5"/>
  <c r="BO18" i="5" s="1"/>
  <c r="BN12" i="5"/>
  <c r="BZ12" i="5" s="1"/>
  <c r="CF24" i="5"/>
  <c r="CE24" i="5"/>
  <c r="BU24" i="5"/>
  <c r="CD24" i="5"/>
  <c r="CC24" i="5"/>
  <c r="CA24" i="5"/>
  <c r="CI24" i="5"/>
  <c r="CG24" i="5"/>
  <c r="BW24" i="5"/>
  <c r="BM24" i="5"/>
  <c r="BG24" i="5"/>
  <c r="BY24" i="5"/>
  <c r="AZ24" i="5"/>
  <c r="BR24" i="5"/>
  <c r="BJ24" i="5"/>
  <c r="BE24" i="5"/>
  <c r="AY24" i="5"/>
  <c r="BS24" i="5"/>
  <c r="BI24" i="5"/>
  <c r="BF24" i="5"/>
  <c r="BT24" i="5"/>
  <c r="BV24" i="5"/>
  <c r="BQ24" i="5"/>
  <c r="BK24" i="5"/>
  <c r="BD24" i="5"/>
  <c r="AV24" i="5"/>
  <c r="BO24" i="5" s="1"/>
  <c r="CK24" i="5"/>
  <c r="BH24" i="5"/>
  <c r="AU24" i="5"/>
  <c r="BB24" i="5" s="1"/>
  <c r="BA24" i="5"/>
  <c r="BP24" i="5" s="1"/>
  <c r="BO27" i="5"/>
  <c r="CE7" i="5"/>
  <c r="CD7" i="5"/>
  <c r="BT7" i="5"/>
  <c r="CC7" i="5"/>
  <c r="CA7" i="5"/>
  <c r="CF7" i="5"/>
  <c r="BV7" i="5"/>
  <c r="BR7" i="5"/>
  <c r="BM7" i="5"/>
  <c r="BF7" i="5"/>
  <c r="BQ7" i="5"/>
  <c r="CI7" i="5"/>
  <c r="AY7" i="5"/>
  <c r="BG7" i="5"/>
  <c r="BY7" i="5"/>
  <c r="CG7" i="5"/>
  <c r="BS7" i="5"/>
  <c r="BK7" i="5"/>
  <c r="BD7" i="5"/>
  <c r="BH7" i="5"/>
  <c r="BE7" i="5"/>
  <c r="BA7" i="5"/>
  <c r="BP7" i="5" s="1"/>
  <c r="CK7" i="5"/>
  <c r="AZ7" i="5"/>
  <c r="BI7" i="5"/>
  <c r="BW7" i="5"/>
  <c r="BU7" i="5"/>
  <c r="BJ7" i="5"/>
  <c r="AV7" i="5"/>
  <c r="BO7" i="5" s="1"/>
  <c r="AU7" i="5"/>
  <c r="BB7" i="5" s="1"/>
  <c r="BC20" i="5"/>
  <c r="CA28" i="5"/>
  <c r="BQ28" i="5"/>
  <c r="CK28" i="5"/>
  <c r="CI28" i="5"/>
  <c r="CG28" i="5"/>
  <c r="BW28" i="5"/>
  <c r="CF28" i="5"/>
  <c r="CE28" i="5"/>
  <c r="CC28" i="5"/>
  <c r="BS28" i="5"/>
  <c r="BR28" i="5"/>
  <c r="BK28" i="5"/>
  <c r="CD28" i="5"/>
  <c r="BF28" i="5"/>
  <c r="BY28" i="5"/>
  <c r="BI28" i="5"/>
  <c r="BH28" i="5"/>
  <c r="BE28" i="5"/>
  <c r="BA28" i="5"/>
  <c r="BP28" i="5" s="1"/>
  <c r="AV28" i="5"/>
  <c r="BC28" i="5" s="1"/>
  <c r="BM28" i="5"/>
  <c r="AZ28" i="5"/>
  <c r="AY28" i="5"/>
  <c r="BV28" i="5"/>
  <c r="BJ28" i="5"/>
  <c r="BT28" i="5"/>
  <c r="BG28" i="5"/>
  <c r="BU28" i="5"/>
  <c r="BD28" i="5"/>
  <c r="AU28" i="5"/>
  <c r="BB28" i="5" s="1"/>
  <c r="CB2" i="5"/>
  <c r="CK26" i="5"/>
  <c r="BY26" i="5"/>
  <c r="CI26" i="5"/>
  <c r="CG26" i="5"/>
  <c r="BW26" i="5"/>
  <c r="CF26" i="5"/>
  <c r="CE26" i="5"/>
  <c r="CD26" i="5"/>
  <c r="CC26" i="5"/>
  <c r="CA26" i="5"/>
  <c r="BQ26" i="5"/>
  <c r="BI26" i="5"/>
  <c r="BS26" i="5"/>
  <c r="BM26" i="5"/>
  <c r="BD26" i="5"/>
  <c r="BG26" i="5"/>
  <c r="BA26" i="5"/>
  <c r="BP26" i="5" s="1"/>
  <c r="AZ26" i="5"/>
  <c r="BF26" i="5"/>
  <c r="BV26" i="5"/>
  <c r="BT26" i="5"/>
  <c r="BJ26" i="5"/>
  <c r="BU26" i="5"/>
  <c r="AU26" i="5"/>
  <c r="BN26" i="5" s="1"/>
  <c r="BK26" i="5"/>
  <c r="BH26" i="5"/>
  <c r="AY26" i="5"/>
  <c r="BR26" i="5"/>
  <c r="BE26" i="5"/>
  <c r="AV26" i="5"/>
  <c r="BC26" i="5" s="1"/>
  <c r="CD14" i="5"/>
  <c r="CC14" i="5"/>
  <c r="BS14" i="5"/>
  <c r="CA14" i="5"/>
  <c r="CK14" i="5"/>
  <c r="CI14" i="5"/>
  <c r="CG14" i="5"/>
  <c r="BY14" i="5"/>
  <c r="BW14" i="5"/>
  <c r="CE14" i="5"/>
  <c r="BU14" i="5"/>
  <c r="BE14" i="5"/>
  <c r="CF14" i="5"/>
  <c r="BJ14" i="5"/>
  <c r="BV14" i="5"/>
  <c r="BM14" i="5"/>
  <c r="BQ14" i="5"/>
  <c r="AZ14" i="5"/>
  <c r="BR14" i="5"/>
  <c r="BI14" i="5"/>
  <c r="BF14" i="5"/>
  <c r="BK14" i="5"/>
  <c r="BG14" i="5"/>
  <c r="BD14" i="5"/>
  <c r="BT14" i="5"/>
  <c r="BH14" i="5"/>
  <c r="AU14" i="5"/>
  <c r="BN14" i="5" s="1"/>
  <c r="BA14" i="5"/>
  <c r="BP14" i="5" s="1"/>
  <c r="AV14" i="5"/>
  <c r="BO14" i="5" s="1"/>
  <c r="AY14" i="5"/>
  <c r="CD6" i="5"/>
  <c r="CC6" i="5"/>
  <c r="BS6" i="5"/>
  <c r="CJ6" i="5"/>
  <c r="CA6" i="5"/>
  <c r="BX6" i="5"/>
  <c r="CH6" i="5"/>
  <c r="BZ6" i="5"/>
  <c r="CK6" i="5"/>
  <c r="CI6" i="5"/>
  <c r="CG6" i="5"/>
  <c r="BY6" i="5"/>
  <c r="BW6" i="5"/>
  <c r="CE6" i="5"/>
  <c r="BU6" i="5"/>
  <c r="BQ6" i="5"/>
  <c r="BE6" i="5"/>
  <c r="BV6" i="5"/>
  <c r="BG6" i="5"/>
  <c r="BL6" i="5"/>
  <c r="BJ6" i="5"/>
  <c r="BK6" i="5"/>
  <c r="BD6" i="5"/>
  <c r="BH6" i="5"/>
  <c r="BT6" i="5"/>
  <c r="AZ6" i="5"/>
  <c r="CF6" i="5"/>
  <c r="AY6" i="5"/>
  <c r="BI6" i="5"/>
  <c r="BF6" i="5"/>
  <c r="BA6" i="5"/>
  <c r="BP6" i="5" s="1"/>
  <c r="BR6" i="5"/>
  <c r="BM6" i="5"/>
  <c r="AV6" i="5"/>
  <c r="AU6" i="5"/>
  <c r="BN6" i="5" s="1"/>
  <c r="CB21" i="5"/>
  <c r="CD22" i="5"/>
  <c r="CC22" i="5"/>
  <c r="BS22" i="5"/>
  <c r="CA22" i="5"/>
  <c r="CK22" i="5"/>
  <c r="BY22" i="5"/>
  <c r="CI22" i="5"/>
  <c r="CG22" i="5"/>
  <c r="BW22" i="5"/>
  <c r="CE22" i="5"/>
  <c r="BU22" i="5"/>
  <c r="BE22" i="5"/>
  <c r="BV22" i="5"/>
  <c r="CF22" i="5"/>
  <c r="BH22" i="5"/>
  <c r="BT22" i="5"/>
  <c r="BM22" i="5"/>
  <c r="BJ22" i="5"/>
  <c r="BQ22" i="5"/>
  <c r="BK22" i="5"/>
  <c r="BG22" i="5"/>
  <c r="BD22" i="5"/>
  <c r="BR22" i="5"/>
  <c r="BA22" i="5"/>
  <c r="BP22" i="5" s="1"/>
  <c r="BI22" i="5"/>
  <c r="AZ22" i="5"/>
  <c r="BF22" i="5"/>
  <c r="AY22" i="5"/>
  <c r="AV22" i="5"/>
  <c r="BC22" i="5" s="1"/>
  <c r="AU22" i="5"/>
  <c r="BB22" i="5" s="1"/>
  <c r="CE15" i="5"/>
  <c r="CD15" i="5"/>
  <c r="BT15" i="5"/>
  <c r="CC15" i="5"/>
  <c r="CA15" i="5"/>
  <c r="CF15" i="5"/>
  <c r="BV15" i="5"/>
  <c r="CG15" i="5"/>
  <c r="BM15" i="5"/>
  <c r="BF15" i="5"/>
  <c r="BG15" i="5"/>
  <c r="AY15" i="5"/>
  <c r="CI15" i="5"/>
  <c r="BS15" i="5"/>
  <c r="BJ15" i="5"/>
  <c r="BE15" i="5"/>
  <c r="BW15" i="5"/>
  <c r="BA15" i="5"/>
  <c r="BP15" i="5" s="1"/>
  <c r="BQ15" i="5"/>
  <c r="BY15" i="5"/>
  <c r="BU15" i="5"/>
  <c r="BR15" i="5"/>
  <c r="BI15" i="5"/>
  <c r="CK15" i="5"/>
  <c r="BK15" i="5"/>
  <c r="BD15" i="5"/>
  <c r="AV15" i="5"/>
  <c r="BO15" i="5" s="1"/>
  <c r="BH15" i="5"/>
  <c r="AU15" i="5"/>
  <c r="BN15" i="5" s="1"/>
  <c r="AZ15" i="5"/>
  <c r="CF16" i="5"/>
  <c r="CE16" i="5"/>
  <c r="BU16" i="5"/>
  <c r="CD16" i="5"/>
  <c r="CC16" i="5"/>
  <c r="CA16" i="5"/>
  <c r="CK16" i="5"/>
  <c r="CI16" i="5"/>
  <c r="CG16" i="5"/>
  <c r="BY16" i="5"/>
  <c r="BW16" i="5"/>
  <c r="BQ16" i="5"/>
  <c r="BG16" i="5"/>
  <c r="BM16" i="5"/>
  <c r="AZ16" i="5"/>
  <c r="AY16" i="5"/>
  <c r="BV16" i="5"/>
  <c r="BH16" i="5"/>
  <c r="BE16" i="5"/>
  <c r="BR16" i="5"/>
  <c r="BI16" i="5"/>
  <c r="BF16" i="5"/>
  <c r="BS16" i="5"/>
  <c r="BJ16" i="5"/>
  <c r="AV16" i="5"/>
  <c r="BC16" i="5" s="1"/>
  <c r="AU16" i="5"/>
  <c r="BB16" i="5" s="1"/>
  <c r="BT16" i="5"/>
  <c r="BK16" i="5"/>
  <c r="BD16" i="5"/>
  <c r="BA16" i="5"/>
  <c r="BP16" i="5" s="1"/>
  <c r="CK34" i="5"/>
  <c r="CJ34" i="5"/>
  <c r="CH34" i="5"/>
  <c r="BZ34" i="5"/>
  <c r="BY34" i="5"/>
  <c r="BX34" i="5"/>
  <c r="CI34" i="5"/>
  <c r="CG34" i="5"/>
  <c r="BW34" i="5"/>
  <c r="CF34" i="5"/>
  <c r="CE34" i="5"/>
  <c r="CD34" i="5"/>
  <c r="CC34" i="5"/>
  <c r="CA34" i="5"/>
  <c r="BQ34" i="5"/>
  <c r="BI34" i="5"/>
  <c r="BL34" i="5"/>
  <c r="BG34" i="5"/>
  <c r="BV34" i="5"/>
  <c r="BT34" i="5"/>
  <c r="BA34" i="5"/>
  <c r="BP34" i="5" s="1"/>
  <c r="BU34" i="5"/>
  <c r="BJ34" i="5"/>
  <c r="BR34" i="5"/>
  <c r="BK34" i="5"/>
  <c r="BH34" i="5"/>
  <c r="BD34" i="5"/>
  <c r="BS34" i="5"/>
  <c r="BE34" i="5"/>
  <c r="AU34" i="5"/>
  <c r="BB34" i="5" s="1"/>
  <c r="BM34" i="5"/>
  <c r="AZ34" i="5"/>
  <c r="BF34" i="5"/>
  <c r="AY34" i="5"/>
  <c r="AV34" i="5"/>
  <c r="BO34" i="5" s="1"/>
  <c r="D14" i="7"/>
  <c r="BB27" i="5" l="1"/>
  <c r="BZ27" i="5" s="1"/>
  <c r="AV46" i="5"/>
  <c r="AV47" i="5" s="1"/>
  <c r="AY46" i="5"/>
  <c r="AY47" i="5" s="1"/>
  <c r="CB33" i="5"/>
  <c r="BC9" i="5"/>
  <c r="BC33" i="5"/>
  <c r="BL25" i="5"/>
  <c r="BX19" i="5"/>
  <c r="BL27" i="5"/>
  <c r="CB3" i="5"/>
  <c r="CB27" i="5"/>
  <c r="CB20" i="5"/>
  <c r="BC11" i="5"/>
  <c r="BM17" i="5"/>
  <c r="CB25" i="5"/>
  <c r="BL19" i="5"/>
  <c r="BL9" i="5"/>
  <c r="BX3" i="5"/>
  <c r="BB25" i="5"/>
  <c r="BZ25" i="5" s="1"/>
  <c r="CB19" i="5"/>
  <c r="BO25" i="5"/>
  <c r="BX27" i="5"/>
  <c r="BX11" i="5"/>
  <c r="BL3" i="5"/>
  <c r="CB12" i="5"/>
  <c r="BO17" i="5"/>
  <c r="CA17" i="5" s="1"/>
  <c r="CA37" i="5" s="1"/>
  <c r="CA38" i="5" s="1"/>
  <c r="BX9" i="5"/>
  <c r="BX25" i="5"/>
  <c r="BL11" i="5"/>
  <c r="CB30" i="5"/>
  <c r="BB9" i="5"/>
  <c r="BZ9" i="5" s="1"/>
  <c r="BO8" i="5"/>
  <c r="BX33" i="5"/>
  <c r="BB33" i="5"/>
  <c r="BZ33" i="5" s="1"/>
  <c r="D4" i="10"/>
  <c r="BB14" i="5"/>
  <c r="BZ14" i="5" s="1"/>
  <c r="BB17" i="5"/>
  <c r="BB8" i="5"/>
  <c r="BL20" i="5"/>
  <c r="H5" i="10"/>
  <c r="CB17" i="5"/>
  <c r="BL33" i="5"/>
  <c r="BO26" i="5"/>
  <c r="BY17" i="5"/>
  <c r="BY37" i="5" s="1"/>
  <c r="BY38" i="5" s="1"/>
  <c r="BB29" i="5"/>
  <c r="CB14" i="5"/>
  <c r="BO16" i="5"/>
  <c r="BU37" i="5"/>
  <c r="BU38" i="5" s="1"/>
  <c r="CB28" i="5"/>
  <c r="BB31" i="5"/>
  <c r="BC29" i="5"/>
  <c r="CB15" i="5"/>
  <c r="BC34" i="5"/>
  <c r="CB24" i="5"/>
  <c r="BC18" i="5"/>
  <c r="CB32" i="5"/>
  <c r="BO32" i="5"/>
  <c r="BN16" i="5"/>
  <c r="BZ16" i="5" s="1"/>
  <c r="BB15" i="5"/>
  <c r="BZ15" i="5" s="1"/>
  <c r="AZ37" i="5"/>
  <c r="AZ38" i="5" s="1"/>
  <c r="BA37" i="5"/>
  <c r="BA38" i="5" s="1"/>
  <c r="BC3" i="5"/>
  <c r="BO3" i="5"/>
  <c r="BL22" i="5"/>
  <c r="F12" i="12"/>
  <c r="F40" i="12" s="1"/>
  <c r="D6" i="10"/>
  <c r="CB23" i="5"/>
  <c r="BC23" i="5"/>
  <c r="F38" i="12"/>
  <c r="AA11" i="12"/>
  <c r="J11" i="12"/>
  <c r="G39" i="12"/>
  <c r="AB11" i="12"/>
  <c r="AB45" i="12" s="1"/>
  <c r="BE37" i="5"/>
  <c r="BE38" i="5" s="1"/>
  <c r="BN34" i="5"/>
  <c r="CB16" i="5"/>
  <c r="BN22" i="5"/>
  <c r="BZ22" i="5" s="1"/>
  <c r="BC31" i="5"/>
  <c r="BC5" i="5"/>
  <c r="BO19" i="5"/>
  <c r="BC19" i="5"/>
  <c r="CB7" i="5"/>
  <c r="BO13" i="5"/>
  <c r="BB19" i="5"/>
  <c r="BN19" i="5"/>
  <c r="BC7" i="5"/>
  <c r="BB6" i="5"/>
  <c r="AV37" i="5"/>
  <c r="AV38" i="5" s="1"/>
  <c r="AY37" i="5"/>
  <c r="AY38" i="5" s="1"/>
  <c r="BC10" i="5"/>
  <c r="BN3" i="5"/>
  <c r="BB3" i="5"/>
  <c r="BX15" i="5"/>
  <c r="BK37" i="5"/>
  <c r="BK38" i="5" s="1"/>
  <c r="CD37" i="5"/>
  <c r="CD38" i="5" s="1"/>
  <c r="CB18" i="5"/>
  <c r="CB31" i="5"/>
  <c r="BD37" i="5"/>
  <c r="BD38" i="5" s="1"/>
  <c r="BI37" i="5"/>
  <c r="BI38" i="5" s="1"/>
  <c r="CI37" i="5"/>
  <c r="CI38" i="5" s="1"/>
  <c r="CG37" i="5"/>
  <c r="CG38" i="5" s="1"/>
  <c r="CB34" i="5"/>
  <c r="CB22" i="5"/>
  <c r="CE37" i="5"/>
  <c r="CE38" i="5" s="1"/>
  <c r="BL24" i="5"/>
  <c r="CB29" i="5"/>
  <c r="CB13" i="5"/>
  <c r="F75" i="12"/>
  <c r="F80" i="12" s="1"/>
  <c r="BW37" i="5"/>
  <c r="BW38" i="5" s="1"/>
  <c r="BF37" i="5"/>
  <c r="BF38" i="5" s="1"/>
  <c r="BQ37" i="5"/>
  <c r="BQ38" i="5" s="1"/>
  <c r="BR37" i="5"/>
  <c r="BR38" i="5" s="1"/>
  <c r="BL32" i="5"/>
  <c r="BG37" i="5"/>
  <c r="BG38" i="5" s="1"/>
  <c r="BJ37" i="5"/>
  <c r="BJ38" i="5" s="1"/>
  <c r="CC37" i="5"/>
  <c r="CC38" i="5" s="1"/>
  <c r="CB10" i="5"/>
  <c r="CF37" i="5"/>
  <c r="CF38" i="5" s="1"/>
  <c r="BM37" i="5"/>
  <c r="BM38" i="5" s="1"/>
  <c r="BT37" i="5"/>
  <c r="BT38" i="5" s="1"/>
  <c r="CB6" i="5"/>
  <c r="CB26" i="5"/>
  <c r="BS37" i="5"/>
  <c r="BS38" i="5" s="1"/>
  <c r="BH37" i="5"/>
  <c r="BH38" i="5" s="1"/>
  <c r="BB26" i="5"/>
  <c r="BZ26" i="5" s="1"/>
  <c r="BO22" i="5"/>
  <c r="BL7" i="5"/>
  <c r="BB18" i="5"/>
  <c r="BZ18" i="5" s="1"/>
  <c r="BN28" i="5"/>
  <c r="BZ28" i="5" s="1"/>
  <c r="BX7" i="5"/>
  <c r="BO28" i="5"/>
  <c r="BC24" i="5"/>
  <c r="BN10" i="5"/>
  <c r="BZ10" i="5" s="1"/>
  <c r="BB30" i="5"/>
  <c r="BZ30" i="5" s="1"/>
  <c r="BX32" i="5"/>
  <c r="BX22" i="5"/>
  <c r="BN7" i="5"/>
  <c r="BZ7" i="5" s="1"/>
  <c r="BN24" i="5"/>
  <c r="BZ24" i="5" s="1"/>
  <c r="BL18" i="5"/>
  <c r="BL13" i="5"/>
  <c r="BL5" i="5"/>
  <c r="BN23" i="5"/>
  <c r="BZ23" i="5" s="1"/>
  <c r="BL23" i="5"/>
  <c r="BX30" i="5"/>
  <c r="BL30" i="5"/>
  <c r="BB32" i="5"/>
  <c r="BZ32" i="5" s="1"/>
  <c r="BL26" i="5"/>
  <c r="BL10" i="5"/>
  <c r="BL16" i="5"/>
  <c r="BC14" i="5"/>
  <c r="BX14" i="5"/>
  <c r="BX26" i="5"/>
  <c r="BP37" i="5"/>
  <c r="BP38" i="5" s="1"/>
  <c r="BX24" i="5"/>
  <c r="BN13" i="5"/>
  <c r="BZ13" i="5" s="1"/>
  <c r="BX5" i="5"/>
  <c r="AU37" i="5"/>
  <c r="AU38" i="5" s="1"/>
  <c r="BX23" i="5"/>
  <c r="BL28" i="5"/>
  <c r="BX13" i="5"/>
  <c r="CB8" i="5"/>
  <c r="BO30" i="5"/>
  <c r="BX16" i="5"/>
  <c r="BV37" i="5"/>
  <c r="BV38" i="5" s="1"/>
  <c r="BO6" i="5"/>
  <c r="BC6" i="5"/>
  <c r="BC15" i="5"/>
  <c r="CB5" i="5"/>
  <c r="BX28" i="5"/>
  <c r="BL14" i="5"/>
  <c r="BL15" i="5"/>
  <c r="BX18" i="5"/>
  <c r="BB5" i="5"/>
  <c r="BX10" i="5"/>
  <c r="AB10" i="9"/>
  <c r="AW46" i="5" l="1"/>
  <c r="AW47" i="5" s="1"/>
  <c r="AX46" i="5"/>
  <c r="AZ46" i="5"/>
  <c r="AZ47" i="5" s="1"/>
  <c r="BA46" i="5"/>
  <c r="D7" i="10"/>
  <c r="D10" i="10" s="1"/>
  <c r="F13" i="12"/>
  <c r="F16" i="12" s="1"/>
  <c r="BZ3" i="5"/>
  <c r="BB37" i="5"/>
  <c r="BB38" i="5" s="1"/>
  <c r="J6" i="10"/>
  <c r="L12" i="12"/>
  <c r="BZ19" i="5"/>
  <c r="G10" i="12"/>
  <c r="E4" i="10"/>
  <c r="F41" i="12"/>
  <c r="I4" i="10"/>
  <c r="K10" i="12"/>
  <c r="G6" i="10"/>
  <c r="I12" i="12"/>
  <c r="I40" i="12" s="1"/>
  <c r="G12" i="12"/>
  <c r="E6" i="10"/>
  <c r="BO37" i="5"/>
  <c r="BO38" i="5" s="1"/>
  <c r="AA39" i="12"/>
  <c r="J39" i="12"/>
  <c r="BL37" i="5"/>
  <c r="BL38" i="5" s="1"/>
  <c r="CB37" i="5"/>
  <c r="CB38" i="5" s="1"/>
  <c r="BC37" i="5"/>
  <c r="BC38" i="5" s="1"/>
  <c r="BX37" i="5"/>
  <c r="BX38" i="5" s="1"/>
  <c r="BZ5" i="5"/>
  <c r="BN37" i="5"/>
  <c r="BN38" i="5" s="1"/>
  <c r="AA11" i="9"/>
  <c r="AC11" i="9"/>
  <c r="AA10" i="9"/>
  <c r="BA47" i="5" l="1"/>
  <c r="M8" i="11"/>
  <c r="AX47" i="5"/>
  <c r="J8" i="11"/>
  <c r="BZ37" i="5"/>
  <c r="BZ38" i="5" s="1"/>
  <c r="J4" i="10" s="1"/>
  <c r="AA45" i="12"/>
  <c r="AC45" i="12" s="1"/>
  <c r="AC39" i="12"/>
  <c r="E7" i="10"/>
  <c r="H12" i="12"/>
  <c r="H40" i="12" s="1"/>
  <c r="F6" i="10"/>
  <c r="H6" i="10" s="1"/>
  <c r="G38" i="12"/>
  <c r="AA38" i="12" s="1"/>
  <c r="AA10" i="12"/>
  <c r="G13" i="12"/>
  <c r="G40" i="12"/>
  <c r="L40" i="12"/>
  <c r="F43" i="12"/>
  <c r="F44" i="12"/>
  <c r="F45" i="12"/>
  <c r="G4" i="10"/>
  <c r="G7" i="10" s="1"/>
  <c r="I10" i="12"/>
  <c r="H10" i="12"/>
  <c r="F4" i="10"/>
  <c r="AC10" i="9"/>
  <c r="BA49" i="5" l="1"/>
  <c r="M9" i="11"/>
  <c r="J9" i="11"/>
  <c r="AX49" i="5"/>
  <c r="L10" i="12"/>
  <c r="L38" i="12" s="1"/>
  <c r="J10" i="12"/>
  <c r="J12" i="12"/>
  <c r="AA44" i="12"/>
  <c r="H4" i="10"/>
  <c r="F7" i="10"/>
  <c r="H7" i="10" s="1"/>
  <c r="E9" i="10" s="1"/>
  <c r="J7" i="10"/>
  <c r="H13" i="12"/>
  <c r="H38" i="12"/>
  <c r="I38" i="12"/>
  <c r="I13" i="12"/>
  <c r="G41" i="12"/>
  <c r="J40" i="12"/>
  <c r="E73" i="9"/>
  <c r="E72" i="9"/>
  <c r="M11" i="11" l="1"/>
  <c r="BA55" i="5"/>
  <c r="M17" i="11" s="1"/>
  <c r="J11" i="11"/>
  <c r="AX55" i="5"/>
  <c r="J17" i="11" s="1"/>
  <c r="L13" i="12"/>
  <c r="J13" i="12"/>
  <c r="H15" i="12" s="1"/>
  <c r="H16" i="12" s="1"/>
  <c r="G9" i="10"/>
  <c r="G10" i="10" s="1"/>
  <c r="E10" i="10"/>
  <c r="I41" i="12"/>
  <c r="L41" i="12"/>
  <c r="J38" i="12"/>
  <c r="J41" i="12" s="1"/>
  <c r="G51" i="12" s="1"/>
  <c r="H41" i="12"/>
  <c r="F9" i="10"/>
  <c r="F10" i="10" s="1"/>
  <c r="J79" i="9"/>
  <c r="J78" i="9"/>
  <c r="J77" i="9"/>
  <c r="G15" i="12" l="1"/>
  <c r="G16" i="12" s="1"/>
  <c r="H51" i="12"/>
  <c r="H52" i="12" s="1"/>
  <c r="H56" i="12" s="1"/>
  <c r="H60" i="12" s="1"/>
  <c r="H9" i="10"/>
  <c r="H10" i="10" s="1"/>
  <c r="G43" i="12"/>
  <c r="G52" i="12"/>
  <c r="G56" i="12" s="1"/>
  <c r="G60" i="12" s="1"/>
  <c r="I51" i="12"/>
  <c r="H63" i="9"/>
  <c r="I15" i="12" l="1"/>
  <c r="I16" i="12" s="1"/>
  <c r="H43" i="12"/>
  <c r="I43" i="12"/>
  <c r="I52" i="12"/>
  <c r="I56" i="12" s="1"/>
  <c r="I60" i="12" s="1"/>
  <c r="H44" i="12"/>
  <c r="H67" i="12"/>
  <c r="G67" i="12"/>
  <c r="G44" i="12"/>
  <c r="J51" i="12"/>
  <c r="J52" i="12" s="1"/>
  <c r="J56" i="12" s="1"/>
  <c r="J60" i="12" s="1"/>
  <c r="J67" i="12" s="1"/>
  <c r="K8" i="9"/>
  <c r="J15" i="12" l="1"/>
  <c r="J16" i="12" s="1"/>
  <c r="L16" i="12" s="1"/>
  <c r="J43" i="12"/>
  <c r="K43" i="12" s="1"/>
  <c r="M72" i="12"/>
  <c r="O72" i="12"/>
  <c r="G73" i="12"/>
  <c r="I73" i="12" s="1"/>
  <c r="J73" i="12" s="1"/>
  <c r="G72" i="12"/>
  <c r="H68" i="12"/>
  <c r="J68" i="12" s="1"/>
  <c r="G45" i="12"/>
  <c r="H45" i="12"/>
  <c r="I44" i="12"/>
  <c r="J44" i="12" s="1"/>
  <c r="K44" i="12" s="1"/>
  <c r="I67" i="12"/>
  <c r="I45" i="12" s="1"/>
  <c r="I35" i="9"/>
  <c r="G63" i="9"/>
  <c r="I63" i="9" s="1"/>
  <c r="J10" i="10" l="1"/>
  <c r="H75" i="12"/>
  <c r="H80" i="12" s="1"/>
  <c r="J45" i="12"/>
  <c r="G75" i="12"/>
  <c r="G80" i="12" s="1"/>
  <c r="K50" i="9"/>
  <c r="K46" i="12" l="1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s="1"/>
  <c r="J72" i="12" s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5" i="5" l="1"/>
  <c r="CJ5" i="5" s="1"/>
  <c r="CH13" i="5"/>
  <c r="CJ13" i="5" s="1"/>
  <c r="CH21" i="5"/>
  <c r="CJ21" i="5" s="1"/>
  <c r="CH27" i="5"/>
  <c r="CJ27" i="5" s="1"/>
  <c r="CH14" i="5"/>
  <c r="CJ14" i="5" s="1"/>
  <c r="CH22" i="5"/>
  <c r="CJ22" i="5" s="1"/>
  <c r="CH30" i="5"/>
  <c r="CJ30" i="5" s="1"/>
  <c r="CH19" i="5"/>
  <c r="CJ19" i="5" s="1"/>
  <c r="CH7" i="5"/>
  <c r="CJ7" i="5" s="1"/>
  <c r="CH15" i="5"/>
  <c r="CJ15" i="5" s="1"/>
  <c r="CH23" i="5"/>
  <c r="CJ23" i="5" s="1"/>
  <c r="CH3" i="5"/>
  <c r="CH16" i="5"/>
  <c r="CJ16" i="5" s="1"/>
  <c r="CH24" i="5"/>
  <c r="CJ24" i="5" s="1"/>
  <c r="CH32" i="5"/>
  <c r="CJ32" i="5" s="1"/>
  <c r="CH9" i="5"/>
  <c r="CJ9" i="5" s="1"/>
  <c r="CH17" i="5"/>
  <c r="CK17" i="5" s="1"/>
  <c r="CK37" i="5" s="1"/>
  <c r="CK38" i="5" s="1"/>
  <c r="CH25" i="5"/>
  <c r="CJ25" i="5" s="1"/>
  <c r="CH33" i="5"/>
  <c r="CJ33" i="5" s="1"/>
  <c r="CH10" i="5"/>
  <c r="CJ10" i="5" s="1"/>
  <c r="CH18" i="5"/>
  <c r="CJ18" i="5" s="1"/>
  <c r="CH26" i="5"/>
  <c r="CJ26" i="5" s="1"/>
  <c r="CH11" i="5"/>
  <c r="CJ11" i="5" s="1"/>
  <c r="CH12" i="5"/>
  <c r="CJ12" i="5" s="1"/>
  <c r="CH20" i="5"/>
  <c r="CJ20" i="5" s="1"/>
  <c r="CH28" i="5"/>
  <c r="CJ28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M12" i="12" l="1"/>
  <c r="K6" i="10"/>
  <c r="L6" i="10" s="1"/>
  <c r="CJ3" i="5"/>
  <c r="CJ37" i="5" s="1"/>
  <c r="CJ38" i="5" s="1"/>
  <c r="CH37" i="5"/>
  <c r="CH38" i="5" s="1"/>
  <c r="F80" i="9"/>
  <c r="F45" i="9"/>
  <c r="N22" i="9"/>
  <c r="N21" i="9"/>
  <c r="H51" i="9"/>
  <c r="I51" i="9"/>
  <c r="G51" i="9"/>
  <c r="G43" i="9" s="1"/>
  <c r="M10" i="12" l="1"/>
  <c r="M13" i="12" s="1"/>
  <c r="K4" i="10"/>
  <c r="M40" i="12"/>
  <c r="N40" i="12" s="1"/>
  <c r="N12" i="12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7" i="10" l="1"/>
  <c r="L4" i="10"/>
  <c r="L7" i="10" s="1"/>
  <c r="M38" i="12"/>
  <c r="N10" i="12"/>
  <c r="N13" i="12" s="1"/>
  <c r="AB10" i="12"/>
  <c r="AC10" i="12" s="1"/>
  <c r="H44" i="9"/>
  <c r="N41" i="9"/>
  <c r="N38" i="9"/>
  <c r="J43" i="9"/>
  <c r="K43" i="9" s="1"/>
  <c r="I44" i="9"/>
  <c r="I67" i="9"/>
  <c r="M41" i="12" l="1"/>
  <c r="AB38" i="12"/>
  <c r="N38" i="12"/>
  <c r="I45" i="9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A4076AC-6287-4582-B26A-C654C3EAE57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FDD092E-EB5C-40F7-AE9F-4367EDAE77B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E860E51-D63D-4454-93BF-972EF7F8C3C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BCEB839-6BEB-43CA-B363-77AF5EA7AD5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0F6188B-5CA9-4CA1-B624-1A8C3DEE380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EDD60C0-C88D-4424-BAE9-999D5500657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ACDF1DD-AA6B-419C-BA7D-3C9D0ABE1CD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2C951C3-68E4-40E9-B027-5C722ADBE23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0FFA74B7-3251-4F38-B6B9-B7FAF9C5280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D5145BA5-AB83-44BA-884D-95BE98A8963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<sst xmlns="http://schemas.openxmlformats.org/spreadsheetml/2006/main" count="1123" uniqueCount="418">
  <si>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</si>
  <si>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</si>
  <si>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</si>
  <si>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</si>
  <si>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</si>
  <si>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</si>
  <si>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</si>
  <si>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</si>
  <si>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</si>
  <si>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</si>
  <si>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</si>
  <si>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</si>
  <si>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</si>
  <si>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</si>
  <si>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</si>
  <si>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</si>
  <si>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</si>
  <si>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</si>
  <si>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</si>
  <si>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</si>
  <si>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</si>
  <si>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</si>
  <si>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</si>
  <si>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</si>
  <si>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</si>
  <si>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</si>
  <si>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</si>
  <si>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</si>
  <si>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</si>
  <si>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</si>
  <si>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</si>
  <si>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</si>
  <si>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</si>
  <si>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</si>
  <si>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</si>
  <si>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</si>
  <si>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</si>
  <si>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</si>
  <si>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</si>
  <si>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</si>
  <si>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</si>
  <si>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</si>
  <si>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</si>
  <si>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</si>
  <si>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</si>
  <si>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</si>
  <si>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</si>
  <si>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</si>
  <si>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</si>
  <si>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</si>
  <si>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</si>
  <si>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</si>
  <si>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</si>
  <si>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</si>
  <si>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</si>
  <si>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</si>
  <si>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</si>
  <si>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</si>
  <si>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</si>
  <si>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</si>
  <si>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</si>
  <si>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</si>
  <si>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</si>
  <si>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</si>
  <si>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</si>
  <si>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</si>
  <si>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</si>
  <si>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</si>
  <si>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</si>
  <si>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</si>
  <si>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</si>
  <si>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</si>
  <si>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</si>
  <si>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</si>
  <si>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</si>
  <si>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</si>
  <si>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</si>
  <si>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</si>
  <si>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</si>
  <si>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</si>
  <si>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</si>
  <si>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</si>
  <si>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</si>
  <si>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</si>
  <si>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</si>
  <si>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</si>
  <si>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</si>
  <si>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</si>
  <si>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</si>
  <si>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</si>
  <si>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</si>
  <si>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</si>
  <si>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</si>
  <si>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</si>
  <si>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</si>
  <si>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</si>
  <si>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</si>
  <si>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</si>
  <si>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</si>
  <si>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</si>
  <si>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</si>
  <si>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</si>
  <si>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</si>
  <si>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</si>
  <si>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</si>
  <si>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</si>
  <si>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</si>
  <si>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</si>
  <si>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</si>
  <si>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</si>
  <si>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</si>
  <si>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</si>
  <si>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</si>
  <si>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</si>
  <si>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</si>
  <si>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</si>
  <si>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</si>
  <si>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</si>
  <si>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</si>
  <si>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</si>
  <si>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</si>
  <si>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</si>
  <si>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</si>
  <si>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</si>
  <si>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</si>
  <si>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</si>
  <si>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</si>
  <si>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</si>
  <si>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</si>
  <si>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</si>
  <si>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</si>
  <si>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</si>
  <si>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</si>
  <si>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</si>
  <si>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</si>
  <si>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</si>
  <si>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</si>
  <si>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</si>
  <si>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</si>
  <si>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</si>
  <si>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</si>
  <si>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</si>
  <si>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</si>
  <si>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</si>
  <si>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</si>
  <si>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</si>
  <si>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</si>
  <si>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</si>
  <si>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</si>
  <si>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</si>
  <si>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</si>
  <si>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</si>
  <si>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</si>
  <si>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</si>
  <si>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</si>
  <si>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</si>
  <si>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</si>
  <si>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</si>
  <si>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</si>
  <si>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</si>
  <si>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</si>
  <si>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</si>
  <si>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130</t>
  </si>
  <si>
    <t>0043</t>
  </si>
  <si>
    <t>IT SOFTWARE ENGINEER</t>
  </si>
  <si>
    <t>0001</t>
  </si>
  <si>
    <t>00</t>
  </si>
  <si>
    <t>SSAA</t>
  </si>
  <si>
    <t>001</t>
  </si>
  <si>
    <t>01714</t>
  </si>
  <si>
    <t>K</t>
  </si>
  <si>
    <t>V</t>
  </si>
  <si>
    <t>NR</t>
  </si>
  <si>
    <t>N</t>
  </si>
  <si>
    <t>0024</t>
  </si>
  <si>
    <t xml:space="preserve">DEP SEC OF STATE    </t>
  </si>
  <si>
    <t>22501</t>
  </si>
  <si>
    <t>F</t>
  </si>
  <si>
    <t>CRONYN, FOSTER C.</t>
  </si>
  <si>
    <t>CRONYN</t>
  </si>
  <si>
    <t>FOSTER</t>
  </si>
  <si>
    <t>C</t>
  </si>
  <si>
    <t>00000</t>
  </si>
  <si>
    <t>H</t>
  </si>
  <si>
    <t>FS</t>
  </si>
  <si>
    <t>E</t>
  </si>
  <si>
    <t>Y</t>
  </si>
  <si>
    <t xml:space="preserve">    </t>
  </si>
  <si>
    <t>0036</t>
  </si>
  <si>
    <t xml:space="preserve">CUSTOMER SVC REP 2  </t>
  </si>
  <si>
    <t>01120</t>
  </si>
  <si>
    <t>0023</t>
  </si>
  <si>
    <t>ELECTION/SUNSHINE LA</t>
  </si>
  <si>
    <t>22506</t>
  </si>
  <si>
    <t xml:space="preserve">MILLARD, SHERYL </t>
  </si>
  <si>
    <t>MILLARD</t>
  </si>
  <si>
    <t>SHERYL</t>
  </si>
  <si>
    <t xml:space="preserve">              </t>
  </si>
  <si>
    <t>0025</t>
  </si>
  <si>
    <t xml:space="preserve">OFFICE SPECIALIST 2 </t>
  </si>
  <si>
    <t>01239</t>
  </si>
  <si>
    <t>G</t>
  </si>
  <si>
    <t>0022</t>
  </si>
  <si>
    <t>IT OPS &amp; SUPPORT ANA</t>
  </si>
  <si>
    <t>01709</t>
  </si>
  <si>
    <t xml:space="preserve">ELLIOTT, NOAH </t>
  </si>
  <si>
    <t>ELLIOTT</t>
  </si>
  <si>
    <t>NOAH</t>
  </si>
  <si>
    <t>0010</t>
  </si>
  <si>
    <t>0021</t>
  </si>
  <si>
    <t>CHIEF DEP SEC OF STA</t>
  </si>
  <si>
    <t>22503</t>
  </si>
  <si>
    <t>HOUCK, CHAD A.</t>
  </si>
  <si>
    <t>HOUCK</t>
  </si>
  <si>
    <t>CHAD</t>
  </si>
  <si>
    <t>ALLEN</t>
  </si>
  <si>
    <t>0020</t>
  </si>
  <si>
    <t>ELECT SUNSHINE SPECI</t>
  </si>
  <si>
    <t>22511</t>
  </si>
  <si>
    <t>CARRERO, JAIR D.</t>
  </si>
  <si>
    <t>CARRERO</t>
  </si>
  <si>
    <t>JAIR</t>
  </si>
  <si>
    <t>D</t>
  </si>
  <si>
    <t>22512</t>
  </si>
  <si>
    <t>0019</t>
  </si>
  <si>
    <t>ELECT SUNSHINE RECOR</t>
  </si>
  <si>
    <t>CANARY, DOROTHY L.</t>
  </si>
  <si>
    <t>CANARY</t>
  </si>
  <si>
    <t>DOROTHY</t>
  </si>
  <si>
    <t>L</t>
  </si>
  <si>
    <t>0012</t>
  </si>
  <si>
    <t>FINANCIAL TECHNICIAN</t>
  </si>
  <si>
    <t>04249</t>
  </si>
  <si>
    <t>I</t>
  </si>
  <si>
    <t>BROWN, CYNTHIA R.</t>
  </si>
  <si>
    <t>BROWN</t>
  </si>
  <si>
    <t>CYNTHIA</t>
  </si>
  <si>
    <t>R</t>
  </si>
  <si>
    <t>0009</t>
  </si>
  <si>
    <t xml:space="preserve">BUSINESS DIRECTOR   </t>
  </si>
  <si>
    <t>22505</t>
  </si>
  <si>
    <t>HUNTER, KIMBERLY A.</t>
  </si>
  <si>
    <t>HUNTER</t>
  </si>
  <si>
    <t>KIMBERLY</t>
  </si>
  <si>
    <t>A</t>
  </si>
  <si>
    <t>0008</t>
  </si>
  <si>
    <t>ADMINISTRATIVE ASSIS</t>
  </si>
  <si>
    <t>16005</t>
  </si>
  <si>
    <t>LOGUE, ERIN L.</t>
  </si>
  <si>
    <t>LOGUE</t>
  </si>
  <si>
    <t>ERIN</t>
  </si>
  <si>
    <t>PT</t>
  </si>
  <si>
    <t>0006</t>
  </si>
  <si>
    <t>BEATTY, TIFFANY L.</t>
  </si>
  <si>
    <t>BEATTY</t>
  </si>
  <si>
    <t>TIFFANY</t>
  </si>
  <si>
    <t>LYNN</t>
  </si>
  <si>
    <t>0002</t>
  </si>
  <si>
    <t xml:space="preserve">DIRECTOR GOVERNMENT </t>
  </si>
  <si>
    <t>22510</t>
  </si>
  <si>
    <t>MASON, LISA R.</t>
  </si>
  <si>
    <t>MASON</t>
  </si>
  <si>
    <t>LISA</t>
  </si>
  <si>
    <t>RAE</t>
  </si>
  <si>
    <t xml:space="preserve">SECRETARY OF STATE  </t>
  </si>
  <si>
    <t>22500</t>
  </si>
  <si>
    <t>DENNEY, LAWERENCE E.</t>
  </si>
  <si>
    <t>DENNEY</t>
  </si>
  <si>
    <t>LAWERENCE</t>
  </si>
  <si>
    <t>FE</t>
  </si>
  <si>
    <t>0042</t>
  </si>
  <si>
    <t>LAING, JUDY L.</t>
  </si>
  <si>
    <t>LAING</t>
  </si>
  <si>
    <t>JUDY</t>
  </si>
  <si>
    <t>0040</t>
  </si>
  <si>
    <t xml:space="preserve">CONTRERAS, ROGER </t>
  </si>
  <si>
    <t>CONTRERAS</t>
  </si>
  <si>
    <t>ROGER</t>
  </si>
  <si>
    <t>0039</t>
  </si>
  <si>
    <t>01715</t>
  </si>
  <si>
    <t>PHAM, TAI T.</t>
  </si>
  <si>
    <t>PHAM</t>
  </si>
  <si>
    <t>TAI</t>
  </si>
  <si>
    <t>T</t>
  </si>
  <si>
    <t>0037</t>
  </si>
  <si>
    <t>04248</t>
  </si>
  <si>
    <t>ERICKSEN, TIFFANY A.</t>
  </si>
  <si>
    <t>ERICKSEN</t>
  </si>
  <si>
    <t>ANN</t>
  </si>
  <si>
    <t>0035</t>
  </si>
  <si>
    <t>KRISTENSEN, DONNA A.</t>
  </si>
  <si>
    <t>KRISTENSEN</t>
  </si>
  <si>
    <t>DONNA</t>
  </si>
  <si>
    <t>0034</t>
  </si>
  <si>
    <t>HAWKINS, TYLER A.</t>
  </si>
  <si>
    <t>HAWKINS</t>
  </si>
  <si>
    <t>TYLER</t>
  </si>
  <si>
    <t>0033</t>
  </si>
  <si>
    <t>FINANCIAL SPECIALIST</t>
  </si>
  <si>
    <t>04246</t>
  </si>
  <si>
    <t>ABBOTT, KATHY L.</t>
  </si>
  <si>
    <t>ABBOTT</t>
  </si>
  <si>
    <t>KATHY</t>
  </si>
  <si>
    <t>0032</t>
  </si>
  <si>
    <t>HANCOCK, JASON A.</t>
  </si>
  <si>
    <t>HANCOCK</t>
  </si>
  <si>
    <t>JASON</t>
  </si>
  <si>
    <t>0031</t>
  </si>
  <si>
    <t>IT DATABASE ADMIN AN</t>
  </si>
  <si>
    <t>01726</t>
  </si>
  <si>
    <t xml:space="preserve">VANCE, RODGER </t>
  </si>
  <si>
    <t>VANCE</t>
  </si>
  <si>
    <t>RODGER</t>
  </si>
  <si>
    <t>0030</t>
  </si>
  <si>
    <t>IT INFO SECURITY ENG</t>
  </si>
  <si>
    <t>01733</t>
  </si>
  <si>
    <t>IRVIN, CLARK J.</t>
  </si>
  <si>
    <t>IRVIN</t>
  </si>
  <si>
    <t>CLARK</t>
  </si>
  <si>
    <t>J</t>
  </si>
  <si>
    <t>0029</t>
  </si>
  <si>
    <t>CAHN, ROBERT M.</t>
  </si>
  <si>
    <t>CAHN</t>
  </si>
  <si>
    <t>ROBERT</t>
  </si>
  <si>
    <t>M</t>
  </si>
  <si>
    <t>9999</t>
  </si>
  <si>
    <t xml:space="preserve">TEMPORARY EMPLOYEES </t>
  </si>
  <si>
    <t>95000</t>
  </si>
  <si>
    <t>NG</t>
  </si>
  <si>
    <t>0028</t>
  </si>
  <si>
    <t>DEVRIES, SHERYL L.</t>
  </si>
  <si>
    <t>DEVRIES</t>
  </si>
  <si>
    <t>LYNNE</t>
  </si>
  <si>
    <t>PF</t>
  </si>
  <si>
    <t>NE</t>
  </si>
  <si>
    <t>9995</t>
  </si>
  <si>
    <t>0027</t>
  </si>
  <si>
    <t>01736</t>
  </si>
  <si>
    <t>O</t>
  </si>
  <si>
    <t>BRANDON, BRETT D.</t>
  </si>
  <si>
    <t>BRANDON</t>
  </si>
  <si>
    <t>BRETT</t>
  </si>
  <si>
    <t>0026</t>
  </si>
  <si>
    <t>LOGAN, ROBERT L.</t>
  </si>
  <si>
    <t>LOGAN</t>
  </si>
  <si>
    <t>7702</t>
  </si>
  <si>
    <t>COMMUNICATIONS SPECI</t>
  </si>
  <si>
    <t>0348</t>
  </si>
  <si>
    <t>27</t>
  </si>
  <si>
    <t>SSAF</t>
  </si>
  <si>
    <t>16054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</si>
  <si>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</si>
  <si>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</si>
  <si>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</si>
  <si>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</si>
  <si>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</si>
  <si>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</si>
  <si>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</si>
  <si>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</si>
  <si>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</si>
  <si>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</si>
  <si>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</si>
  <si>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</si>
  <si>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</si>
  <si>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</si>
  <si>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</si>
  <si>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</si>
  <si>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</si>
  <si>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</si>
  <si>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</si>
  <si>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</si>
  <si>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</si>
  <si>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</si>
  <si>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</si>
  <si>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</si>
  <si>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</si>
  <si>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</si>
  <si>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</si>
  <si>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</si>
  <si>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</si>
  <si>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</si>
  <si>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</si>
  <si>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</si>
  <si>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</si>
  <si>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</si>
  <si>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</si>
  <si>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</si>
  <si>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</si>
  <si>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</si>
  <si>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</si>
  <si>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</si>
  <si>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</si>
  <si>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</si>
  <si>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</si>
  <si>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</si>
  <si>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</si>
  <si>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</si>
  <si>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</si>
  <si>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</si>
  <si>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SSAA 0001-00</t>
  </si>
  <si>
    <t>SSAA 0001</t>
  </si>
  <si>
    <t>Secretary of State</t>
  </si>
  <si>
    <t>General</t>
  </si>
  <si>
    <t>0001-00</t>
  </si>
  <si>
    <t>10000</t>
  </si>
  <si>
    <t>Secretary of State, General   SSAA-0001-00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</si>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</sst>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5952-AF0E-4DC1-A8F0-B6C42E54524C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401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130</v>
      </c>
      <c r="N1" s="40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401</v>
      </c>
      <c r="E2" s="21"/>
      <c r="F2" s="21"/>
      <c r="G2" s="21"/>
      <c r="H2" s="21"/>
      <c r="I2" s="21"/>
      <c r="J2" s="20"/>
      <c r="K2" s="20"/>
      <c r="L2" s="22" t="s">
        <v>113</v>
      </c>
      <c r="M2" s="409" t="s">
        <v>404</v>
      </c>
      <c r="N2" s="41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401</v>
      </c>
      <c r="E3" s="24"/>
      <c r="F3" s="25"/>
      <c r="G3" s="25"/>
      <c r="H3" s="25"/>
      <c r="I3" s="26"/>
      <c r="J3" s="20"/>
      <c r="K3" s="20"/>
      <c r="L3" s="22" t="s">
        <v>114</v>
      </c>
      <c r="M3" s="407" t="s">
        <v>167</v>
      </c>
      <c r="N3" s="40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2023</v>
      </c>
      <c r="N4" s="40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9" t="s">
        <v>402</v>
      </c>
      <c r="J5" s="411"/>
      <c r="K5" s="411"/>
      <c r="L5" s="410"/>
      <c r="M5" s="352" t="s">
        <v>115</v>
      </c>
      <c r="N5" s="32" t="s">
        <v>403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2" t="s">
        <v>22</v>
      </c>
      <c r="D8" s="413"/>
      <c r="E8" s="370" t="s">
        <v>23</v>
      </c>
      <c r="F8" s="49" t="s">
        <v>24</v>
      </c>
      <c r="G8" s="50" t="str">
        <f>"FY "&amp;'SSAA|0001-00'!FiscalYear-1&amp;" SALARY"</f>
        <v>FY 2022 SALARY</v>
      </c>
      <c r="H8" s="50" t="str">
        <f>"FY "&amp;'SSAA|0001-00'!FiscalYear-1&amp;" HEALTH BENEFITS"</f>
        <v>FY 2022 HEALTH BENEFITS</v>
      </c>
      <c r="I8" s="50" t="str">
        <f>"FY "&amp;'SSAA|0001-00'!FiscalYear-1&amp;" VAR BENEFITS"</f>
        <v>FY 2022 VAR BENEFITS</v>
      </c>
      <c r="J8" s="50" t="str">
        <f>"FY "&amp;'SSAA|0001-00'!FiscalYear-1&amp;" TOTAL"</f>
        <v>FY 2022 TOTAL</v>
      </c>
      <c r="K8" s="50" t="str">
        <f>"FY "&amp;'SSAA|0001-00'!FiscalYear&amp;" SALARY CHANGE"</f>
        <v>FY 2023 SALARY CHANGE</v>
      </c>
      <c r="L8" s="50" t="str">
        <f>"FY "&amp;'SSAA|0001-00'!FiscalYear&amp;" CHG HEALTH BENEFITS"</f>
        <v>FY 2023 CHG HEALTH BENEFITS</v>
      </c>
      <c r="M8" s="50" t="str">
        <f>"FY "&amp;'SSAA|0001-00'!FiscalYear&amp;"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105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5" t="s">
        <v>27</v>
      </c>
      <c r="D10" s="406"/>
      <c r="E10" s="217">
        <v>1</v>
      </c>
      <c r="F10" s="288">
        <f>[0]!SSAA000100col_INC_FTI</f>
        <v>24.237500000000001</v>
      </c>
      <c r="G10" s="218">
        <f>[0]!SSAA000100col_FTI_SALARY_PERM</f>
        <v>1422933.2000000002</v>
      </c>
      <c r="H10" s="218">
        <f>[0]!SSAA000100col_HEALTH_PERM</f>
        <v>279600</v>
      </c>
      <c r="I10" s="218">
        <f>[0]!SSAA000100col_TOT_VB_PERM</f>
        <v>296533.22639200004</v>
      </c>
      <c r="J10" s="219">
        <f>SUM(G10:I10)</f>
        <v>1999066.4263920002</v>
      </c>
      <c r="K10" s="219">
        <f>[0]!SSAA000100col_1_27TH_PP</f>
        <v>0</v>
      </c>
      <c r="L10" s="218">
        <f>[0]!SSAA000100col_HEALTH_PERM_CHG</f>
        <v>0</v>
      </c>
      <c r="M10" s="218">
        <f>[0]!SSAA000100col_TOT_VB_PERM_CHG</f>
        <v>-7399.2526399999997</v>
      </c>
      <c r="N10" s="218">
        <f>SUM(L10:M10)</f>
        <v>-7399.2526399999997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14200</v>
      </c>
      <c r="AB10" s="335">
        <f>ROUND(PermVarBen*CECPerm+(CECPerm*PermVarBenChg),-2)</f>
        <v>2900</v>
      </c>
      <c r="AC10" s="335">
        <f>SUM(AA10:AB10)</f>
        <v>17100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5" t="s">
        <v>28</v>
      </c>
      <c r="D11" s="406"/>
      <c r="E11" s="217">
        <v>2</v>
      </c>
      <c r="F11" s="288"/>
      <c r="G11" s="218">
        <f>[0]!SSAA000100col_Group_Salary</f>
        <v>0</v>
      </c>
      <c r="H11" s="218">
        <v>0</v>
      </c>
      <c r="I11" s="218">
        <f>[0]!SSAA000100col_Group_Ben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5" t="s">
        <v>29</v>
      </c>
      <c r="D12" s="417"/>
      <c r="E12" s="217">
        <v>3</v>
      </c>
      <c r="F12" s="288">
        <f>[0]!SSAA000100col_TOTAL_ELECT_PCN_FTI</f>
        <v>1</v>
      </c>
      <c r="G12" s="218">
        <f>[0]!SSAA000100col_FTI_SALARY_ELECT</f>
        <v>117556.7</v>
      </c>
      <c r="H12" s="218">
        <f>[0]!SSAA000100col_HEALTH_ELECT</f>
        <v>11650</v>
      </c>
      <c r="I12" s="218">
        <f>[0]!SSAA000100col_TOT_VB_ELECT</f>
        <v>24123.810407000001</v>
      </c>
      <c r="J12" s="219">
        <f>SUM(G12:I12)</f>
        <v>153330.51040699999</v>
      </c>
      <c r="K12" s="268"/>
      <c r="L12" s="218">
        <f>[0]!SSAA000100col_HEALTH_ELECT_CHG</f>
        <v>0</v>
      </c>
      <c r="M12" s="218">
        <f>[0]!SSAA000100col_TOT_VB_ELECT_CHG</f>
        <v>-35.267009999999992</v>
      </c>
      <c r="N12" s="219">
        <f>SUM(L12:M12)</f>
        <v>-35.267009999999992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5" t="s">
        <v>30</v>
      </c>
      <c r="D13" s="406"/>
      <c r="E13" s="217"/>
      <c r="F13" s="220">
        <f>SUM(F10:F12)</f>
        <v>25.237500000000001</v>
      </c>
      <c r="G13" s="221">
        <f>SUM(G10:G12)</f>
        <v>1540489.9000000001</v>
      </c>
      <c r="H13" s="221">
        <f>SUM(H10:H12)</f>
        <v>291250</v>
      </c>
      <c r="I13" s="221">
        <f>SUM(I10:I12)</f>
        <v>320657.03679900005</v>
      </c>
      <c r="J13" s="219">
        <f>SUM(G13:I13)</f>
        <v>2152396.936799</v>
      </c>
      <c r="K13" s="268"/>
      <c r="L13" s="219">
        <f>SUM(L10:L12)</f>
        <v>0</v>
      </c>
      <c r="M13" s="219">
        <f>SUM(M10:M12)</f>
        <v>-7434.5196499999993</v>
      </c>
      <c r="N13" s="219">
        <f>SUM(N10:N12)</f>
        <v>-7434.5196499999993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"&amp;'SSAA|0001-00'!FiscalYear-1</f>
        <v>FY 2022</v>
      </c>
      <c r="D15" s="158" t="s">
        <v>31</v>
      </c>
      <c r="E15" s="355">
        <v>2422600</v>
      </c>
      <c r="F15" s="55">
        <v>30</v>
      </c>
      <c r="G15" s="223">
        <f>IF(OrigApprop=0,0,(G13/$J$13)*OrigApprop)</f>
        <v>1733876.6692774333</v>
      </c>
      <c r="H15" s="223">
        <f>IF(OrigApprop=0,0,(H13/$J$13)*OrigApprop)</f>
        <v>327812.32770630461</v>
      </c>
      <c r="I15" s="223">
        <f>IF(G15=0,0,(I13/$J$13)*OrigApprop)</f>
        <v>360911.00301626226</v>
      </c>
      <c r="J15" s="223">
        <f>SUM(G15:I15)</f>
        <v>2422600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3" t="s">
        <v>32</v>
      </c>
      <c r="D16" s="424"/>
      <c r="E16" s="160" t="s">
        <v>33</v>
      </c>
      <c r="F16" s="161">
        <f>F15-F13</f>
        <v>4.7624999999999993</v>
      </c>
      <c r="G16" s="162">
        <f>G15-G13</f>
        <v>193386.76927743317</v>
      </c>
      <c r="H16" s="162">
        <f>H15-H13</f>
        <v>36562.327706304612</v>
      </c>
      <c r="I16" s="162">
        <f>I15-I13</f>
        <v>40253.966217262205</v>
      </c>
      <c r="J16" s="162">
        <f>J15-J13</f>
        <v>270203.06320099998</v>
      </c>
      <c r="K16" s="269"/>
      <c r="L16" s="56" t="str">
        <f>IF('SSAA|0001-00'!OrigApprop=0,"ERROR! Enter Original Appropriation amount in DU 3.00!","Calculated "&amp;IF('SSAA|0001-00'!AdjustedTotal&gt;0,"overfunding ","underfunding ")&amp;"is "&amp;TEXT('SSAA|0001-00'!AdjustedTotal/'SSAA|0001-00'!AppropTotal,"#.0%;(#.0% );0% ;")&amp;" of Original Appropriation")</f>
        <v>Calculated overfunding is 11.2%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107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24.237500000000001</v>
      </c>
      <c r="G38" s="191">
        <f>SUMIF($E10:$E35,$E38,$G10:$G35)</f>
        <v>1422933.2000000002</v>
      </c>
      <c r="H38" s="192">
        <f>SUMIF($E10:$E35,$E38,$H10:$H35)</f>
        <v>279600</v>
      </c>
      <c r="I38" s="192">
        <f>SUMIF($E10:$E35,$E38,$I10:$I35)</f>
        <v>296533.22639200004</v>
      </c>
      <c r="J38" s="192">
        <f>SUM(G38:I38)</f>
        <v>1999066.4263920002</v>
      </c>
      <c r="K38" s="166"/>
      <c r="L38" s="191">
        <f>SUMIF($E10:$E35,$E38,$L10:$L35)</f>
        <v>0</v>
      </c>
      <c r="M38" s="192">
        <f>SUMIF($E10:$E35,$E38,$M10:$M35)</f>
        <v>-7399.2526399999997</v>
      </c>
      <c r="N38" s="192">
        <f>SUM(L38:M38)</f>
        <v>-7399.2526399999997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14200</v>
      </c>
      <c r="AB38" s="338">
        <f>ROUND((AdjPermVB*CECPerm+AdjPermVBBY*CECPerm),-2)</f>
        <v>2900</v>
      </c>
      <c r="AC38" s="338">
        <f>SUM(AA38:AB38)</f>
        <v>17100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1</v>
      </c>
      <c r="G40" s="193">
        <f>SUMIF($E10:$E35,$E40,$G10:$G35)</f>
        <v>117556.7</v>
      </c>
      <c r="H40" s="152">
        <f>SUMIF($E10:$E35,$E40,$H10:$H35)</f>
        <v>11650</v>
      </c>
      <c r="I40" s="152">
        <f>SUMIF($E10:$E35,$E40,$I10:$I35)</f>
        <v>24123.810407000001</v>
      </c>
      <c r="J40" s="152">
        <f>SUM(G40:I40)</f>
        <v>153330.51040699999</v>
      </c>
      <c r="K40" s="259"/>
      <c r="L40" s="193">
        <f>SUMIF($E10:$E35,$E40,$L10:$L35)</f>
        <v>0</v>
      </c>
      <c r="M40" s="152">
        <f>SUMIF($E10:$E35,$E40,$M10:$M35)</f>
        <v>-35.267009999999992</v>
      </c>
      <c r="N40" s="152">
        <f>SUM(L40:M40)</f>
        <v>-35.267009999999992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5" t="s">
        <v>38</v>
      </c>
      <c r="D41" s="417"/>
      <c r="E41" s="189"/>
      <c r="F41" s="161">
        <f>SUM(F38:F40)</f>
        <v>25.237500000000001</v>
      </c>
      <c r="G41" s="195">
        <f>SUM($G$38:$G$40)</f>
        <v>1540489.9000000001</v>
      </c>
      <c r="H41" s="162">
        <f>SUM($H$38:$H$40)</f>
        <v>291250</v>
      </c>
      <c r="I41" s="162">
        <f>SUM($I$38:$I$40)</f>
        <v>320657.03679900005</v>
      </c>
      <c r="J41" s="162">
        <f>SUM($J$38:$J$40)</f>
        <v>2152396.936799</v>
      </c>
      <c r="K41" s="259"/>
      <c r="L41" s="195">
        <f>SUM($L$38:$L$40)</f>
        <v>0</v>
      </c>
      <c r="M41" s="162">
        <f>SUM($M$38:$M$40)</f>
        <v>-7434.5196499999993</v>
      </c>
      <c r="N41" s="162">
        <f>SUM(L41:M41)</f>
        <v>-7434.5196499999993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7" t="s">
        <v>39</v>
      </c>
      <c r="D43" s="438"/>
      <c r="E43" s="203" t="s">
        <v>40</v>
      </c>
      <c r="F43" s="205">
        <f>ROUND(F51-F41,2)</f>
        <v>4.76</v>
      </c>
      <c r="G43" s="206">
        <f>ROUND(G51-G41,-2)</f>
        <v>193400</v>
      </c>
      <c r="H43" s="159">
        <f>ROUND(H51-H41,-2)</f>
        <v>36600</v>
      </c>
      <c r="I43" s="159">
        <f>ROUND(I51-I41,-2)</f>
        <v>40300</v>
      </c>
      <c r="J43" s="159">
        <f>SUM(G43:I43)</f>
        <v>270300</v>
      </c>
      <c r="K43" s="418" t="str">
        <f>IF(E51=0,"ERROR! Enter Original Appropriation amount in DU 3.00!","Calculated "&amp;IF(J43&gt;0,"overfunding ","underfunding ")&amp;"is "&amp;TEXT(J43/J51,"#.0%;(#.0% );0% ;")&amp;" of Original Appropriation")</f>
        <v>Calculated overfunding is 11.2%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108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9"/>
      <c r="D44" s="440"/>
      <c r="E44" s="204" t="s">
        <v>41</v>
      </c>
      <c r="F44" s="205">
        <f>ROUND(F60-F41,2)</f>
        <v>4.76</v>
      </c>
      <c r="G44" s="206">
        <f>ROUND(G60-G41,-2)</f>
        <v>193400</v>
      </c>
      <c r="H44" s="159">
        <f>ROUND(H60-H41,-2)</f>
        <v>36600</v>
      </c>
      <c r="I44" s="159">
        <f>ROUND(I60-I41,-2)</f>
        <v>40200</v>
      </c>
      <c r="J44" s="159">
        <f>SUM(G44:I44)</f>
        <v>270200</v>
      </c>
      <c r="K44" s="418" t="str">
        <f>IF(E51=0,"ERROR! Enter Original Appropriation amount in DU 3.00!","Calculated "&amp;IF(J44&gt;0,"overfunding ","underfunding ")&amp;"is "&amp;TEXT(J44/J60,"#.0%;(#.0% );0% ;")&amp;" of Estimated Expenditures")</f>
        <v>Calculated overfunding is 11.2% of Estimated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4.76</v>
      </c>
      <c r="G45" s="206">
        <f>ROUND(G67-G41-G63,-2)</f>
        <v>193400</v>
      </c>
      <c r="H45" s="206">
        <f>ROUND(H67-H41-H63,-2)</f>
        <v>36600</v>
      </c>
      <c r="I45" s="206">
        <f>ROUND(I67-I41-I63,-2)</f>
        <v>40200</v>
      </c>
      <c r="J45" s="159">
        <f>SUM(G45:I45)</f>
        <v>270200</v>
      </c>
      <c r="K45" s="418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11.2%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1" t="s">
        <v>100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2422600</v>
      </c>
      <c r="F51" s="272">
        <f>AppropFTP</f>
        <v>30</v>
      </c>
      <c r="G51" s="274">
        <f>IF(E51=0,0,(G41/$J$41)*$E$51)</f>
        <v>1733876.6692774333</v>
      </c>
      <c r="H51" s="274">
        <f>IF(E51=0,0,(H41/$J$41)*$E$51)</f>
        <v>327812.32770630461</v>
      </c>
      <c r="I51" s="275">
        <f>IF(E51=0,0,(I41/$J$41)*$E$51)</f>
        <v>360911.00301626226</v>
      </c>
      <c r="J51" s="90">
        <f>SUM(G51:I51)</f>
        <v>2422600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30</v>
      </c>
      <c r="G52" s="79">
        <f>ROUND(G51,-2)</f>
        <v>1733900</v>
      </c>
      <c r="H52" s="79">
        <f>ROUND(H51,-2)</f>
        <v>327800</v>
      </c>
      <c r="I52" s="266">
        <f>ROUND(I51,-2)</f>
        <v>360900</v>
      </c>
      <c r="J52" s="80">
        <f>ROUND(J51,-2)</f>
        <v>2422600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30</v>
      </c>
      <c r="G56" s="80">
        <f>SUM(G52:G55)</f>
        <v>1733900</v>
      </c>
      <c r="H56" s="80">
        <f>SUM(H52:H55)</f>
        <v>327800</v>
      </c>
      <c r="I56" s="260">
        <f>SUM(I52:I55)</f>
        <v>360900</v>
      </c>
      <c r="J56" s="80">
        <f>SUM(J52:J55)</f>
        <v>2422600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7" t="s">
        <v>51</v>
      </c>
      <c r="D57" s="461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3" t="s">
        <v>52</v>
      </c>
      <c r="D58" s="43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9" t="s">
        <v>66</v>
      </c>
      <c r="D59" s="460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30</v>
      </c>
      <c r="G60" s="80">
        <f>SUM(G56:G59)</f>
        <v>1733900</v>
      </c>
      <c r="H60" s="80">
        <f>SUM(H56:H59)</f>
        <v>327800</v>
      </c>
      <c r="I60" s="260">
        <f>SUM(I56:I59)</f>
        <v>360900</v>
      </c>
      <c r="J60" s="80">
        <f>SUM(J56:J59)</f>
        <v>2422600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7" t="s">
        <v>54</v>
      </c>
      <c r="D61" s="461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3" t="s">
        <v>67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2" t="s">
        <v>56</v>
      </c>
      <c r="D64" s="463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4"/>
      <c r="D65" s="46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6"/>
      <c r="D66" s="467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30</v>
      </c>
      <c r="G67" s="80">
        <f>SUM(G60:G64)</f>
        <v>1733900</v>
      </c>
      <c r="H67" s="80">
        <f>SUM(H60:H64)</f>
        <v>327800</v>
      </c>
      <c r="I67" s="80">
        <f>SUM(I60:I64)</f>
        <v>360900</v>
      </c>
      <c r="J67" s="80">
        <f>SUM(J60:J64)</f>
        <v>2422600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-7400</v>
      </c>
      <c r="J69" s="287">
        <f>SUM(G69:I69)</f>
        <v>-7400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0"/>
      <c r="D70" s="471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3" t="s">
        <v>101</v>
      </c>
      <c r="D72" s="472"/>
      <c r="E72" s="290">
        <f>CECPerm</f>
        <v>0.01</v>
      </c>
      <c r="F72" s="288"/>
      <c r="G72" s="356">
        <f>IF(DUNine=0,0,IF(DUNine&lt;0,0,ROUND(AdjPermSalary*CECPerm,-2)))</f>
        <v>14200</v>
      </c>
      <c r="H72" s="287"/>
      <c r="I72" s="287">
        <f>ROUND(($G72*PermVBBY+$G72*Retire1BY),-2)</f>
        <v>2900</v>
      </c>
      <c r="J72" s="113">
        <f>SUM(G72:I72)</f>
        <v>17100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3" t="s">
        <v>61</v>
      </c>
      <c r="D73" s="47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30</v>
      </c>
      <c r="G75" s="80">
        <f>SUM(G67:G74)</f>
        <v>1748100</v>
      </c>
      <c r="H75" s="80">
        <f>SUM(H67:H74)</f>
        <v>327800</v>
      </c>
      <c r="I75" s="80">
        <f>SUM(I67:I74)</f>
        <v>356400</v>
      </c>
      <c r="J75" s="80">
        <f>SUM(J67:K74)</f>
        <v>2432300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3" t="s">
        <v>64</v>
      </c>
      <c r="D76" s="47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8"/>
      <c r="D77" s="46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8"/>
      <c r="D78" s="46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8"/>
      <c r="D79" s="46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30</v>
      </c>
      <c r="G80" s="80">
        <f>SUM(G75:G79)</f>
        <v>1748100</v>
      </c>
      <c r="H80" s="80">
        <f>SUM(H75:H79)</f>
        <v>327800</v>
      </c>
      <c r="I80" s="80">
        <f>SUM(I75:I79)</f>
        <v>356400</v>
      </c>
      <c r="J80" s="80">
        <f>SUM(J75:J79)</f>
        <v>2432300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916096-45C0-4DDC-BBF1-A70FCC5817F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P55"/>
  <sheetViews>
    <sheetView workbookViewId="0">
      <pane xSplit="3" ySplit="1" topLeftCell="AM39" activePane="bottomRight" state="frozen"/>
      <selection pane="topRight" activeCell="D1" sqref="D1"/>
      <selection pane="bottomLeft" activeCell="A2" sqref="A2"/>
      <selection pane="bottomRight" activeCell="AS46" sqref="AS46:BA55"/>
    </sheetView>
  </sheetViews>
  <sheetFormatPr defaultRowHeight="15" x14ac:dyDescent="0.25"/>
  <cols>
    <col min="45" max="53" width="15.7109375" customWidth="1"/>
    <col min="54" max="54" width="11.7109375" bestFit="1" customWidth="1"/>
    <col min="55" max="57" width="10.5703125" bestFit="1" customWidth="1"/>
    <col min="58" max="58" width="11.7109375" bestFit="1" customWidth="1"/>
    <col min="59" max="59" width="10.5703125" bestFit="1" customWidth="1"/>
    <col min="60" max="60" width="9.42578125" bestFit="1" customWidth="1"/>
    <col min="61" max="61" width="9" bestFit="1" customWidth="1"/>
    <col min="62" max="62" width="9.42578125" bestFit="1" customWidth="1"/>
    <col min="63" max="63" width="9" bestFit="1" customWidth="1"/>
    <col min="64" max="64" width="11.7109375" bestFit="1" customWidth="1"/>
    <col min="65" max="65" width="10.5703125" bestFit="1" customWidth="1"/>
    <col min="66" max="66" width="11.7109375" bestFit="1" customWidth="1"/>
    <col min="67" max="69" width="10.5703125" bestFit="1" customWidth="1"/>
    <col min="70" max="70" width="11.7109375" bestFit="1" customWidth="1"/>
    <col min="71" max="71" width="10.5703125" bestFit="1" customWidth="1"/>
    <col min="72" max="73" width="9" bestFit="1" customWidth="1"/>
    <col min="74" max="74" width="9.42578125" bestFit="1" customWidth="1"/>
    <col min="75" max="75" width="9" bestFit="1" customWidth="1"/>
    <col min="76" max="76" width="11.7109375" bestFit="1" customWidth="1"/>
    <col min="77" max="77" width="10.5703125" bestFit="1" customWidth="1"/>
    <col min="78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351</v>
      </c>
      <c r="AT1" s="386" t="s">
        <v>352</v>
      </c>
      <c r="AU1" s="386" t="s">
        <v>353</v>
      </c>
      <c r="AV1" s="386" t="s">
        <v>354</v>
      </c>
      <c r="AW1" s="386" t="s">
        <v>355</v>
      </c>
      <c r="AX1" s="386" t="s">
        <v>356</v>
      </c>
      <c r="AY1" s="386" t="s">
        <v>357</v>
      </c>
      <c r="AZ1" s="386" t="s">
        <v>358</v>
      </c>
      <c r="BA1" s="388" t="s">
        <v>359</v>
      </c>
      <c r="BB1" s="389" t="s">
        <v>360</v>
      </c>
      <c r="BC1" s="389" t="s">
        <v>361</v>
      </c>
      <c r="BD1" s="389" t="s">
        <v>362</v>
      </c>
      <c r="BE1" s="389" t="s">
        <v>363</v>
      </c>
      <c r="BF1" s="389" t="s">
        <v>364</v>
      </c>
      <c r="BG1" s="389" t="s">
        <v>365</v>
      </c>
      <c r="BH1" s="389" t="s">
        <v>366</v>
      </c>
      <c r="BI1" s="389" t="s">
        <v>367</v>
      </c>
      <c r="BJ1" s="389" t="s">
        <v>368</v>
      </c>
      <c r="BK1" s="389" t="s">
        <v>369</v>
      </c>
      <c r="BL1" s="390" t="s">
        <v>370</v>
      </c>
      <c r="BM1" s="390" t="s">
        <v>371</v>
      </c>
      <c r="BN1" s="389" t="s">
        <v>372</v>
      </c>
      <c r="BO1" s="389" t="s">
        <v>373</v>
      </c>
      <c r="BP1" s="389" t="s">
        <v>374</v>
      </c>
      <c r="BQ1" s="389" t="s">
        <v>375</v>
      </c>
      <c r="BR1" s="389" t="s">
        <v>376</v>
      </c>
      <c r="BS1" s="389" t="s">
        <v>377</v>
      </c>
      <c r="BT1" s="389" t="s">
        <v>378</v>
      </c>
      <c r="BU1" s="389" t="s">
        <v>379</v>
      </c>
      <c r="BV1" s="389" t="s">
        <v>380</v>
      </c>
      <c r="BW1" s="389" t="s">
        <v>381</v>
      </c>
      <c r="BX1" s="390" t="s">
        <v>382</v>
      </c>
      <c r="BY1" s="390" t="s">
        <v>383</v>
      </c>
      <c r="BZ1" s="389" t="s">
        <v>384</v>
      </c>
      <c r="CA1" s="389" t="s">
        <v>385</v>
      </c>
      <c r="CB1" s="389" t="s">
        <v>386</v>
      </c>
      <c r="CC1" s="389" t="s">
        <v>387</v>
      </c>
      <c r="CD1" s="389" t="s">
        <v>388</v>
      </c>
      <c r="CE1" s="389" t="s">
        <v>389</v>
      </c>
      <c r="CF1" s="389" t="s">
        <v>390</v>
      </c>
      <c r="CG1" s="389" t="s">
        <v>391</v>
      </c>
      <c r="CH1" s="389" t="s">
        <v>392</v>
      </c>
      <c r="CI1" s="389" t="s">
        <v>393</v>
      </c>
      <c r="CJ1" s="390" t="s">
        <v>394</v>
      </c>
      <c r="CK1" s="390" t="s">
        <v>395</v>
      </c>
      <c r="CL1" s="391" t="s">
        <v>396</v>
      </c>
      <c r="CM1" s="391" t="s">
        <v>397</v>
      </c>
      <c r="CN1" s="391" t="s">
        <v>398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0</v>
      </c>
      <c r="P2" s="385">
        <v>1</v>
      </c>
      <c r="Q2" s="385">
        <v>1</v>
      </c>
      <c r="R2" s="380">
        <v>80</v>
      </c>
      <c r="S2" s="385">
        <v>1</v>
      </c>
      <c r="T2" s="380">
        <v>57254.81</v>
      </c>
      <c r="U2" s="380">
        <v>0</v>
      </c>
      <c r="V2" s="380">
        <v>23171.55</v>
      </c>
      <c r="W2" s="380">
        <v>54080</v>
      </c>
      <c r="X2" s="380">
        <v>23687.040000000001</v>
      </c>
      <c r="Y2" s="380">
        <v>54080</v>
      </c>
      <c r="Z2" s="380">
        <v>23416.639999999999</v>
      </c>
      <c r="AA2" s="378"/>
      <c r="AB2" s="376" t="s">
        <v>45</v>
      </c>
      <c r="AC2" s="376" t="s">
        <v>45</v>
      </c>
      <c r="AD2" s="378"/>
      <c r="AE2" s="378"/>
      <c r="AF2" s="378"/>
      <c r="AG2" s="378"/>
      <c r="AH2" s="379">
        <v>0</v>
      </c>
      <c r="AI2" s="379">
        <v>0</v>
      </c>
      <c r="AJ2" s="378"/>
      <c r="AK2" s="378"/>
      <c r="AL2" s="376" t="s">
        <v>173</v>
      </c>
      <c r="AM2" s="378"/>
      <c r="AN2" s="378"/>
      <c r="AO2" s="379">
        <v>0</v>
      </c>
      <c r="AP2" s="385">
        <v>0</v>
      </c>
      <c r="AQ2" s="385">
        <v>0</v>
      </c>
      <c r="AR2" s="383"/>
      <c r="AS2" s="387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7" t="str">
        <f>IF(AT2=0,"",IF(AND(AT2=1,M2="F",SUMIF(C2:C34,C2,AS2:AS34)&lt;=1),SUMIF(C2:C34,C2,AS2:AS34),IF(AND(AT2=1,M2="F",SUMIF(C2:C34,C2,AS2:AS34)&gt;1),1,"")))</f>
        <v/>
      </c>
      <c r="AV2" s="387" t="str">
        <f>IF(AT2=0,"",IF(AND(AT2=3,M2="F",SUMIF(C2:C34,C2,AS2:AS34)&lt;=1),SUMIF(C2:C34,C2,AS2:AS34),IF(AND(AT2=3,M2="F",SUMIF(C2:C34,C2,AS2:AS34)&gt;1),1,"")))</f>
        <v/>
      </c>
      <c r="AW2" s="387">
        <f>SUMIF(C2:C34,C2,O2:O34)</f>
        <v>0</v>
      </c>
      <c r="AX2" s="387">
        <f>IF(AND(M2="F",AS2&lt;&gt;0),SUMIF(C2:C34,C2,W2:W34),0)</f>
        <v>0</v>
      </c>
      <c r="AY2" s="387" t="str">
        <f>IF(AT2=1,W2,"")</f>
        <v/>
      </c>
      <c r="AZ2" s="387" t="str">
        <f>IF(AT2=3,W2,"")</f>
        <v/>
      </c>
      <c r="BA2" s="387">
        <f>IF(AT2=1,Y2-W2,0)</f>
        <v>0</v>
      </c>
      <c r="BB2" s="387">
        <f t="shared" ref="BB2:BB34" si="0">IF(AND(AT2=1,AK2="E",AU2&gt;=0.75,AW2=1),Health,IF(AND(AT2=1,AK2="E",AU2&gt;=0.75),Health*P2,IF(AND(AT2=1,AK2="E",AU2&gt;=0.5,AW2=1),PTHealth,IF(AND(AT2=1,AK2="E",AU2&gt;=0.5),PTHealth*P2,0))))</f>
        <v>0</v>
      </c>
      <c r="BC2" s="387">
        <f t="shared" ref="BC2:BC34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4" si="2">IF(AND(AT2&lt;&gt;0,AX2&gt;=MAXSSDI),SSDI*MAXSSDI*P2,IF(AT2&lt;&gt;0,SSDI*W2,0))</f>
        <v>0</v>
      </c>
      <c r="BE2" s="387">
        <f t="shared" ref="BE2:BE34" si="3">IF(AT2&lt;&gt;0,SSHI*W2,0)</f>
        <v>0</v>
      </c>
      <c r="BF2" s="387">
        <f t="shared" ref="BF2:BF34" si="4">IF(AND(AT2&lt;&gt;0,AN2&lt;&gt;"NE"),VLOOKUP(AN2,Retirement_Rates,3,FALSE)*W2,0)</f>
        <v>0</v>
      </c>
      <c r="BG2" s="387">
        <f t="shared" ref="BG2:BG34" si="5">IF(AND(AT2&lt;&gt;0,AJ2&lt;&gt;"PF"),Life*W2,0)</f>
        <v>0</v>
      </c>
      <c r="BH2" s="387">
        <f t="shared" ref="BH2:BH34" si="6">IF(AND(AT2&lt;&gt;0,AM2="Y"),UI*W2,0)</f>
        <v>0</v>
      </c>
      <c r="BI2" s="387">
        <f t="shared" ref="BI2:BI34" si="7">IF(AND(AT2&lt;&gt;0,N2&lt;&gt;"NR"),DHR*W2,0)</f>
        <v>0</v>
      </c>
      <c r="BJ2" s="387">
        <f t="shared" ref="BJ2:BJ34" si="8">IF(AT2&lt;&gt;0,WC*W2,0)</f>
        <v>0</v>
      </c>
      <c r="BK2" s="387">
        <f t="shared" ref="BK2:BK34" si="9">IF(OR(AND(AT2&lt;&gt;0,AJ2&lt;&gt;"PF",AN2&lt;&gt;"NE",AG2&lt;&gt;"A"),AND(AL2="E",OR(AT2=1,AT2=3))),Sick*W2,0)</f>
        <v>0</v>
      </c>
      <c r="BL2" s="387">
        <f>IF(AT2=1,SUM(BD2:BK2),0)</f>
        <v>0</v>
      </c>
      <c r="BM2" s="387">
        <f>IF(AT2=3,SUM(BD2:BK2),0)</f>
        <v>0</v>
      </c>
      <c r="BN2" s="387">
        <f t="shared" ref="BN2:BN34" si="10">IF(AND(AT2=1,AK2="E",AU2&gt;=0.75,AW2=1),HealthBY,IF(AND(AT2=1,AK2="E",AU2&gt;=0.75),HealthBY*P2,IF(AND(AT2=1,AK2="E",AU2&gt;=0.5,AW2=1),PTHealthBY,IF(AND(AT2=1,AK2="E",AU2&gt;=0.5),PTHealthBY*P2,0))))</f>
        <v>0</v>
      </c>
      <c r="BO2" s="387">
        <f t="shared" ref="BO2:BO34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4" si="12">IF(AND(AT2&lt;&gt;0,(AX2+BA2)&gt;=MAXSSDIBY),SSDIBY*MAXSSDIBY*P2,IF(AT2&lt;&gt;0,SSDIBY*W2,0))</f>
        <v>0</v>
      </c>
      <c r="BQ2" s="387">
        <f t="shared" ref="BQ2:BQ34" si="13">IF(AT2&lt;&gt;0,SSHIBY*W2,0)</f>
        <v>0</v>
      </c>
      <c r="BR2" s="387">
        <f t="shared" ref="BR2:BR34" si="14">IF(AND(AT2&lt;&gt;0,AN2&lt;&gt;"NE"),VLOOKUP(AN2,Retirement_Rates,4,FALSE)*W2,0)</f>
        <v>0</v>
      </c>
      <c r="BS2" s="387">
        <f t="shared" ref="BS2:BS34" si="15">IF(AND(AT2&lt;&gt;0,AJ2&lt;&gt;"PF"),LifeBY*W2,0)</f>
        <v>0</v>
      </c>
      <c r="BT2" s="387">
        <f t="shared" ref="BT2:BT34" si="16">IF(AND(AT2&lt;&gt;0,AM2="Y"),UIBY*W2,0)</f>
        <v>0</v>
      </c>
      <c r="BU2" s="387">
        <f t="shared" ref="BU2:BU34" si="17">IF(AND(AT2&lt;&gt;0,N2&lt;&gt;"NR"),DHRBY*W2,0)</f>
        <v>0</v>
      </c>
      <c r="BV2" s="387">
        <f t="shared" ref="BV2:BV34" si="18">IF(AT2&lt;&gt;0,WCBY*W2,0)</f>
        <v>0</v>
      </c>
      <c r="BW2" s="387">
        <f t="shared" ref="BW2:BW34" si="19">IF(OR(AND(AT2&lt;&gt;0,AJ2&lt;&gt;"PF",AN2&lt;&gt;"NE",AG2&lt;&gt;"A"),AND(AL2="E",OR(AT2=1,AT2=3))),SickBY*W2,0)</f>
        <v>0</v>
      </c>
      <c r="BX2" s="387">
        <f>IF(AT2=1,SUM(BP2:BW2),0)</f>
        <v>0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34" si="20">IF(AT2&lt;&gt;0,SSHICHG*Y2,0)</f>
        <v>0</v>
      </c>
      <c r="CD2" s="387">
        <f t="shared" ref="CD2:CD34" si="21">IF(AND(AT2&lt;&gt;0,AN2&lt;&gt;"NE"),VLOOKUP(AN2,Retirement_Rates,5,FALSE)*Y2,0)</f>
        <v>0</v>
      </c>
      <c r="CE2" s="387">
        <f t="shared" ref="CE2:CE34" si="22">IF(AND(AT2&lt;&gt;0,AJ2&lt;&gt;"PF"),LifeCHG*Y2,0)</f>
        <v>0</v>
      </c>
      <c r="CF2" s="387">
        <f t="shared" ref="CF2:CF34" si="23">IF(AND(AT2&lt;&gt;0,AM2="Y"),UICHG*Y2,0)</f>
        <v>0</v>
      </c>
      <c r="CG2" s="387">
        <f t="shared" ref="CG2:CG34" si="24">IF(AND(AT2&lt;&gt;0,N2&lt;&gt;"NR"),DHRCHG*Y2,0)</f>
        <v>0</v>
      </c>
      <c r="CH2" s="387">
        <f t="shared" ref="CH2:CH34" si="25">IF(AT2&lt;&gt;0,WCCHG*Y2,0)</f>
        <v>0</v>
      </c>
      <c r="CI2" s="387">
        <f t="shared" ref="CI2:CI34" si="26">IF(OR(AND(AT2&lt;&gt;0,AJ2&lt;&gt;"PF",AN2&lt;&gt;"NE",AG2&lt;&gt;"A"),AND(AL2="E",OR(AT2=1,AT2=3))),SickCHG*Y2,0)</f>
        <v>0</v>
      </c>
      <c r="CJ2" s="387">
        <f>IF(AT2=1,SUM(CB2:CI2),0)</f>
        <v>0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174</v>
      </c>
      <c r="D3" s="376" t="s">
        <v>175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176</v>
      </c>
      <c r="L3" s="376" t="s">
        <v>166</v>
      </c>
      <c r="M3" s="376" t="s">
        <v>177</v>
      </c>
      <c r="N3" s="376" t="s">
        <v>172</v>
      </c>
      <c r="O3" s="379">
        <v>1</v>
      </c>
      <c r="P3" s="385">
        <v>1</v>
      </c>
      <c r="Q3" s="385">
        <v>1</v>
      </c>
      <c r="R3" s="380">
        <v>80</v>
      </c>
      <c r="S3" s="385">
        <v>1</v>
      </c>
      <c r="T3" s="380">
        <v>105171.4</v>
      </c>
      <c r="U3" s="380">
        <v>0</v>
      </c>
      <c r="V3" s="380">
        <v>32881.5</v>
      </c>
      <c r="W3" s="380">
        <v>104000</v>
      </c>
      <c r="X3" s="380">
        <v>33501.440000000002</v>
      </c>
      <c r="Y3" s="380">
        <v>104000</v>
      </c>
      <c r="Z3" s="380">
        <v>32960.639999999999</v>
      </c>
      <c r="AA3" s="376" t="s">
        <v>178</v>
      </c>
      <c r="AB3" s="376" t="s">
        <v>179</v>
      </c>
      <c r="AC3" s="376" t="s">
        <v>180</v>
      </c>
      <c r="AD3" s="376" t="s">
        <v>181</v>
      </c>
      <c r="AE3" s="376" t="s">
        <v>176</v>
      </c>
      <c r="AF3" s="376" t="s">
        <v>182</v>
      </c>
      <c r="AG3" s="376" t="s">
        <v>183</v>
      </c>
      <c r="AH3" s="379">
        <v>50</v>
      </c>
      <c r="AI3" s="381">
        <v>3820.3</v>
      </c>
      <c r="AJ3" s="376" t="s">
        <v>184</v>
      </c>
      <c r="AK3" s="376" t="s">
        <v>185</v>
      </c>
      <c r="AL3" s="376" t="s">
        <v>173</v>
      </c>
      <c r="AM3" s="376" t="s">
        <v>186</v>
      </c>
      <c r="AN3" s="376" t="s">
        <v>68</v>
      </c>
      <c r="AO3" s="379">
        <v>80</v>
      </c>
      <c r="AP3" s="385">
        <v>1</v>
      </c>
      <c r="AQ3" s="385">
        <v>1</v>
      </c>
      <c r="AR3" s="384" t="s">
        <v>187</v>
      </c>
      <c r="AS3" s="387">
        <f t="shared" ref="AS3:AS34" si="27">IF(((AO3/80)*AP3*P3)&gt;1,AQ3,((AO3/80)*AP3*P3))</f>
        <v>1</v>
      </c>
      <c r="AT3">
        <f t="shared" ref="AT3:AT34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IF(AT3=0,"",IF(AND(AT3=1,M3="F",SUMIF(C2:C34,C3,AS2:AS34)&lt;=1),SUMIF(C2:C34,C3,AS2:AS34),IF(AND(AT3=1,M3="F",SUMIF(C2:C34,C3,AS2:AS34)&gt;1),1,"")))</f>
        <v>1</v>
      </c>
      <c r="AV3" s="387" t="str">
        <f>IF(AT3=0,"",IF(AND(AT3=3,M3="F",SUMIF(C2:C34,C3,AS2:AS34)&lt;=1),SUMIF(C2:C34,C3,AS2:AS34),IF(AND(AT3=3,M3="F",SUMIF(C2:C34,C3,AS2:AS34)&gt;1),1,"")))</f>
        <v/>
      </c>
      <c r="AW3" s="387">
        <f>SUMIF(C2:C34,C3,O2:O34)</f>
        <v>1</v>
      </c>
      <c r="AX3" s="387">
        <f>IF(AND(M3="F",AS3&lt;&gt;0),SUMIF(C2:C34,C3,W2:W34),0)</f>
        <v>104000</v>
      </c>
      <c r="AY3" s="387">
        <f t="shared" ref="AY3:AY34" si="29">IF(AT3=1,W3,"")</f>
        <v>104000</v>
      </c>
      <c r="AZ3" s="387" t="str">
        <f t="shared" ref="AZ3:AZ34" si="30">IF(AT3=3,W3,"")</f>
        <v/>
      </c>
      <c r="BA3" s="387">
        <f t="shared" ref="BA3:BA34" si="31">IF(AT3=1,Y3-W3,0)</f>
        <v>0</v>
      </c>
      <c r="BB3" s="387">
        <f t="shared" si="0"/>
        <v>11650</v>
      </c>
      <c r="BC3" s="387">
        <f t="shared" si="1"/>
        <v>0</v>
      </c>
      <c r="BD3" s="387">
        <f t="shared" si="2"/>
        <v>6448</v>
      </c>
      <c r="BE3" s="387">
        <f t="shared" si="3"/>
        <v>1508</v>
      </c>
      <c r="BF3" s="387">
        <f t="shared" si="4"/>
        <v>12417.6</v>
      </c>
      <c r="BG3" s="387">
        <f t="shared" si="5"/>
        <v>749.84</v>
      </c>
      <c r="BH3" s="387">
        <f t="shared" si="6"/>
        <v>509.59999999999997</v>
      </c>
      <c r="BI3" s="387">
        <f t="shared" si="7"/>
        <v>0</v>
      </c>
      <c r="BJ3" s="387">
        <f t="shared" si="8"/>
        <v>218.39999999999998</v>
      </c>
      <c r="BK3" s="387">
        <f t="shared" si="9"/>
        <v>0</v>
      </c>
      <c r="BL3" s="387">
        <f t="shared" ref="BL3:BL34" si="32">IF(AT3=1,SUM(BD3:BK3),0)</f>
        <v>21851.439999999999</v>
      </c>
      <c r="BM3" s="387">
        <f t="shared" ref="BM3:BM34" si="33">IF(AT3=3,SUM(BD3:BK3),0)</f>
        <v>0</v>
      </c>
      <c r="BN3" s="387">
        <f t="shared" si="10"/>
        <v>11650</v>
      </c>
      <c r="BO3" s="387">
        <f t="shared" si="11"/>
        <v>0</v>
      </c>
      <c r="BP3" s="387">
        <f t="shared" si="12"/>
        <v>6448</v>
      </c>
      <c r="BQ3" s="387">
        <f t="shared" si="13"/>
        <v>1508</v>
      </c>
      <c r="BR3" s="387">
        <f t="shared" si="14"/>
        <v>12417.6</v>
      </c>
      <c r="BS3" s="387">
        <f t="shared" si="15"/>
        <v>749.84</v>
      </c>
      <c r="BT3" s="387">
        <f t="shared" si="16"/>
        <v>0</v>
      </c>
      <c r="BU3" s="387">
        <f t="shared" si="17"/>
        <v>0</v>
      </c>
      <c r="BV3" s="387">
        <f t="shared" si="18"/>
        <v>187.2</v>
      </c>
      <c r="BW3" s="387">
        <f t="shared" si="19"/>
        <v>0</v>
      </c>
      <c r="BX3" s="387">
        <f t="shared" ref="BX3:BX34" si="34">IF(AT3=1,SUM(BP3:BW3),0)</f>
        <v>21310.639999999999</v>
      </c>
      <c r="BY3" s="387">
        <f t="shared" ref="BY3:BY34" si="35">IF(AT3=3,SUM(BP3:BW3),0)</f>
        <v>0</v>
      </c>
      <c r="BZ3" s="387">
        <f t="shared" ref="BZ3:BZ34" si="36">IF(AT3=1,BN3-BB3,0)</f>
        <v>0</v>
      </c>
      <c r="CA3" s="387">
        <f t="shared" ref="CA3:CA34" si="37">IF(AT3=3,BO3-BC3,0)</f>
        <v>0</v>
      </c>
      <c r="CB3" s="387">
        <f t="shared" ref="CB3:CB34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-509.59999999999997</v>
      </c>
      <c r="CG3" s="387">
        <f t="shared" si="24"/>
        <v>0</v>
      </c>
      <c r="CH3" s="387">
        <f t="shared" si="25"/>
        <v>-31.199999999999992</v>
      </c>
      <c r="CI3" s="387">
        <f t="shared" si="26"/>
        <v>0</v>
      </c>
      <c r="CJ3" s="387">
        <f t="shared" ref="CJ3:CJ34" si="39">IF(AT3=1,SUM(CB3:CI3),0)</f>
        <v>-540.79999999999995</v>
      </c>
      <c r="CK3" s="387" t="str">
        <f t="shared" ref="CK3:CK34" si="40">IF(AT3=3,SUM(CB3:CI3),"")</f>
        <v/>
      </c>
      <c r="CL3" s="387" t="str">
        <f t="shared" ref="CL3:CL34" si="41">IF(OR(N3="NG",AG3="D"),(T3+U3),"")</f>
        <v/>
      </c>
      <c r="CM3" s="387" t="str">
        <f t="shared" ref="CM3:CM34" si="42">IF(OR(N3="NG",AG3="D"),V3,"")</f>
        <v/>
      </c>
      <c r="CN3" s="387" t="str">
        <f t="shared" ref="CN3:CN34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188</v>
      </c>
      <c r="D4" s="376" t="s">
        <v>189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190</v>
      </c>
      <c r="L4" s="376" t="s">
        <v>183</v>
      </c>
      <c r="M4" s="376" t="s">
        <v>171</v>
      </c>
      <c r="N4" s="376" t="s">
        <v>172</v>
      </c>
      <c r="O4" s="379">
        <v>0</v>
      </c>
      <c r="P4" s="385">
        <v>1</v>
      </c>
      <c r="Q4" s="385">
        <v>1</v>
      </c>
      <c r="R4" s="380">
        <v>80</v>
      </c>
      <c r="S4" s="385">
        <v>1</v>
      </c>
      <c r="T4" s="380">
        <v>35805.550000000003</v>
      </c>
      <c r="U4" s="380">
        <v>0</v>
      </c>
      <c r="V4" s="380">
        <v>18432.38</v>
      </c>
      <c r="W4" s="380">
        <v>33945.599999999999</v>
      </c>
      <c r="X4" s="380">
        <v>14868.17</v>
      </c>
      <c r="Y4" s="380">
        <v>33945.599999999999</v>
      </c>
      <c r="Z4" s="380">
        <v>14698.44</v>
      </c>
      <c r="AA4" s="378"/>
      <c r="AB4" s="376" t="s">
        <v>45</v>
      </c>
      <c r="AC4" s="376" t="s">
        <v>45</v>
      </c>
      <c r="AD4" s="378"/>
      <c r="AE4" s="378"/>
      <c r="AF4" s="378"/>
      <c r="AG4" s="378"/>
      <c r="AH4" s="379">
        <v>0</v>
      </c>
      <c r="AI4" s="379">
        <v>0</v>
      </c>
      <c r="AJ4" s="378"/>
      <c r="AK4" s="378"/>
      <c r="AL4" s="376" t="s">
        <v>173</v>
      </c>
      <c r="AM4" s="378"/>
      <c r="AN4" s="378"/>
      <c r="AO4" s="379">
        <v>0</v>
      </c>
      <c r="AP4" s="385">
        <v>0</v>
      </c>
      <c r="AQ4" s="385">
        <v>0</v>
      </c>
      <c r="AR4" s="383"/>
      <c r="AS4" s="387">
        <f t="shared" si="27"/>
        <v>0</v>
      </c>
      <c r="AT4">
        <f t="shared" si="28"/>
        <v>0</v>
      </c>
      <c r="AU4" s="387" t="str">
        <f>IF(AT4=0,"",IF(AND(AT4=1,M4="F",SUMIF(C2:C34,C4,AS2:AS34)&lt;=1),SUMIF(C2:C34,C4,AS2:AS34),IF(AND(AT4=1,M4="F",SUMIF(C2:C34,C4,AS2:AS34)&gt;1),1,"")))</f>
        <v/>
      </c>
      <c r="AV4" s="387" t="str">
        <f>IF(AT4=0,"",IF(AND(AT4=3,M4="F",SUMIF(C2:C34,C4,AS2:AS34)&lt;=1),SUMIF(C2:C34,C4,AS2:AS34),IF(AND(AT4=3,M4="F",SUMIF(C2:C34,C4,AS2:AS34)&gt;1),1,"")))</f>
        <v/>
      </c>
      <c r="AW4" s="387">
        <f>SUMIF(C2:C34,C4,O2:O34)</f>
        <v>0</v>
      </c>
      <c r="AX4" s="387">
        <f>IF(AND(M4="F",AS4&lt;&gt;0),SUMIF(C2:C34,C4,W2:W34),0)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191</v>
      </c>
      <c r="D5" s="376" t="s">
        <v>192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193</v>
      </c>
      <c r="L5" s="376" t="s">
        <v>166</v>
      </c>
      <c r="M5" s="376" t="s">
        <v>177</v>
      </c>
      <c r="N5" s="376" t="s">
        <v>172</v>
      </c>
      <c r="O5" s="379">
        <v>1</v>
      </c>
      <c r="P5" s="385">
        <v>1</v>
      </c>
      <c r="Q5" s="385">
        <v>1</v>
      </c>
      <c r="R5" s="380">
        <v>80</v>
      </c>
      <c r="S5" s="385">
        <v>1</v>
      </c>
      <c r="T5" s="380">
        <v>47003.28</v>
      </c>
      <c r="U5" s="380">
        <v>96.39</v>
      </c>
      <c r="V5" s="380">
        <v>21117.51</v>
      </c>
      <c r="W5" s="380">
        <v>45448</v>
      </c>
      <c r="X5" s="380">
        <v>21199.06</v>
      </c>
      <c r="Y5" s="380">
        <v>45448</v>
      </c>
      <c r="Z5" s="380">
        <v>20962.73</v>
      </c>
      <c r="AA5" s="376" t="s">
        <v>194</v>
      </c>
      <c r="AB5" s="376" t="s">
        <v>195</v>
      </c>
      <c r="AC5" s="376" t="s">
        <v>196</v>
      </c>
      <c r="AD5" s="376" t="s">
        <v>197</v>
      </c>
      <c r="AE5" s="376" t="s">
        <v>193</v>
      </c>
      <c r="AF5" s="376" t="s">
        <v>182</v>
      </c>
      <c r="AG5" s="376" t="s">
        <v>183</v>
      </c>
      <c r="AH5" s="381">
        <v>21.85</v>
      </c>
      <c r="AI5" s="381">
        <v>12727.1</v>
      </c>
      <c r="AJ5" s="376" t="s">
        <v>184</v>
      </c>
      <c r="AK5" s="376" t="s">
        <v>185</v>
      </c>
      <c r="AL5" s="376" t="s">
        <v>173</v>
      </c>
      <c r="AM5" s="376" t="s">
        <v>186</v>
      </c>
      <c r="AN5" s="376" t="s">
        <v>68</v>
      </c>
      <c r="AO5" s="379">
        <v>80</v>
      </c>
      <c r="AP5" s="385">
        <v>1</v>
      </c>
      <c r="AQ5" s="385">
        <v>1</v>
      </c>
      <c r="AR5" s="384" t="s">
        <v>187</v>
      </c>
      <c r="AS5" s="387">
        <f t="shared" si="27"/>
        <v>1</v>
      </c>
      <c r="AT5">
        <f t="shared" si="28"/>
        <v>1</v>
      </c>
      <c r="AU5" s="387">
        <f>IF(AT5=0,"",IF(AND(AT5=1,M5="F",SUMIF(C2:C34,C5,AS2:AS34)&lt;=1),SUMIF(C2:C34,C5,AS2:AS34),IF(AND(AT5=1,M5="F",SUMIF(C2:C34,C5,AS2:AS34)&gt;1),1,"")))</f>
        <v>1</v>
      </c>
      <c r="AV5" s="387" t="str">
        <f>IF(AT5=0,"",IF(AND(AT5=3,M5="F",SUMIF(C2:C34,C5,AS2:AS34)&lt;=1),SUMIF(C2:C34,C5,AS2:AS34),IF(AND(AT5=3,M5="F",SUMIF(C2:C34,C5,AS2:AS34)&gt;1),1,"")))</f>
        <v/>
      </c>
      <c r="AW5" s="387">
        <f>SUMIF(C2:C34,C5,O2:O34)</f>
        <v>1</v>
      </c>
      <c r="AX5" s="387">
        <f>IF(AND(M5="F",AS5&lt;&gt;0),SUMIF(C2:C34,C5,W2:W34),0)</f>
        <v>45448</v>
      </c>
      <c r="AY5" s="387">
        <f t="shared" si="29"/>
        <v>45448</v>
      </c>
      <c r="AZ5" s="387" t="str">
        <f t="shared" si="30"/>
        <v/>
      </c>
      <c r="BA5" s="387">
        <f t="shared" si="31"/>
        <v>0</v>
      </c>
      <c r="BB5" s="387">
        <f t="shared" si="0"/>
        <v>11650</v>
      </c>
      <c r="BC5" s="387">
        <f t="shared" si="1"/>
        <v>0</v>
      </c>
      <c r="BD5" s="387">
        <f t="shared" si="2"/>
        <v>2817.7759999999998</v>
      </c>
      <c r="BE5" s="387">
        <f t="shared" si="3"/>
        <v>658.99599999999998</v>
      </c>
      <c r="BF5" s="387">
        <f t="shared" si="4"/>
        <v>5426.4912000000004</v>
      </c>
      <c r="BG5" s="387">
        <f t="shared" si="5"/>
        <v>327.68008000000003</v>
      </c>
      <c r="BH5" s="387">
        <f t="shared" si="6"/>
        <v>222.6952</v>
      </c>
      <c r="BI5" s="387">
        <f t="shared" si="7"/>
        <v>0</v>
      </c>
      <c r="BJ5" s="387">
        <f t="shared" si="8"/>
        <v>95.440799999999996</v>
      </c>
      <c r="BK5" s="387">
        <f t="shared" si="9"/>
        <v>0</v>
      </c>
      <c r="BL5" s="387">
        <f t="shared" si="32"/>
        <v>9549.0792800000017</v>
      </c>
      <c r="BM5" s="387">
        <f t="shared" si="33"/>
        <v>0</v>
      </c>
      <c r="BN5" s="387">
        <f t="shared" si="10"/>
        <v>11650</v>
      </c>
      <c r="BO5" s="387">
        <f t="shared" si="11"/>
        <v>0</v>
      </c>
      <c r="BP5" s="387">
        <f t="shared" si="12"/>
        <v>2817.7759999999998</v>
      </c>
      <c r="BQ5" s="387">
        <f t="shared" si="13"/>
        <v>658.99599999999998</v>
      </c>
      <c r="BR5" s="387">
        <f t="shared" si="14"/>
        <v>5426.4912000000004</v>
      </c>
      <c r="BS5" s="387">
        <f t="shared" si="15"/>
        <v>327.68008000000003</v>
      </c>
      <c r="BT5" s="387">
        <f t="shared" si="16"/>
        <v>0</v>
      </c>
      <c r="BU5" s="387">
        <f t="shared" si="17"/>
        <v>0</v>
      </c>
      <c r="BV5" s="387">
        <f t="shared" si="18"/>
        <v>81.806399999999996</v>
      </c>
      <c r="BW5" s="387">
        <f t="shared" si="19"/>
        <v>0</v>
      </c>
      <c r="BX5" s="387">
        <f t="shared" si="34"/>
        <v>9312.7496800000008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-222.6952</v>
      </c>
      <c r="CG5" s="387">
        <f t="shared" si="24"/>
        <v>0</v>
      </c>
      <c r="CH5" s="387">
        <f t="shared" si="25"/>
        <v>-13.634399999999996</v>
      </c>
      <c r="CI5" s="387">
        <f t="shared" si="26"/>
        <v>0</v>
      </c>
      <c r="CJ5" s="387">
        <f t="shared" si="39"/>
        <v>-236.3296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198</v>
      </c>
      <c r="D6" s="376" t="s">
        <v>199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200</v>
      </c>
      <c r="L6" s="376" t="s">
        <v>201</v>
      </c>
      <c r="M6" s="376" t="s">
        <v>171</v>
      </c>
      <c r="N6" s="376" t="s">
        <v>172</v>
      </c>
      <c r="O6" s="379">
        <v>0</v>
      </c>
      <c r="P6" s="385">
        <v>1</v>
      </c>
      <c r="Q6" s="385">
        <v>1</v>
      </c>
      <c r="R6" s="380">
        <v>80</v>
      </c>
      <c r="S6" s="385">
        <v>1</v>
      </c>
      <c r="T6" s="380">
        <v>0</v>
      </c>
      <c r="U6" s="380">
        <v>0</v>
      </c>
      <c r="V6" s="380">
        <v>-485.42</v>
      </c>
      <c r="W6" s="380">
        <v>32760</v>
      </c>
      <c r="X6" s="380">
        <v>14348.88</v>
      </c>
      <c r="Y6" s="380">
        <v>32760</v>
      </c>
      <c r="Z6" s="380">
        <v>14185.08</v>
      </c>
      <c r="AA6" s="378"/>
      <c r="AB6" s="376" t="s">
        <v>45</v>
      </c>
      <c r="AC6" s="376" t="s">
        <v>45</v>
      </c>
      <c r="AD6" s="378"/>
      <c r="AE6" s="378"/>
      <c r="AF6" s="378"/>
      <c r="AG6" s="378"/>
      <c r="AH6" s="379">
        <v>0</v>
      </c>
      <c r="AI6" s="379">
        <v>0</v>
      </c>
      <c r="AJ6" s="378"/>
      <c r="AK6" s="378"/>
      <c r="AL6" s="376" t="s">
        <v>173</v>
      </c>
      <c r="AM6" s="378"/>
      <c r="AN6" s="378"/>
      <c r="AO6" s="379">
        <v>0</v>
      </c>
      <c r="AP6" s="385">
        <v>0</v>
      </c>
      <c r="AQ6" s="385">
        <v>0</v>
      </c>
      <c r="AR6" s="383"/>
      <c r="AS6" s="387">
        <f t="shared" si="27"/>
        <v>0</v>
      </c>
      <c r="AT6">
        <f t="shared" si="28"/>
        <v>0</v>
      </c>
      <c r="AU6" s="387" t="str">
        <f>IF(AT6=0,"",IF(AND(AT6=1,M6="F",SUMIF(C2:C34,C6,AS2:AS34)&lt;=1),SUMIF(C2:C34,C6,AS2:AS34),IF(AND(AT6=1,M6="F",SUMIF(C2:C34,C6,AS2:AS34)&gt;1),1,"")))</f>
        <v/>
      </c>
      <c r="AV6" s="387" t="str">
        <f>IF(AT6=0,"",IF(AND(AT6=3,M6="F",SUMIF(C2:C34,C6,AS2:AS34)&lt;=1),SUMIF(C2:C34,C6,AS2:AS34),IF(AND(AT6=3,M6="F",SUMIF(C2:C34,C6,AS2:AS34)&gt;1),1,"")))</f>
        <v/>
      </c>
      <c r="AW6" s="387">
        <f>SUMIF(C2:C34,C6,O2:O34)</f>
        <v>0</v>
      </c>
      <c r="AX6" s="387">
        <f>IF(AND(M6="F",AS6&lt;&gt;0),SUMIF(C2:C34,C6,W2:W34),0)</f>
        <v>0</v>
      </c>
      <c r="AY6" s="387" t="str">
        <f t="shared" si="29"/>
        <v/>
      </c>
      <c r="AZ6" s="387" t="str">
        <f t="shared" si="30"/>
        <v/>
      </c>
      <c r="BA6" s="387">
        <f t="shared" si="31"/>
        <v>0</v>
      </c>
      <c r="BB6" s="387">
        <f t="shared" si="0"/>
        <v>0</v>
      </c>
      <c r="BC6" s="387">
        <f t="shared" si="1"/>
        <v>0</v>
      </c>
      <c r="BD6" s="387">
        <f t="shared" si="2"/>
        <v>0</v>
      </c>
      <c r="BE6" s="387">
        <f t="shared" si="3"/>
        <v>0</v>
      </c>
      <c r="BF6" s="387">
        <f t="shared" si="4"/>
        <v>0</v>
      </c>
      <c r="BG6" s="387">
        <f t="shared" si="5"/>
        <v>0</v>
      </c>
      <c r="BH6" s="387">
        <f t="shared" si="6"/>
        <v>0</v>
      </c>
      <c r="BI6" s="387">
        <f t="shared" si="7"/>
        <v>0</v>
      </c>
      <c r="BJ6" s="387">
        <f t="shared" si="8"/>
        <v>0</v>
      </c>
      <c r="BK6" s="387">
        <f t="shared" si="9"/>
        <v>0</v>
      </c>
      <c r="BL6" s="387">
        <f t="shared" si="32"/>
        <v>0</v>
      </c>
      <c r="BM6" s="387">
        <f t="shared" si="33"/>
        <v>0</v>
      </c>
      <c r="BN6" s="387">
        <f t="shared" si="10"/>
        <v>0</v>
      </c>
      <c r="BO6" s="387">
        <f t="shared" si="11"/>
        <v>0</v>
      </c>
      <c r="BP6" s="387">
        <f t="shared" si="12"/>
        <v>0</v>
      </c>
      <c r="BQ6" s="387">
        <f t="shared" si="13"/>
        <v>0</v>
      </c>
      <c r="BR6" s="387">
        <f t="shared" si="14"/>
        <v>0</v>
      </c>
      <c r="BS6" s="387">
        <f t="shared" si="15"/>
        <v>0</v>
      </c>
      <c r="BT6" s="387">
        <f t="shared" si="16"/>
        <v>0</v>
      </c>
      <c r="BU6" s="387">
        <f t="shared" si="17"/>
        <v>0</v>
      </c>
      <c r="BV6" s="387">
        <f t="shared" si="18"/>
        <v>0</v>
      </c>
      <c r="BW6" s="387">
        <f t="shared" si="19"/>
        <v>0</v>
      </c>
      <c r="BX6" s="387">
        <f t="shared" si="34"/>
        <v>0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0</v>
      </c>
      <c r="CI6" s="387">
        <f t="shared" si="26"/>
        <v>0</v>
      </c>
      <c r="CJ6" s="387">
        <f t="shared" si="39"/>
        <v>0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202</v>
      </c>
      <c r="D7" s="376" t="s">
        <v>203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204</v>
      </c>
      <c r="L7" s="376" t="s">
        <v>170</v>
      </c>
      <c r="M7" s="376" t="s">
        <v>177</v>
      </c>
      <c r="N7" s="376" t="s">
        <v>172</v>
      </c>
      <c r="O7" s="379">
        <v>1</v>
      </c>
      <c r="P7" s="385">
        <v>1</v>
      </c>
      <c r="Q7" s="385">
        <v>1</v>
      </c>
      <c r="R7" s="380">
        <v>80</v>
      </c>
      <c r="S7" s="385">
        <v>1</v>
      </c>
      <c r="T7" s="380">
        <v>55023.23</v>
      </c>
      <c r="U7" s="380">
        <v>17.850000000000001</v>
      </c>
      <c r="V7" s="380">
        <v>22846.959999999999</v>
      </c>
      <c r="W7" s="380">
        <v>54100.800000000003</v>
      </c>
      <c r="X7" s="380">
        <v>23017.09</v>
      </c>
      <c r="Y7" s="380">
        <v>54100.800000000003</v>
      </c>
      <c r="Z7" s="380">
        <v>22735.77</v>
      </c>
      <c r="AA7" s="376" t="s">
        <v>205</v>
      </c>
      <c r="AB7" s="376" t="s">
        <v>206</v>
      </c>
      <c r="AC7" s="376" t="s">
        <v>207</v>
      </c>
      <c r="AD7" s="376" t="s">
        <v>197</v>
      </c>
      <c r="AE7" s="376" t="s">
        <v>204</v>
      </c>
      <c r="AF7" s="376" t="s">
        <v>182</v>
      </c>
      <c r="AG7" s="376" t="s">
        <v>183</v>
      </c>
      <c r="AH7" s="381">
        <v>26.01</v>
      </c>
      <c r="AI7" s="381">
        <v>4044.5</v>
      </c>
      <c r="AJ7" s="376" t="s">
        <v>184</v>
      </c>
      <c r="AK7" s="376" t="s">
        <v>185</v>
      </c>
      <c r="AL7" s="376" t="s">
        <v>173</v>
      </c>
      <c r="AM7" s="376" t="s">
        <v>186</v>
      </c>
      <c r="AN7" s="376" t="s">
        <v>68</v>
      </c>
      <c r="AO7" s="379">
        <v>80</v>
      </c>
      <c r="AP7" s="385">
        <v>1</v>
      </c>
      <c r="AQ7" s="385">
        <v>1</v>
      </c>
      <c r="AR7" s="384" t="s">
        <v>187</v>
      </c>
      <c r="AS7" s="387">
        <f t="shared" si="27"/>
        <v>1</v>
      </c>
      <c r="AT7">
        <f t="shared" si="28"/>
        <v>1</v>
      </c>
      <c r="AU7" s="387">
        <f>IF(AT7=0,"",IF(AND(AT7=1,M7="F",SUMIF(C2:C34,C7,AS2:AS34)&lt;=1),SUMIF(C2:C34,C7,AS2:AS34),IF(AND(AT7=1,M7="F",SUMIF(C2:C34,C7,AS2:AS34)&gt;1),1,"")))</f>
        <v>1</v>
      </c>
      <c r="AV7" s="387" t="str">
        <f>IF(AT7=0,"",IF(AND(AT7=3,M7="F",SUMIF(C2:C34,C7,AS2:AS34)&lt;=1),SUMIF(C2:C34,C7,AS2:AS34),IF(AND(AT7=3,M7="F",SUMIF(C2:C34,C7,AS2:AS34)&gt;1),1,"")))</f>
        <v/>
      </c>
      <c r="AW7" s="387">
        <f>SUMIF(C2:C34,C7,O2:O34)</f>
        <v>1</v>
      </c>
      <c r="AX7" s="387">
        <f>IF(AND(M7="F",AS7&lt;&gt;0),SUMIF(C2:C34,C7,W2:W34),0)</f>
        <v>54100.800000000003</v>
      </c>
      <c r="AY7" s="387">
        <f t="shared" si="29"/>
        <v>54100.800000000003</v>
      </c>
      <c r="AZ7" s="387" t="str">
        <f t="shared" si="30"/>
        <v/>
      </c>
      <c r="BA7" s="387">
        <f t="shared" si="31"/>
        <v>0</v>
      </c>
      <c r="BB7" s="387">
        <f t="shared" si="0"/>
        <v>11650</v>
      </c>
      <c r="BC7" s="387">
        <f t="shared" si="1"/>
        <v>0</v>
      </c>
      <c r="BD7" s="387">
        <f t="shared" si="2"/>
        <v>3354.2496000000001</v>
      </c>
      <c r="BE7" s="387">
        <f t="shared" si="3"/>
        <v>784.46160000000009</v>
      </c>
      <c r="BF7" s="387">
        <f t="shared" si="4"/>
        <v>6459.6355200000007</v>
      </c>
      <c r="BG7" s="387">
        <f t="shared" si="5"/>
        <v>390.06676800000002</v>
      </c>
      <c r="BH7" s="387">
        <f t="shared" si="6"/>
        <v>265.09392000000003</v>
      </c>
      <c r="BI7" s="387">
        <f t="shared" si="7"/>
        <v>0</v>
      </c>
      <c r="BJ7" s="387">
        <f t="shared" si="8"/>
        <v>113.61167999999999</v>
      </c>
      <c r="BK7" s="387">
        <f t="shared" si="9"/>
        <v>0</v>
      </c>
      <c r="BL7" s="387">
        <f t="shared" si="32"/>
        <v>11367.119088000001</v>
      </c>
      <c r="BM7" s="387">
        <f t="shared" si="33"/>
        <v>0</v>
      </c>
      <c r="BN7" s="387">
        <f t="shared" si="10"/>
        <v>11650</v>
      </c>
      <c r="BO7" s="387">
        <f t="shared" si="11"/>
        <v>0</v>
      </c>
      <c r="BP7" s="387">
        <f t="shared" si="12"/>
        <v>3354.2496000000001</v>
      </c>
      <c r="BQ7" s="387">
        <f t="shared" si="13"/>
        <v>784.46160000000009</v>
      </c>
      <c r="BR7" s="387">
        <f t="shared" si="14"/>
        <v>6459.6355200000007</v>
      </c>
      <c r="BS7" s="387">
        <f t="shared" si="15"/>
        <v>390.06676800000002</v>
      </c>
      <c r="BT7" s="387">
        <f t="shared" si="16"/>
        <v>0</v>
      </c>
      <c r="BU7" s="387">
        <f t="shared" si="17"/>
        <v>0</v>
      </c>
      <c r="BV7" s="387">
        <f t="shared" si="18"/>
        <v>97.381439999999998</v>
      </c>
      <c r="BW7" s="387">
        <f t="shared" si="19"/>
        <v>0</v>
      </c>
      <c r="BX7" s="387">
        <f t="shared" si="34"/>
        <v>11085.794928000001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-265.09392000000003</v>
      </c>
      <c r="CG7" s="387">
        <f t="shared" si="24"/>
        <v>0</v>
      </c>
      <c r="CH7" s="387">
        <f t="shared" si="25"/>
        <v>-16.230239999999995</v>
      </c>
      <c r="CI7" s="387">
        <f t="shared" si="26"/>
        <v>0</v>
      </c>
      <c r="CJ7" s="387">
        <f t="shared" si="39"/>
        <v>-281.32416000000001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208</v>
      </c>
      <c r="D8" s="376" t="s">
        <v>199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200</v>
      </c>
      <c r="L8" s="376" t="s">
        <v>201</v>
      </c>
      <c r="M8" s="376" t="s">
        <v>171</v>
      </c>
      <c r="N8" s="376" t="s">
        <v>172</v>
      </c>
      <c r="O8" s="379">
        <v>0</v>
      </c>
      <c r="P8" s="385">
        <v>1</v>
      </c>
      <c r="Q8" s="385">
        <v>1</v>
      </c>
      <c r="R8" s="380">
        <v>80</v>
      </c>
      <c r="S8" s="385">
        <v>1</v>
      </c>
      <c r="T8" s="380">
        <v>19023.48</v>
      </c>
      <c r="U8" s="380">
        <v>0</v>
      </c>
      <c r="V8" s="380">
        <v>8568.81</v>
      </c>
      <c r="W8" s="380">
        <v>39332.800000000003</v>
      </c>
      <c r="X8" s="380">
        <v>17227.759999999998</v>
      </c>
      <c r="Y8" s="380">
        <v>39332.800000000003</v>
      </c>
      <c r="Z8" s="380">
        <v>17031.099999999999</v>
      </c>
      <c r="AA8" s="378"/>
      <c r="AB8" s="376" t="s">
        <v>45</v>
      </c>
      <c r="AC8" s="376" t="s">
        <v>45</v>
      </c>
      <c r="AD8" s="378"/>
      <c r="AE8" s="378"/>
      <c r="AF8" s="378"/>
      <c r="AG8" s="378"/>
      <c r="AH8" s="379">
        <v>0</v>
      </c>
      <c r="AI8" s="379">
        <v>0</v>
      </c>
      <c r="AJ8" s="378"/>
      <c r="AK8" s="378"/>
      <c r="AL8" s="376" t="s">
        <v>173</v>
      </c>
      <c r="AM8" s="378"/>
      <c r="AN8" s="378"/>
      <c r="AO8" s="379">
        <v>0</v>
      </c>
      <c r="AP8" s="385">
        <v>0</v>
      </c>
      <c r="AQ8" s="385">
        <v>0</v>
      </c>
      <c r="AR8" s="383"/>
      <c r="AS8" s="387">
        <f t="shared" si="27"/>
        <v>0</v>
      </c>
      <c r="AT8">
        <f t="shared" si="28"/>
        <v>0</v>
      </c>
      <c r="AU8" s="387" t="str">
        <f>IF(AT8=0,"",IF(AND(AT8=1,M8="F",SUMIF(C2:C34,C8,AS2:AS34)&lt;=1),SUMIF(C2:C34,C8,AS2:AS34),IF(AND(AT8=1,M8="F",SUMIF(C2:C34,C8,AS2:AS34)&gt;1),1,"")))</f>
        <v/>
      </c>
      <c r="AV8" s="387" t="str">
        <f>IF(AT8=0,"",IF(AND(AT8=3,M8="F",SUMIF(C2:C34,C8,AS2:AS34)&lt;=1),SUMIF(C2:C34,C8,AS2:AS34),IF(AND(AT8=3,M8="F",SUMIF(C2:C34,C8,AS2:AS34)&gt;1),1,"")))</f>
        <v/>
      </c>
      <c r="AW8" s="387">
        <f>SUMIF(C2:C34,C8,O2:O34)</f>
        <v>0</v>
      </c>
      <c r="AX8" s="387">
        <f>IF(AND(M8="F",AS8&lt;&gt;0),SUMIF(C2:C34,C8,W2:W34),0)</f>
        <v>0</v>
      </c>
      <c r="AY8" s="387" t="str">
        <f t="shared" si="29"/>
        <v/>
      </c>
      <c r="AZ8" s="387" t="str">
        <f t="shared" si="30"/>
        <v/>
      </c>
      <c r="BA8" s="387">
        <f t="shared" si="31"/>
        <v>0</v>
      </c>
      <c r="BB8" s="387">
        <f t="shared" si="0"/>
        <v>0</v>
      </c>
      <c r="BC8" s="387">
        <f t="shared" si="1"/>
        <v>0</v>
      </c>
      <c r="BD8" s="387">
        <f t="shared" si="2"/>
        <v>0</v>
      </c>
      <c r="BE8" s="387">
        <f t="shared" si="3"/>
        <v>0</v>
      </c>
      <c r="BF8" s="387">
        <f t="shared" si="4"/>
        <v>0</v>
      </c>
      <c r="BG8" s="387">
        <f t="shared" si="5"/>
        <v>0</v>
      </c>
      <c r="BH8" s="387">
        <f t="shared" si="6"/>
        <v>0</v>
      </c>
      <c r="BI8" s="387">
        <f t="shared" si="7"/>
        <v>0</v>
      </c>
      <c r="BJ8" s="387">
        <f t="shared" si="8"/>
        <v>0</v>
      </c>
      <c r="BK8" s="387">
        <f t="shared" si="9"/>
        <v>0</v>
      </c>
      <c r="BL8" s="387">
        <f t="shared" si="32"/>
        <v>0</v>
      </c>
      <c r="BM8" s="387">
        <f t="shared" si="33"/>
        <v>0</v>
      </c>
      <c r="BN8" s="387">
        <f t="shared" si="10"/>
        <v>0</v>
      </c>
      <c r="BO8" s="387">
        <f t="shared" si="11"/>
        <v>0</v>
      </c>
      <c r="BP8" s="387">
        <f t="shared" si="12"/>
        <v>0</v>
      </c>
      <c r="BQ8" s="387">
        <f t="shared" si="13"/>
        <v>0</v>
      </c>
      <c r="BR8" s="387">
        <f t="shared" si="14"/>
        <v>0</v>
      </c>
      <c r="BS8" s="387">
        <f t="shared" si="15"/>
        <v>0</v>
      </c>
      <c r="BT8" s="387">
        <f t="shared" si="16"/>
        <v>0</v>
      </c>
      <c r="BU8" s="387">
        <f t="shared" si="17"/>
        <v>0</v>
      </c>
      <c r="BV8" s="387">
        <f t="shared" si="18"/>
        <v>0</v>
      </c>
      <c r="BW8" s="387">
        <f t="shared" si="19"/>
        <v>0</v>
      </c>
      <c r="BX8" s="387">
        <f t="shared" si="34"/>
        <v>0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0</v>
      </c>
      <c r="CI8" s="387">
        <f t="shared" si="26"/>
        <v>0</v>
      </c>
      <c r="CJ8" s="387">
        <f t="shared" si="39"/>
        <v>0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209</v>
      </c>
      <c r="D9" s="376" t="s">
        <v>210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211</v>
      </c>
      <c r="L9" s="376" t="s">
        <v>166</v>
      </c>
      <c r="M9" s="376" t="s">
        <v>177</v>
      </c>
      <c r="N9" s="376" t="s">
        <v>172</v>
      </c>
      <c r="O9" s="379">
        <v>1</v>
      </c>
      <c r="P9" s="385">
        <v>1</v>
      </c>
      <c r="Q9" s="385">
        <v>1</v>
      </c>
      <c r="R9" s="380">
        <v>80</v>
      </c>
      <c r="S9" s="385">
        <v>1</v>
      </c>
      <c r="T9" s="380">
        <v>112495.2</v>
      </c>
      <c r="U9" s="380">
        <v>0</v>
      </c>
      <c r="V9" s="380">
        <v>34306.68</v>
      </c>
      <c r="W9" s="380">
        <v>112320</v>
      </c>
      <c r="X9" s="380">
        <v>35249.53</v>
      </c>
      <c r="Y9" s="380">
        <v>112320</v>
      </c>
      <c r="Z9" s="380">
        <v>34665.47</v>
      </c>
      <c r="AA9" s="376" t="s">
        <v>212</v>
      </c>
      <c r="AB9" s="376" t="s">
        <v>213</v>
      </c>
      <c r="AC9" s="376" t="s">
        <v>214</v>
      </c>
      <c r="AD9" s="376" t="s">
        <v>215</v>
      </c>
      <c r="AE9" s="376" t="s">
        <v>211</v>
      </c>
      <c r="AF9" s="376" t="s">
        <v>182</v>
      </c>
      <c r="AG9" s="376" t="s">
        <v>183</v>
      </c>
      <c r="AH9" s="379">
        <v>54</v>
      </c>
      <c r="AI9" s="379">
        <v>9920</v>
      </c>
      <c r="AJ9" s="376" t="s">
        <v>184</v>
      </c>
      <c r="AK9" s="376" t="s">
        <v>185</v>
      </c>
      <c r="AL9" s="376" t="s">
        <v>173</v>
      </c>
      <c r="AM9" s="376" t="s">
        <v>186</v>
      </c>
      <c r="AN9" s="376" t="s">
        <v>68</v>
      </c>
      <c r="AO9" s="379">
        <v>80</v>
      </c>
      <c r="AP9" s="385">
        <v>1</v>
      </c>
      <c r="AQ9" s="385">
        <v>1</v>
      </c>
      <c r="AR9" s="384" t="s">
        <v>187</v>
      </c>
      <c r="AS9" s="387">
        <f t="shared" si="27"/>
        <v>1</v>
      </c>
      <c r="AT9">
        <f t="shared" si="28"/>
        <v>1</v>
      </c>
      <c r="AU9" s="387">
        <f>IF(AT9=0,"",IF(AND(AT9=1,M9="F",SUMIF(C2:C34,C9,AS2:AS34)&lt;=1),SUMIF(C2:C34,C9,AS2:AS34),IF(AND(AT9=1,M9="F",SUMIF(C2:C34,C9,AS2:AS34)&gt;1),1,"")))</f>
        <v>1</v>
      </c>
      <c r="AV9" s="387" t="str">
        <f>IF(AT9=0,"",IF(AND(AT9=3,M9="F",SUMIF(C2:C34,C9,AS2:AS34)&lt;=1),SUMIF(C2:C34,C9,AS2:AS34),IF(AND(AT9=3,M9="F",SUMIF(C2:C34,C9,AS2:AS34)&gt;1),1,"")))</f>
        <v/>
      </c>
      <c r="AW9" s="387">
        <f>SUMIF(C2:C34,C9,O2:O34)</f>
        <v>1</v>
      </c>
      <c r="AX9" s="387">
        <f>IF(AND(M9="F",AS9&lt;&gt;0),SUMIF(C2:C34,C9,W2:W34),0)</f>
        <v>112320</v>
      </c>
      <c r="AY9" s="387">
        <f t="shared" si="29"/>
        <v>112320</v>
      </c>
      <c r="AZ9" s="387" t="str">
        <f t="shared" si="30"/>
        <v/>
      </c>
      <c r="BA9" s="387">
        <f t="shared" si="31"/>
        <v>0</v>
      </c>
      <c r="BB9" s="387">
        <f t="shared" si="0"/>
        <v>11650</v>
      </c>
      <c r="BC9" s="387">
        <f t="shared" si="1"/>
        <v>0</v>
      </c>
      <c r="BD9" s="387">
        <f t="shared" si="2"/>
        <v>6963.84</v>
      </c>
      <c r="BE9" s="387">
        <f t="shared" si="3"/>
        <v>1628.64</v>
      </c>
      <c r="BF9" s="387">
        <f t="shared" si="4"/>
        <v>13411.008</v>
      </c>
      <c r="BG9" s="387">
        <f t="shared" si="5"/>
        <v>809.82720000000006</v>
      </c>
      <c r="BH9" s="387">
        <f t="shared" si="6"/>
        <v>550.36799999999994</v>
      </c>
      <c r="BI9" s="387">
        <f t="shared" si="7"/>
        <v>0</v>
      </c>
      <c r="BJ9" s="387">
        <f t="shared" si="8"/>
        <v>235.87199999999999</v>
      </c>
      <c r="BK9" s="387">
        <f t="shared" si="9"/>
        <v>0</v>
      </c>
      <c r="BL9" s="387">
        <f t="shared" si="32"/>
        <v>23599.555199999995</v>
      </c>
      <c r="BM9" s="387">
        <f t="shared" si="33"/>
        <v>0</v>
      </c>
      <c r="BN9" s="387">
        <f t="shared" si="10"/>
        <v>11650</v>
      </c>
      <c r="BO9" s="387">
        <f t="shared" si="11"/>
        <v>0</v>
      </c>
      <c r="BP9" s="387">
        <f t="shared" si="12"/>
        <v>6963.84</v>
      </c>
      <c r="BQ9" s="387">
        <f t="shared" si="13"/>
        <v>1628.64</v>
      </c>
      <c r="BR9" s="387">
        <f t="shared" si="14"/>
        <v>13411.008</v>
      </c>
      <c r="BS9" s="387">
        <f t="shared" si="15"/>
        <v>809.82720000000006</v>
      </c>
      <c r="BT9" s="387">
        <f t="shared" si="16"/>
        <v>0</v>
      </c>
      <c r="BU9" s="387">
        <f t="shared" si="17"/>
        <v>0</v>
      </c>
      <c r="BV9" s="387">
        <f t="shared" si="18"/>
        <v>202.17599999999999</v>
      </c>
      <c r="BW9" s="387">
        <f t="shared" si="19"/>
        <v>0</v>
      </c>
      <c r="BX9" s="387">
        <f t="shared" si="34"/>
        <v>23015.491199999997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-550.36799999999994</v>
      </c>
      <c r="CG9" s="387">
        <f t="shared" si="24"/>
        <v>0</v>
      </c>
      <c r="CH9" s="387">
        <f t="shared" si="25"/>
        <v>-33.695999999999991</v>
      </c>
      <c r="CI9" s="387">
        <f t="shared" si="26"/>
        <v>0</v>
      </c>
      <c r="CJ9" s="387">
        <f t="shared" si="39"/>
        <v>-584.06399999999996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216</v>
      </c>
      <c r="D10" s="376" t="s">
        <v>217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218</v>
      </c>
      <c r="L10" s="376" t="s">
        <v>166</v>
      </c>
      <c r="M10" s="376" t="s">
        <v>177</v>
      </c>
      <c r="N10" s="376" t="s">
        <v>172</v>
      </c>
      <c r="O10" s="379">
        <v>1</v>
      </c>
      <c r="P10" s="385">
        <v>1</v>
      </c>
      <c r="Q10" s="385">
        <v>1</v>
      </c>
      <c r="R10" s="380">
        <v>80</v>
      </c>
      <c r="S10" s="385">
        <v>1</v>
      </c>
      <c r="T10" s="380">
        <v>46722.73</v>
      </c>
      <c r="U10" s="380">
        <v>0</v>
      </c>
      <c r="V10" s="380">
        <v>20937.810000000001</v>
      </c>
      <c r="W10" s="380">
        <v>45448</v>
      </c>
      <c r="X10" s="380">
        <v>21199.06</v>
      </c>
      <c r="Y10" s="380">
        <v>45448</v>
      </c>
      <c r="Z10" s="380">
        <v>20962.73</v>
      </c>
      <c r="AA10" s="376" t="s">
        <v>219</v>
      </c>
      <c r="AB10" s="376" t="s">
        <v>220</v>
      </c>
      <c r="AC10" s="376" t="s">
        <v>221</v>
      </c>
      <c r="AD10" s="376" t="s">
        <v>222</v>
      </c>
      <c r="AE10" s="376" t="s">
        <v>223</v>
      </c>
      <c r="AF10" s="376" t="s">
        <v>182</v>
      </c>
      <c r="AG10" s="376" t="s">
        <v>183</v>
      </c>
      <c r="AH10" s="381">
        <v>21.85</v>
      </c>
      <c r="AI10" s="381">
        <v>4227.3</v>
      </c>
      <c r="AJ10" s="376" t="s">
        <v>184</v>
      </c>
      <c r="AK10" s="376" t="s">
        <v>185</v>
      </c>
      <c r="AL10" s="376" t="s">
        <v>173</v>
      </c>
      <c r="AM10" s="376" t="s">
        <v>186</v>
      </c>
      <c r="AN10" s="376" t="s">
        <v>68</v>
      </c>
      <c r="AO10" s="379">
        <v>80</v>
      </c>
      <c r="AP10" s="385">
        <v>1</v>
      </c>
      <c r="AQ10" s="385">
        <v>1</v>
      </c>
      <c r="AR10" s="384" t="s">
        <v>187</v>
      </c>
      <c r="AS10" s="387">
        <f t="shared" si="27"/>
        <v>1</v>
      </c>
      <c r="AT10">
        <f t="shared" si="28"/>
        <v>1</v>
      </c>
      <c r="AU10" s="387">
        <f>IF(AT10=0,"",IF(AND(AT10=1,M10="F",SUMIF(C2:C34,C10,AS2:AS34)&lt;=1),SUMIF(C2:C34,C10,AS2:AS34),IF(AND(AT10=1,M10="F",SUMIF(C2:C34,C10,AS2:AS34)&gt;1),1,"")))</f>
        <v>1</v>
      </c>
      <c r="AV10" s="387" t="str">
        <f>IF(AT10=0,"",IF(AND(AT10=3,M10="F",SUMIF(C2:C34,C10,AS2:AS34)&lt;=1),SUMIF(C2:C34,C10,AS2:AS34),IF(AND(AT10=3,M10="F",SUMIF(C2:C34,C10,AS2:AS34)&gt;1),1,"")))</f>
        <v/>
      </c>
      <c r="AW10" s="387">
        <f>SUMIF(C2:C34,C10,O2:O34)</f>
        <v>1</v>
      </c>
      <c r="AX10" s="387">
        <f>IF(AND(M10="F",AS10&lt;&gt;0),SUMIF(C2:C34,C10,W2:W34),0)</f>
        <v>45448</v>
      </c>
      <c r="AY10" s="387">
        <f t="shared" si="29"/>
        <v>45448</v>
      </c>
      <c r="AZ10" s="387" t="str">
        <f t="shared" si="30"/>
        <v/>
      </c>
      <c r="BA10" s="387">
        <f t="shared" si="31"/>
        <v>0</v>
      </c>
      <c r="BB10" s="387">
        <f t="shared" si="0"/>
        <v>11650</v>
      </c>
      <c r="BC10" s="387">
        <f t="shared" si="1"/>
        <v>0</v>
      </c>
      <c r="BD10" s="387">
        <f t="shared" si="2"/>
        <v>2817.7759999999998</v>
      </c>
      <c r="BE10" s="387">
        <f t="shared" si="3"/>
        <v>658.99599999999998</v>
      </c>
      <c r="BF10" s="387">
        <f t="shared" si="4"/>
        <v>5426.4912000000004</v>
      </c>
      <c r="BG10" s="387">
        <f t="shared" si="5"/>
        <v>327.68008000000003</v>
      </c>
      <c r="BH10" s="387">
        <f t="shared" si="6"/>
        <v>222.6952</v>
      </c>
      <c r="BI10" s="387">
        <f t="shared" si="7"/>
        <v>0</v>
      </c>
      <c r="BJ10" s="387">
        <f t="shared" si="8"/>
        <v>95.440799999999996</v>
      </c>
      <c r="BK10" s="387">
        <f t="shared" si="9"/>
        <v>0</v>
      </c>
      <c r="BL10" s="387">
        <f t="shared" si="32"/>
        <v>9549.0792800000017</v>
      </c>
      <c r="BM10" s="387">
        <f t="shared" si="33"/>
        <v>0</v>
      </c>
      <c r="BN10" s="387">
        <f t="shared" si="10"/>
        <v>11650</v>
      </c>
      <c r="BO10" s="387">
        <f t="shared" si="11"/>
        <v>0</v>
      </c>
      <c r="BP10" s="387">
        <f t="shared" si="12"/>
        <v>2817.7759999999998</v>
      </c>
      <c r="BQ10" s="387">
        <f t="shared" si="13"/>
        <v>658.99599999999998</v>
      </c>
      <c r="BR10" s="387">
        <f t="shared" si="14"/>
        <v>5426.4912000000004</v>
      </c>
      <c r="BS10" s="387">
        <f t="shared" si="15"/>
        <v>327.68008000000003</v>
      </c>
      <c r="BT10" s="387">
        <f t="shared" si="16"/>
        <v>0</v>
      </c>
      <c r="BU10" s="387">
        <f t="shared" si="17"/>
        <v>0</v>
      </c>
      <c r="BV10" s="387">
        <f t="shared" si="18"/>
        <v>81.806399999999996</v>
      </c>
      <c r="BW10" s="387">
        <f t="shared" si="19"/>
        <v>0</v>
      </c>
      <c r="BX10" s="387">
        <f t="shared" si="34"/>
        <v>9312.7496800000008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-222.6952</v>
      </c>
      <c r="CG10" s="387">
        <f t="shared" si="24"/>
        <v>0</v>
      </c>
      <c r="CH10" s="387">
        <f t="shared" si="25"/>
        <v>-13.634399999999996</v>
      </c>
      <c r="CI10" s="387">
        <f t="shared" si="26"/>
        <v>0</v>
      </c>
      <c r="CJ10" s="387">
        <f t="shared" si="39"/>
        <v>-236.3296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224</v>
      </c>
      <c r="D11" s="376" t="s">
        <v>225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223</v>
      </c>
      <c r="L11" s="376" t="s">
        <v>166</v>
      </c>
      <c r="M11" s="376" t="s">
        <v>177</v>
      </c>
      <c r="N11" s="376" t="s">
        <v>172</v>
      </c>
      <c r="O11" s="379">
        <v>1</v>
      </c>
      <c r="P11" s="385">
        <v>1</v>
      </c>
      <c r="Q11" s="385">
        <v>1</v>
      </c>
      <c r="R11" s="380">
        <v>80</v>
      </c>
      <c r="S11" s="385">
        <v>1</v>
      </c>
      <c r="T11" s="380">
        <v>49847.17</v>
      </c>
      <c r="U11" s="380">
        <v>0</v>
      </c>
      <c r="V11" s="380">
        <v>21677.33</v>
      </c>
      <c r="W11" s="380">
        <v>48692.800000000003</v>
      </c>
      <c r="X11" s="380">
        <v>21880.82</v>
      </c>
      <c r="Y11" s="380">
        <v>48692.800000000003</v>
      </c>
      <c r="Z11" s="380">
        <v>21627.62</v>
      </c>
      <c r="AA11" s="376" t="s">
        <v>226</v>
      </c>
      <c r="AB11" s="376" t="s">
        <v>227</v>
      </c>
      <c r="AC11" s="376" t="s">
        <v>228</v>
      </c>
      <c r="AD11" s="376" t="s">
        <v>229</v>
      </c>
      <c r="AE11" s="376" t="s">
        <v>223</v>
      </c>
      <c r="AF11" s="376" t="s">
        <v>182</v>
      </c>
      <c r="AG11" s="376" t="s">
        <v>183</v>
      </c>
      <c r="AH11" s="381">
        <v>23.41</v>
      </c>
      <c r="AI11" s="381">
        <v>15005.3</v>
      </c>
      <c r="AJ11" s="376" t="s">
        <v>184</v>
      </c>
      <c r="AK11" s="376" t="s">
        <v>185</v>
      </c>
      <c r="AL11" s="376" t="s">
        <v>173</v>
      </c>
      <c r="AM11" s="376" t="s">
        <v>186</v>
      </c>
      <c r="AN11" s="376" t="s">
        <v>68</v>
      </c>
      <c r="AO11" s="379">
        <v>80</v>
      </c>
      <c r="AP11" s="385">
        <v>1</v>
      </c>
      <c r="AQ11" s="385">
        <v>1</v>
      </c>
      <c r="AR11" s="384" t="s">
        <v>187</v>
      </c>
      <c r="AS11" s="387">
        <f t="shared" si="27"/>
        <v>1</v>
      </c>
      <c r="AT11">
        <f t="shared" si="28"/>
        <v>1</v>
      </c>
      <c r="AU11" s="387">
        <f>IF(AT11=0,"",IF(AND(AT11=1,M11="F",SUMIF(C2:C34,C11,AS2:AS34)&lt;=1),SUMIF(C2:C34,C11,AS2:AS34),IF(AND(AT11=1,M11="F",SUMIF(C2:C34,C11,AS2:AS34)&gt;1),1,"")))</f>
        <v>1</v>
      </c>
      <c r="AV11" s="387" t="str">
        <f>IF(AT11=0,"",IF(AND(AT11=3,M11="F",SUMIF(C2:C34,C11,AS2:AS34)&lt;=1),SUMIF(C2:C34,C11,AS2:AS34),IF(AND(AT11=3,M11="F",SUMIF(C2:C34,C11,AS2:AS34)&gt;1),1,"")))</f>
        <v/>
      </c>
      <c r="AW11" s="387">
        <f>SUMIF(C2:C34,C11,O2:O34)</f>
        <v>1</v>
      </c>
      <c r="AX11" s="387">
        <f>IF(AND(M11="F",AS11&lt;&gt;0),SUMIF(C2:C34,C11,W2:W34),0)</f>
        <v>48692.800000000003</v>
      </c>
      <c r="AY11" s="387">
        <f t="shared" si="29"/>
        <v>48692.800000000003</v>
      </c>
      <c r="AZ11" s="387" t="str">
        <f t="shared" si="30"/>
        <v/>
      </c>
      <c r="BA11" s="387">
        <f t="shared" si="31"/>
        <v>0</v>
      </c>
      <c r="BB11" s="387">
        <f t="shared" si="0"/>
        <v>11650</v>
      </c>
      <c r="BC11" s="387">
        <f t="shared" si="1"/>
        <v>0</v>
      </c>
      <c r="BD11" s="387">
        <f t="shared" si="2"/>
        <v>3018.9536000000003</v>
      </c>
      <c r="BE11" s="387">
        <f t="shared" si="3"/>
        <v>706.04560000000004</v>
      </c>
      <c r="BF11" s="387">
        <f t="shared" si="4"/>
        <v>5813.9203200000011</v>
      </c>
      <c r="BG11" s="387">
        <f t="shared" si="5"/>
        <v>351.07508800000005</v>
      </c>
      <c r="BH11" s="387">
        <f t="shared" si="6"/>
        <v>238.59472</v>
      </c>
      <c r="BI11" s="387">
        <f t="shared" si="7"/>
        <v>0</v>
      </c>
      <c r="BJ11" s="387">
        <f t="shared" si="8"/>
        <v>102.25488</v>
      </c>
      <c r="BK11" s="387">
        <f t="shared" si="9"/>
        <v>0</v>
      </c>
      <c r="BL11" s="387">
        <f t="shared" si="32"/>
        <v>10230.844208</v>
      </c>
      <c r="BM11" s="387">
        <f t="shared" si="33"/>
        <v>0</v>
      </c>
      <c r="BN11" s="387">
        <f t="shared" si="10"/>
        <v>11650</v>
      </c>
      <c r="BO11" s="387">
        <f t="shared" si="11"/>
        <v>0</v>
      </c>
      <c r="BP11" s="387">
        <f t="shared" si="12"/>
        <v>3018.9536000000003</v>
      </c>
      <c r="BQ11" s="387">
        <f t="shared" si="13"/>
        <v>706.04560000000004</v>
      </c>
      <c r="BR11" s="387">
        <f t="shared" si="14"/>
        <v>5813.9203200000011</v>
      </c>
      <c r="BS11" s="387">
        <f t="shared" si="15"/>
        <v>351.07508800000005</v>
      </c>
      <c r="BT11" s="387">
        <f t="shared" si="16"/>
        <v>0</v>
      </c>
      <c r="BU11" s="387">
        <f t="shared" si="17"/>
        <v>0</v>
      </c>
      <c r="BV11" s="387">
        <f t="shared" si="18"/>
        <v>87.647040000000004</v>
      </c>
      <c r="BW11" s="387">
        <f t="shared" si="19"/>
        <v>0</v>
      </c>
      <c r="BX11" s="387">
        <f t="shared" si="34"/>
        <v>9977.6416480000007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-238.59472</v>
      </c>
      <c r="CG11" s="387">
        <f t="shared" si="24"/>
        <v>0</v>
      </c>
      <c r="CH11" s="387">
        <f t="shared" si="25"/>
        <v>-14.607839999999998</v>
      </c>
      <c r="CI11" s="387">
        <f t="shared" si="26"/>
        <v>0</v>
      </c>
      <c r="CJ11" s="387">
        <f t="shared" si="39"/>
        <v>-253.20256000000001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230</v>
      </c>
      <c r="D12" s="376" t="s">
        <v>231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232</v>
      </c>
      <c r="L12" s="376" t="s">
        <v>233</v>
      </c>
      <c r="M12" s="376" t="s">
        <v>177</v>
      </c>
      <c r="N12" s="376" t="s">
        <v>172</v>
      </c>
      <c r="O12" s="379">
        <v>1</v>
      </c>
      <c r="P12" s="385">
        <v>1</v>
      </c>
      <c r="Q12" s="385">
        <v>1</v>
      </c>
      <c r="R12" s="380">
        <v>80</v>
      </c>
      <c r="S12" s="385">
        <v>1</v>
      </c>
      <c r="T12" s="380">
        <v>50777.59</v>
      </c>
      <c r="U12" s="380">
        <v>0</v>
      </c>
      <c r="V12" s="380">
        <v>21865.33</v>
      </c>
      <c r="W12" s="380">
        <v>49504</v>
      </c>
      <c r="X12" s="380">
        <v>22051.24</v>
      </c>
      <c r="Y12" s="380">
        <v>49504</v>
      </c>
      <c r="Z12" s="380">
        <v>21793.83</v>
      </c>
      <c r="AA12" s="376" t="s">
        <v>234</v>
      </c>
      <c r="AB12" s="376" t="s">
        <v>235</v>
      </c>
      <c r="AC12" s="376" t="s">
        <v>236</v>
      </c>
      <c r="AD12" s="376" t="s">
        <v>237</v>
      </c>
      <c r="AE12" s="376" t="s">
        <v>232</v>
      </c>
      <c r="AF12" s="376" t="s">
        <v>182</v>
      </c>
      <c r="AG12" s="376" t="s">
        <v>183</v>
      </c>
      <c r="AH12" s="381">
        <v>23.8</v>
      </c>
      <c r="AI12" s="381">
        <v>68286.7</v>
      </c>
      <c r="AJ12" s="376" t="s">
        <v>184</v>
      </c>
      <c r="AK12" s="376" t="s">
        <v>185</v>
      </c>
      <c r="AL12" s="376" t="s">
        <v>173</v>
      </c>
      <c r="AM12" s="376" t="s">
        <v>186</v>
      </c>
      <c r="AN12" s="376" t="s">
        <v>68</v>
      </c>
      <c r="AO12" s="379">
        <v>80</v>
      </c>
      <c r="AP12" s="385">
        <v>1</v>
      </c>
      <c r="AQ12" s="385">
        <v>1</v>
      </c>
      <c r="AR12" s="384" t="s">
        <v>187</v>
      </c>
      <c r="AS12" s="387">
        <f t="shared" si="27"/>
        <v>1</v>
      </c>
      <c r="AT12">
        <f t="shared" si="28"/>
        <v>1</v>
      </c>
      <c r="AU12" s="387">
        <f>IF(AT12=0,"",IF(AND(AT12=1,M12="F",SUMIF(C2:C34,C12,AS2:AS34)&lt;=1),SUMIF(C2:C34,C12,AS2:AS34),IF(AND(AT12=1,M12="F",SUMIF(C2:C34,C12,AS2:AS34)&gt;1),1,"")))</f>
        <v>1</v>
      </c>
      <c r="AV12" s="387" t="str">
        <f>IF(AT12=0,"",IF(AND(AT12=3,M12="F",SUMIF(C2:C34,C12,AS2:AS34)&lt;=1),SUMIF(C2:C34,C12,AS2:AS34),IF(AND(AT12=3,M12="F",SUMIF(C2:C34,C12,AS2:AS34)&gt;1),1,"")))</f>
        <v/>
      </c>
      <c r="AW12" s="387">
        <f>SUMIF(C2:C34,C12,O2:O34)</f>
        <v>1</v>
      </c>
      <c r="AX12" s="387">
        <f>IF(AND(M12="F",AS12&lt;&gt;0),SUMIF(C2:C34,C12,W2:W34),0)</f>
        <v>49504</v>
      </c>
      <c r="AY12" s="387">
        <f t="shared" si="29"/>
        <v>49504</v>
      </c>
      <c r="AZ12" s="387" t="str">
        <f t="shared" si="30"/>
        <v/>
      </c>
      <c r="BA12" s="387">
        <f t="shared" si="31"/>
        <v>0</v>
      </c>
      <c r="BB12" s="387">
        <f t="shared" si="0"/>
        <v>11650</v>
      </c>
      <c r="BC12" s="387">
        <f t="shared" si="1"/>
        <v>0</v>
      </c>
      <c r="BD12" s="387">
        <f t="shared" si="2"/>
        <v>3069.248</v>
      </c>
      <c r="BE12" s="387">
        <f t="shared" si="3"/>
        <v>717.80799999999999</v>
      </c>
      <c r="BF12" s="387">
        <f t="shared" si="4"/>
        <v>5910.7776000000003</v>
      </c>
      <c r="BG12" s="387">
        <f t="shared" si="5"/>
        <v>356.92384000000004</v>
      </c>
      <c r="BH12" s="387">
        <f t="shared" si="6"/>
        <v>242.56959999999998</v>
      </c>
      <c r="BI12" s="387">
        <f t="shared" si="7"/>
        <v>0</v>
      </c>
      <c r="BJ12" s="387">
        <f t="shared" si="8"/>
        <v>103.9584</v>
      </c>
      <c r="BK12" s="387">
        <f t="shared" si="9"/>
        <v>0</v>
      </c>
      <c r="BL12" s="387">
        <f t="shared" si="32"/>
        <v>10401.28544</v>
      </c>
      <c r="BM12" s="387">
        <f t="shared" si="33"/>
        <v>0</v>
      </c>
      <c r="BN12" s="387">
        <f t="shared" si="10"/>
        <v>11650</v>
      </c>
      <c r="BO12" s="387">
        <f t="shared" si="11"/>
        <v>0</v>
      </c>
      <c r="BP12" s="387">
        <f t="shared" si="12"/>
        <v>3069.248</v>
      </c>
      <c r="BQ12" s="387">
        <f t="shared" si="13"/>
        <v>717.80799999999999</v>
      </c>
      <c r="BR12" s="387">
        <f t="shared" si="14"/>
        <v>5910.7776000000003</v>
      </c>
      <c r="BS12" s="387">
        <f t="shared" si="15"/>
        <v>356.92384000000004</v>
      </c>
      <c r="BT12" s="387">
        <f t="shared" si="16"/>
        <v>0</v>
      </c>
      <c r="BU12" s="387">
        <f t="shared" si="17"/>
        <v>0</v>
      </c>
      <c r="BV12" s="387">
        <f t="shared" si="18"/>
        <v>89.107199999999992</v>
      </c>
      <c r="BW12" s="387">
        <f t="shared" si="19"/>
        <v>0</v>
      </c>
      <c r="BX12" s="387">
        <f t="shared" si="34"/>
        <v>10143.86464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-242.56959999999998</v>
      </c>
      <c r="CG12" s="387">
        <f t="shared" si="24"/>
        <v>0</v>
      </c>
      <c r="CH12" s="387">
        <f t="shared" si="25"/>
        <v>-14.851199999999997</v>
      </c>
      <c r="CI12" s="387">
        <f t="shared" si="26"/>
        <v>0</v>
      </c>
      <c r="CJ12" s="387">
        <f t="shared" si="39"/>
        <v>-257.42079999999999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238</v>
      </c>
      <c r="D13" s="376" t="s">
        <v>239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240</v>
      </c>
      <c r="L13" s="376" t="s">
        <v>166</v>
      </c>
      <c r="M13" s="376" t="s">
        <v>177</v>
      </c>
      <c r="N13" s="376" t="s">
        <v>172</v>
      </c>
      <c r="O13" s="379">
        <v>1</v>
      </c>
      <c r="P13" s="385">
        <v>1</v>
      </c>
      <c r="Q13" s="385">
        <v>1</v>
      </c>
      <c r="R13" s="380">
        <v>80</v>
      </c>
      <c r="S13" s="385">
        <v>1</v>
      </c>
      <c r="T13" s="380">
        <v>69690.320000000007</v>
      </c>
      <c r="U13" s="380">
        <v>0</v>
      </c>
      <c r="V13" s="380">
        <v>25662.48</v>
      </c>
      <c r="W13" s="380">
        <v>70012.800000000003</v>
      </c>
      <c r="X13" s="380">
        <v>26360.36</v>
      </c>
      <c r="Y13" s="380">
        <v>70012.800000000003</v>
      </c>
      <c r="Z13" s="380">
        <v>25996.3</v>
      </c>
      <c r="AA13" s="376" t="s">
        <v>241</v>
      </c>
      <c r="AB13" s="376" t="s">
        <v>242</v>
      </c>
      <c r="AC13" s="376" t="s">
        <v>243</v>
      </c>
      <c r="AD13" s="376" t="s">
        <v>244</v>
      </c>
      <c r="AE13" s="376" t="s">
        <v>240</v>
      </c>
      <c r="AF13" s="376" t="s">
        <v>182</v>
      </c>
      <c r="AG13" s="376" t="s">
        <v>183</v>
      </c>
      <c r="AH13" s="381">
        <v>33.659999999999997</v>
      </c>
      <c r="AI13" s="379">
        <v>42482</v>
      </c>
      <c r="AJ13" s="376" t="s">
        <v>184</v>
      </c>
      <c r="AK13" s="376" t="s">
        <v>185</v>
      </c>
      <c r="AL13" s="376" t="s">
        <v>173</v>
      </c>
      <c r="AM13" s="376" t="s">
        <v>186</v>
      </c>
      <c r="AN13" s="376" t="s">
        <v>68</v>
      </c>
      <c r="AO13" s="379">
        <v>80</v>
      </c>
      <c r="AP13" s="385">
        <v>1</v>
      </c>
      <c r="AQ13" s="385">
        <v>1</v>
      </c>
      <c r="AR13" s="384" t="s">
        <v>187</v>
      </c>
      <c r="AS13" s="387">
        <f t="shared" si="27"/>
        <v>1</v>
      </c>
      <c r="AT13">
        <f t="shared" si="28"/>
        <v>1</v>
      </c>
      <c r="AU13" s="387">
        <f>IF(AT13=0,"",IF(AND(AT13=1,M13="F",SUMIF(C2:C34,C13,AS2:AS34)&lt;=1),SUMIF(C2:C34,C13,AS2:AS34),IF(AND(AT13=1,M13="F",SUMIF(C2:C34,C13,AS2:AS34)&gt;1),1,"")))</f>
        <v>1</v>
      </c>
      <c r="AV13" s="387" t="str">
        <f>IF(AT13=0,"",IF(AND(AT13=3,M13="F",SUMIF(C2:C34,C13,AS2:AS34)&lt;=1),SUMIF(C2:C34,C13,AS2:AS34),IF(AND(AT13=3,M13="F",SUMIF(C2:C34,C13,AS2:AS34)&gt;1),1,"")))</f>
        <v/>
      </c>
      <c r="AW13" s="387">
        <f>SUMIF(C2:C34,C13,O2:O34)</f>
        <v>1</v>
      </c>
      <c r="AX13" s="387">
        <f>IF(AND(M13="F",AS13&lt;&gt;0),SUMIF(C2:C34,C13,W2:W34),0)</f>
        <v>70012.800000000003</v>
      </c>
      <c r="AY13" s="387">
        <f t="shared" si="29"/>
        <v>70012.800000000003</v>
      </c>
      <c r="AZ13" s="387" t="str">
        <f t="shared" si="30"/>
        <v/>
      </c>
      <c r="BA13" s="387">
        <f t="shared" si="31"/>
        <v>0</v>
      </c>
      <c r="BB13" s="387">
        <f t="shared" si="0"/>
        <v>11650</v>
      </c>
      <c r="BC13" s="387">
        <f t="shared" si="1"/>
        <v>0</v>
      </c>
      <c r="BD13" s="387">
        <f t="shared" si="2"/>
        <v>4340.7936</v>
      </c>
      <c r="BE13" s="387">
        <f t="shared" si="3"/>
        <v>1015.1856000000001</v>
      </c>
      <c r="BF13" s="387">
        <f t="shared" si="4"/>
        <v>8359.5283200000013</v>
      </c>
      <c r="BG13" s="387">
        <f t="shared" si="5"/>
        <v>504.79228800000004</v>
      </c>
      <c r="BH13" s="387">
        <f t="shared" si="6"/>
        <v>343.06272000000001</v>
      </c>
      <c r="BI13" s="387">
        <f t="shared" si="7"/>
        <v>0</v>
      </c>
      <c r="BJ13" s="387">
        <f t="shared" si="8"/>
        <v>147.02688000000001</v>
      </c>
      <c r="BK13" s="387">
        <f t="shared" si="9"/>
        <v>0</v>
      </c>
      <c r="BL13" s="387">
        <f t="shared" si="32"/>
        <v>14710.389408000001</v>
      </c>
      <c r="BM13" s="387">
        <f t="shared" si="33"/>
        <v>0</v>
      </c>
      <c r="BN13" s="387">
        <f t="shared" si="10"/>
        <v>11650</v>
      </c>
      <c r="BO13" s="387">
        <f t="shared" si="11"/>
        <v>0</v>
      </c>
      <c r="BP13" s="387">
        <f t="shared" si="12"/>
        <v>4340.7936</v>
      </c>
      <c r="BQ13" s="387">
        <f t="shared" si="13"/>
        <v>1015.1856000000001</v>
      </c>
      <c r="BR13" s="387">
        <f t="shared" si="14"/>
        <v>8359.5283200000013</v>
      </c>
      <c r="BS13" s="387">
        <f t="shared" si="15"/>
        <v>504.79228800000004</v>
      </c>
      <c r="BT13" s="387">
        <f t="shared" si="16"/>
        <v>0</v>
      </c>
      <c r="BU13" s="387">
        <f t="shared" si="17"/>
        <v>0</v>
      </c>
      <c r="BV13" s="387">
        <f t="shared" si="18"/>
        <v>126.02304000000001</v>
      </c>
      <c r="BW13" s="387">
        <f t="shared" si="19"/>
        <v>0</v>
      </c>
      <c r="BX13" s="387">
        <f t="shared" si="34"/>
        <v>14346.322848000002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-343.06272000000001</v>
      </c>
      <c r="CG13" s="387">
        <f t="shared" si="24"/>
        <v>0</v>
      </c>
      <c r="CH13" s="387">
        <f t="shared" si="25"/>
        <v>-21.003839999999997</v>
      </c>
      <c r="CI13" s="387">
        <f t="shared" si="26"/>
        <v>0</v>
      </c>
      <c r="CJ13" s="387">
        <f t="shared" si="39"/>
        <v>-364.06655999999998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245</v>
      </c>
      <c r="D14" s="376" t="s">
        <v>246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247</v>
      </c>
      <c r="L14" s="376" t="s">
        <v>166</v>
      </c>
      <c r="M14" s="376" t="s">
        <v>177</v>
      </c>
      <c r="N14" s="376" t="s">
        <v>172</v>
      </c>
      <c r="O14" s="379">
        <v>1</v>
      </c>
      <c r="P14" s="385">
        <v>1</v>
      </c>
      <c r="Q14" s="385">
        <v>1</v>
      </c>
      <c r="R14" s="380">
        <v>80</v>
      </c>
      <c r="S14" s="385">
        <v>1</v>
      </c>
      <c r="T14" s="380">
        <v>36868.79</v>
      </c>
      <c r="U14" s="380">
        <v>0</v>
      </c>
      <c r="V14" s="380">
        <v>19218.59</v>
      </c>
      <c r="W14" s="380">
        <v>28641.599999999999</v>
      </c>
      <c r="X14" s="380">
        <v>17667.849999999999</v>
      </c>
      <c r="Y14" s="380">
        <v>28641.599999999999</v>
      </c>
      <c r="Z14" s="380">
        <v>17518.919999999998</v>
      </c>
      <c r="AA14" s="376" t="s">
        <v>248</v>
      </c>
      <c r="AB14" s="376" t="s">
        <v>249</v>
      </c>
      <c r="AC14" s="376" t="s">
        <v>250</v>
      </c>
      <c r="AD14" s="376" t="s">
        <v>229</v>
      </c>
      <c r="AE14" s="376" t="s">
        <v>247</v>
      </c>
      <c r="AF14" s="376" t="s">
        <v>182</v>
      </c>
      <c r="AG14" s="376" t="s">
        <v>183</v>
      </c>
      <c r="AH14" s="381">
        <v>18.36</v>
      </c>
      <c r="AI14" s="381">
        <v>3320.4</v>
      </c>
      <c r="AJ14" s="376" t="s">
        <v>251</v>
      </c>
      <c r="AK14" s="376" t="s">
        <v>185</v>
      </c>
      <c r="AL14" s="376" t="s">
        <v>173</v>
      </c>
      <c r="AM14" s="376" t="s">
        <v>186</v>
      </c>
      <c r="AN14" s="376" t="s">
        <v>68</v>
      </c>
      <c r="AO14" s="379">
        <v>60</v>
      </c>
      <c r="AP14" s="385">
        <v>1</v>
      </c>
      <c r="AQ14" s="385">
        <v>0.75</v>
      </c>
      <c r="AR14" s="384" t="s">
        <v>187</v>
      </c>
      <c r="AS14" s="387">
        <f t="shared" si="27"/>
        <v>0.75</v>
      </c>
      <c r="AT14">
        <f t="shared" si="28"/>
        <v>1</v>
      </c>
      <c r="AU14" s="387">
        <f>IF(AT14=0,"",IF(AND(AT14=1,M14="F",SUMIF(C2:C34,C14,AS2:AS34)&lt;=1),SUMIF(C2:C34,C14,AS2:AS34),IF(AND(AT14=1,M14="F",SUMIF(C2:C34,C14,AS2:AS34)&gt;1),1,"")))</f>
        <v>0.75</v>
      </c>
      <c r="AV14" s="387" t="str">
        <f>IF(AT14=0,"",IF(AND(AT14=3,M14="F",SUMIF(C2:C34,C14,AS2:AS34)&lt;=1),SUMIF(C2:C34,C14,AS2:AS34),IF(AND(AT14=3,M14="F",SUMIF(C2:C34,C14,AS2:AS34)&gt;1),1,"")))</f>
        <v/>
      </c>
      <c r="AW14" s="387">
        <f>SUMIF(C2:C34,C14,O2:O34)</f>
        <v>1</v>
      </c>
      <c r="AX14" s="387">
        <f>IF(AND(M14="F",AS14&lt;&gt;0),SUMIF(C2:C34,C14,W2:W34),0)</f>
        <v>28641.599999999999</v>
      </c>
      <c r="AY14" s="387">
        <f t="shared" si="29"/>
        <v>28641.599999999999</v>
      </c>
      <c r="AZ14" s="387" t="str">
        <f t="shared" si="30"/>
        <v/>
      </c>
      <c r="BA14" s="387">
        <f t="shared" si="31"/>
        <v>0</v>
      </c>
      <c r="BB14" s="387">
        <f t="shared" si="0"/>
        <v>11650</v>
      </c>
      <c r="BC14" s="387">
        <f t="shared" si="1"/>
        <v>0</v>
      </c>
      <c r="BD14" s="387">
        <f t="shared" si="2"/>
        <v>1775.7791999999999</v>
      </c>
      <c r="BE14" s="387">
        <f t="shared" si="3"/>
        <v>415.3032</v>
      </c>
      <c r="BF14" s="387">
        <f t="shared" si="4"/>
        <v>3419.8070400000001</v>
      </c>
      <c r="BG14" s="387">
        <f t="shared" si="5"/>
        <v>206.50593599999999</v>
      </c>
      <c r="BH14" s="387">
        <f t="shared" si="6"/>
        <v>140.34384</v>
      </c>
      <c r="BI14" s="387">
        <f t="shared" si="7"/>
        <v>0</v>
      </c>
      <c r="BJ14" s="387">
        <f t="shared" si="8"/>
        <v>60.147359999999992</v>
      </c>
      <c r="BK14" s="387">
        <f t="shared" si="9"/>
        <v>0</v>
      </c>
      <c r="BL14" s="387">
        <f t="shared" si="32"/>
        <v>6017.8865759999999</v>
      </c>
      <c r="BM14" s="387">
        <f t="shared" si="33"/>
        <v>0</v>
      </c>
      <c r="BN14" s="387">
        <f t="shared" si="10"/>
        <v>11650</v>
      </c>
      <c r="BO14" s="387">
        <f t="shared" si="11"/>
        <v>0</v>
      </c>
      <c r="BP14" s="387">
        <f t="shared" si="12"/>
        <v>1775.7791999999999</v>
      </c>
      <c r="BQ14" s="387">
        <f t="shared" si="13"/>
        <v>415.3032</v>
      </c>
      <c r="BR14" s="387">
        <f t="shared" si="14"/>
        <v>3419.8070400000001</v>
      </c>
      <c r="BS14" s="387">
        <f t="shared" si="15"/>
        <v>206.50593599999999</v>
      </c>
      <c r="BT14" s="387">
        <f t="shared" si="16"/>
        <v>0</v>
      </c>
      <c r="BU14" s="387">
        <f t="shared" si="17"/>
        <v>0</v>
      </c>
      <c r="BV14" s="387">
        <f t="shared" si="18"/>
        <v>51.554879999999997</v>
      </c>
      <c r="BW14" s="387">
        <f t="shared" si="19"/>
        <v>0</v>
      </c>
      <c r="BX14" s="387">
        <f t="shared" si="34"/>
        <v>5868.9502559999992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-140.34384</v>
      </c>
      <c r="CG14" s="387">
        <f t="shared" si="24"/>
        <v>0</v>
      </c>
      <c r="CH14" s="387">
        <f t="shared" si="25"/>
        <v>-8.5924799999999966</v>
      </c>
      <c r="CI14" s="387">
        <f t="shared" si="26"/>
        <v>0</v>
      </c>
      <c r="CJ14" s="387">
        <f t="shared" si="39"/>
        <v>-148.93631999999999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252</v>
      </c>
      <c r="D15" s="376" t="s">
        <v>189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190</v>
      </c>
      <c r="L15" s="376" t="s">
        <v>183</v>
      </c>
      <c r="M15" s="376" t="s">
        <v>177</v>
      </c>
      <c r="N15" s="376" t="s">
        <v>172</v>
      </c>
      <c r="O15" s="379">
        <v>1</v>
      </c>
      <c r="P15" s="385">
        <v>1</v>
      </c>
      <c r="Q15" s="385">
        <v>1</v>
      </c>
      <c r="R15" s="380">
        <v>80</v>
      </c>
      <c r="S15" s="385">
        <v>1</v>
      </c>
      <c r="T15" s="380">
        <v>39748.410000000003</v>
      </c>
      <c r="U15" s="380">
        <v>0</v>
      </c>
      <c r="V15" s="380">
        <v>19804.18</v>
      </c>
      <c r="W15" s="380">
        <v>40310.400000000001</v>
      </c>
      <c r="X15" s="380">
        <v>20119.599999999999</v>
      </c>
      <c r="Y15" s="380">
        <v>40310.400000000001</v>
      </c>
      <c r="Z15" s="380">
        <v>19909.98</v>
      </c>
      <c r="AA15" s="376" t="s">
        <v>253</v>
      </c>
      <c r="AB15" s="376" t="s">
        <v>254</v>
      </c>
      <c r="AC15" s="376" t="s">
        <v>255</v>
      </c>
      <c r="AD15" s="376" t="s">
        <v>256</v>
      </c>
      <c r="AE15" s="376" t="s">
        <v>190</v>
      </c>
      <c r="AF15" s="376" t="s">
        <v>182</v>
      </c>
      <c r="AG15" s="376" t="s">
        <v>183</v>
      </c>
      <c r="AH15" s="381">
        <v>19.38</v>
      </c>
      <c r="AI15" s="381">
        <v>13926.1</v>
      </c>
      <c r="AJ15" s="376" t="s">
        <v>184</v>
      </c>
      <c r="AK15" s="376" t="s">
        <v>185</v>
      </c>
      <c r="AL15" s="376" t="s">
        <v>173</v>
      </c>
      <c r="AM15" s="376" t="s">
        <v>186</v>
      </c>
      <c r="AN15" s="376" t="s">
        <v>68</v>
      </c>
      <c r="AO15" s="379">
        <v>80</v>
      </c>
      <c r="AP15" s="385">
        <v>1</v>
      </c>
      <c r="AQ15" s="385">
        <v>1</v>
      </c>
      <c r="AR15" s="384" t="s">
        <v>187</v>
      </c>
      <c r="AS15" s="387">
        <f t="shared" si="27"/>
        <v>1</v>
      </c>
      <c r="AT15">
        <f t="shared" si="28"/>
        <v>1</v>
      </c>
      <c r="AU15" s="387">
        <f>IF(AT15=0,"",IF(AND(AT15=1,M15="F",SUMIF(C2:C34,C15,AS2:AS34)&lt;=1),SUMIF(C2:C34,C15,AS2:AS34),IF(AND(AT15=1,M15="F",SUMIF(C2:C34,C15,AS2:AS34)&gt;1),1,"")))</f>
        <v>1</v>
      </c>
      <c r="AV15" s="387" t="str">
        <f>IF(AT15=0,"",IF(AND(AT15=3,M15="F",SUMIF(C2:C34,C15,AS2:AS34)&lt;=1),SUMIF(C2:C34,C15,AS2:AS34),IF(AND(AT15=3,M15="F",SUMIF(C2:C34,C15,AS2:AS34)&gt;1),1,"")))</f>
        <v/>
      </c>
      <c r="AW15" s="387">
        <f>SUMIF(C2:C34,C15,O2:O34)</f>
        <v>1</v>
      </c>
      <c r="AX15" s="387">
        <f>IF(AND(M15="F",AS15&lt;&gt;0),SUMIF(C2:C34,C15,W2:W34),0)</f>
        <v>40310.400000000001</v>
      </c>
      <c r="AY15" s="387">
        <f t="shared" si="29"/>
        <v>40310.400000000001</v>
      </c>
      <c r="AZ15" s="387" t="str">
        <f t="shared" si="30"/>
        <v/>
      </c>
      <c r="BA15" s="387">
        <f t="shared" si="31"/>
        <v>0</v>
      </c>
      <c r="BB15" s="387">
        <f t="shared" si="0"/>
        <v>11650</v>
      </c>
      <c r="BC15" s="387">
        <f t="shared" si="1"/>
        <v>0</v>
      </c>
      <c r="BD15" s="387">
        <f t="shared" si="2"/>
        <v>2499.2447999999999</v>
      </c>
      <c r="BE15" s="387">
        <f t="shared" si="3"/>
        <v>584.50080000000003</v>
      </c>
      <c r="BF15" s="387">
        <f t="shared" si="4"/>
        <v>4813.0617600000005</v>
      </c>
      <c r="BG15" s="387">
        <f t="shared" si="5"/>
        <v>290.63798400000002</v>
      </c>
      <c r="BH15" s="387">
        <f t="shared" si="6"/>
        <v>197.52096</v>
      </c>
      <c r="BI15" s="387">
        <f t="shared" si="7"/>
        <v>0</v>
      </c>
      <c r="BJ15" s="387">
        <f t="shared" si="8"/>
        <v>84.651839999999993</v>
      </c>
      <c r="BK15" s="387">
        <f t="shared" si="9"/>
        <v>0</v>
      </c>
      <c r="BL15" s="387">
        <f t="shared" si="32"/>
        <v>8469.6181440000018</v>
      </c>
      <c r="BM15" s="387">
        <f t="shared" si="33"/>
        <v>0</v>
      </c>
      <c r="BN15" s="387">
        <f t="shared" si="10"/>
        <v>11650</v>
      </c>
      <c r="BO15" s="387">
        <f t="shared" si="11"/>
        <v>0</v>
      </c>
      <c r="BP15" s="387">
        <f t="shared" si="12"/>
        <v>2499.2447999999999</v>
      </c>
      <c r="BQ15" s="387">
        <f t="shared" si="13"/>
        <v>584.50080000000003</v>
      </c>
      <c r="BR15" s="387">
        <f t="shared" si="14"/>
        <v>4813.0617600000005</v>
      </c>
      <c r="BS15" s="387">
        <f t="shared" si="15"/>
        <v>290.63798400000002</v>
      </c>
      <c r="BT15" s="387">
        <f t="shared" si="16"/>
        <v>0</v>
      </c>
      <c r="BU15" s="387">
        <f t="shared" si="17"/>
        <v>0</v>
      </c>
      <c r="BV15" s="387">
        <f t="shared" si="18"/>
        <v>72.558719999999994</v>
      </c>
      <c r="BW15" s="387">
        <f t="shared" si="19"/>
        <v>0</v>
      </c>
      <c r="BX15" s="387">
        <f t="shared" si="34"/>
        <v>8260.0040640000007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-197.52096</v>
      </c>
      <c r="CG15" s="387">
        <f t="shared" si="24"/>
        <v>0</v>
      </c>
      <c r="CH15" s="387">
        <f t="shared" si="25"/>
        <v>-12.093119999999997</v>
      </c>
      <c r="CI15" s="387">
        <f t="shared" si="26"/>
        <v>0</v>
      </c>
      <c r="CJ15" s="387">
        <f t="shared" si="39"/>
        <v>-209.61408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257</v>
      </c>
      <c r="D16" s="376" t="s">
        <v>258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259</v>
      </c>
      <c r="L16" s="376" t="s">
        <v>166</v>
      </c>
      <c r="M16" s="376" t="s">
        <v>177</v>
      </c>
      <c r="N16" s="376" t="s">
        <v>172</v>
      </c>
      <c r="O16" s="379">
        <v>1</v>
      </c>
      <c r="P16" s="385">
        <v>1</v>
      </c>
      <c r="Q16" s="385">
        <v>1</v>
      </c>
      <c r="R16" s="380">
        <v>80</v>
      </c>
      <c r="S16" s="385">
        <v>1</v>
      </c>
      <c r="T16" s="380">
        <v>63392</v>
      </c>
      <c r="U16" s="380">
        <v>0</v>
      </c>
      <c r="V16" s="380">
        <v>24552.61</v>
      </c>
      <c r="W16" s="380">
        <v>61942.400000000001</v>
      </c>
      <c r="X16" s="380">
        <v>24664.68</v>
      </c>
      <c r="Y16" s="380">
        <v>61942.400000000001</v>
      </c>
      <c r="Z16" s="380">
        <v>24342.59</v>
      </c>
      <c r="AA16" s="376" t="s">
        <v>260</v>
      </c>
      <c r="AB16" s="376" t="s">
        <v>261</v>
      </c>
      <c r="AC16" s="376" t="s">
        <v>262</v>
      </c>
      <c r="AD16" s="376" t="s">
        <v>263</v>
      </c>
      <c r="AE16" s="376" t="s">
        <v>259</v>
      </c>
      <c r="AF16" s="376" t="s">
        <v>182</v>
      </c>
      <c r="AG16" s="376" t="s">
        <v>183</v>
      </c>
      <c r="AH16" s="381">
        <v>29.78</v>
      </c>
      <c r="AI16" s="381">
        <v>32859.199999999997</v>
      </c>
      <c r="AJ16" s="376" t="s">
        <v>184</v>
      </c>
      <c r="AK16" s="376" t="s">
        <v>185</v>
      </c>
      <c r="AL16" s="376" t="s">
        <v>173</v>
      </c>
      <c r="AM16" s="376" t="s">
        <v>186</v>
      </c>
      <c r="AN16" s="376" t="s">
        <v>68</v>
      </c>
      <c r="AO16" s="379">
        <v>80</v>
      </c>
      <c r="AP16" s="385">
        <v>1</v>
      </c>
      <c r="AQ16" s="385">
        <v>1</v>
      </c>
      <c r="AR16" s="384" t="s">
        <v>187</v>
      </c>
      <c r="AS16" s="387">
        <f t="shared" si="27"/>
        <v>1</v>
      </c>
      <c r="AT16">
        <f t="shared" si="28"/>
        <v>1</v>
      </c>
      <c r="AU16" s="387">
        <f>IF(AT16=0,"",IF(AND(AT16=1,M16="F",SUMIF(C2:C34,C16,AS2:AS34)&lt;=1),SUMIF(C2:C34,C16,AS2:AS34),IF(AND(AT16=1,M16="F",SUMIF(C2:C34,C16,AS2:AS34)&gt;1),1,"")))</f>
        <v>1</v>
      </c>
      <c r="AV16" s="387" t="str">
        <f>IF(AT16=0,"",IF(AND(AT16=3,M16="F",SUMIF(C2:C34,C16,AS2:AS34)&lt;=1),SUMIF(C2:C34,C16,AS2:AS34),IF(AND(AT16=3,M16="F",SUMIF(C2:C34,C16,AS2:AS34)&gt;1),1,"")))</f>
        <v/>
      </c>
      <c r="AW16" s="387">
        <f>SUMIF(C2:C34,C16,O2:O34)</f>
        <v>1</v>
      </c>
      <c r="AX16" s="387">
        <f>IF(AND(M16="F",AS16&lt;&gt;0),SUMIF(C2:C34,C16,W2:W34),0)</f>
        <v>61942.400000000001</v>
      </c>
      <c r="AY16" s="387">
        <f t="shared" si="29"/>
        <v>61942.400000000001</v>
      </c>
      <c r="AZ16" s="387" t="str">
        <f t="shared" si="30"/>
        <v/>
      </c>
      <c r="BA16" s="387">
        <f t="shared" si="31"/>
        <v>0</v>
      </c>
      <c r="BB16" s="387">
        <f t="shared" si="0"/>
        <v>11650</v>
      </c>
      <c r="BC16" s="387">
        <f t="shared" si="1"/>
        <v>0</v>
      </c>
      <c r="BD16" s="387">
        <f t="shared" si="2"/>
        <v>3840.4288000000001</v>
      </c>
      <c r="BE16" s="387">
        <f t="shared" si="3"/>
        <v>898.16480000000001</v>
      </c>
      <c r="BF16" s="387">
        <f t="shared" si="4"/>
        <v>7395.9225600000009</v>
      </c>
      <c r="BG16" s="387">
        <f t="shared" si="5"/>
        <v>446.60470400000003</v>
      </c>
      <c r="BH16" s="387">
        <f t="shared" si="6"/>
        <v>303.51776000000001</v>
      </c>
      <c r="BI16" s="387">
        <f t="shared" si="7"/>
        <v>0</v>
      </c>
      <c r="BJ16" s="387">
        <f t="shared" si="8"/>
        <v>130.07903999999999</v>
      </c>
      <c r="BK16" s="387">
        <f t="shared" si="9"/>
        <v>0</v>
      </c>
      <c r="BL16" s="387">
        <f t="shared" si="32"/>
        <v>13014.717664000002</v>
      </c>
      <c r="BM16" s="387">
        <f t="shared" si="33"/>
        <v>0</v>
      </c>
      <c r="BN16" s="387">
        <f t="shared" si="10"/>
        <v>11650</v>
      </c>
      <c r="BO16" s="387">
        <f t="shared" si="11"/>
        <v>0</v>
      </c>
      <c r="BP16" s="387">
        <f t="shared" si="12"/>
        <v>3840.4288000000001</v>
      </c>
      <c r="BQ16" s="387">
        <f t="shared" si="13"/>
        <v>898.16480000000001</v>
      </c>
      <c r="BR16" s="387">
        <f t="shared" si="14"/>
        <v>7395.9225600000009</v>
      </c>
      <c r="BS16" s="387">
        <f t="shared" si="15"/>
        <v>446.60470400000003</v>
      </c>
      <c r="BT16" s="387">
        <f t="shared" si="16"/>
        <v>0</v>
      </c>
      <c r="BU16" s="387">
        <f t="shared" si="17"/>
        <v>0</v>
      </c>
      <c r="BV16" s="387">
        <f t="shared" si="18"/>
        <v>111.49632</v>
      </c>
      <c r="BW16" s="387">
        <f t="shared" si="19"/>
        <v>0</v>
      </c>
      <c r="BX16" s="387">
        <f t="shared" si="34"/>
        <v>12692.617184000001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-303.51776000000001</v>
      </c>
      <c r="CG16" s="387">
        <f t="shared" si="24"/>
        <v>0</v>
      </c>
      <c r="CH16" s="387">
        <f t="shared" si="25"/>
        <v>-18.582719999999995</v>
      </c>
      <c r="CI16" s="387">
        <f t="shared" si="26"/>
        <v>0</v>
      </c>
      <c r="CJ16" s="387">
        <f t="shared" si="39"/>
        <v>-322.10048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165</v>
      </c>
      <c r="D17" s="376" t="s">
        <v>264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265</v>
      </c>
      <c r="L17" s="376" t="s">
        <v>166</v>
      </c>
      <c r="M17" s="376" t="s">
        <v>177</v>
      </c>
      <c r="N17" s="376" t="s">
        <v>172</v>
      </c>
      <c r="O17" s="379">
        <v>1</v>
      </c>
      <c r="P17" s="385">
        <v>1</v>
      </c>
      <c r="Q17" s="385">
        <v>1</v>
      </c>
      <c r="R17" s="380">
        <v>80</v>
      </c>
      <c r="S17" s="385">
        <v>1</v>
      </c>
      <c r="T17" s="380">
        <v>117556.7</v>
      </c>
      <c r="U17" s="380">
        <v>0</v>
      </c>
      <c r="V17" s="380">
        <v>35865.919999999998</v>
      </c>
      <c r="W17" s="380">
        <v>117556.7</v>
      </c>
      <c r="X17" s="380">
        <v>35773.78</v>
      </c>
      <c r="Y17" s="380">
        <v>117556.7</v>
      </c>
      <c r="Z17" s="380">
        <v>35738.519999999997</v>
      </c>
      <c r="AA17" s="376" t="s">
        <v>266</v>
      </c>
      <c r="AB17" s="376" t="s">
        <v>267</v>
      </c>
      <c r="AC17" s="376" t="s">
        <v>268</v>
      </c>
      <c r="AD17" s="376" t="s">
        <v>185</v>
      </c>
      <c r="AE17" s="376" t="s">
        <v>265</v>
      </c>
      <c r="AF17" s="376" t="s">
        <v>182</v>
      </c>
      <c r="AG17" s="376" t="s">
        <v>244</v>
      </c>
      <c r="AH17" s="381">
        <v>117556.7</v>
      </c>
      <c r="AI17" s="379">
        <v>47434</v>
      </c>
      <c r="AJ17" s="376" t="s">
        <v>269</v>
      </c>
      <c r="AK17" s="376" t="s">
        <v>185</v>
      </c>
      <c r="AL17" s="376" t="s">
        <v>173</v>
      </c>
      <c r="AM17" s="376" t="s">
        <v>173</v>
      </c>
      <c r="AN17" s="376" t="s">
        <v>68</v>
      </c>
      <c r="AO17" s="379">
        <v>80</v>
      </c>
      <c r="AP17" s="385">
        <v>1</v>
      </c>
      <c r="AQ17" s="385">
        <v>1</v>
      </c>
      <c r="AR17" s="384" t="s">
        <v>187</v>
      </c>
      <c r="AS17" s="387">
        <f t="shared" si="27"/>
        <v>1</v>
      </c>
      <c r="AT17">
        <f t="shared" si="28"/>
        <v>3</v>
      </c>
      <c r="AU17" s="387" t="str">
        <f>IF(AT17=0,"",IF(AND(AT17=1,M17="F",SUMIF(C2:C34,C17,AS2:AS34)&lt;=1),SUMIF(C2:C34,C17,AS2:AS34),IF(AND(AT17=1,M17="F",SUMIF(C2:C34,C17,AS2:AS34)&gt;1),1,"")))</f>
        <v/>
      </c>
      <c r="AV17" s="387">
        <f>IF(AT17=0,"",IF(AND(AT17=3,M17="F",SUMIF(C2:C34,C17,AS2:AS34)&lt;=1),SUMIF(C2:C34,C17,AS2:AS34),IF(AND(AT17=3,M17="F",SUMIF(C2:C34,C17,AS2:AS34)&gt;1),1,"")))</f>
        <v>1</v>
      </c>
      <c r="AW17" s="387">
        <f>SUMIF(C2:C34,C17,O2:O34)</f>
        <v>1</v>
      </c>
      <c r="AX17" s="387">
        <f>IF(AND(M17="F",AS17&lt;&gt;0),SUMIF(C2:C34,C17,W2:W34),0)</f>
        <v>117556.7</v>
      </c>
      <c r="AY17" s="387" t="str">
        <f t="shared" si="29"/>
        <v/>
      </c>
      <c r="AZ17" s="387">
        <f t="shared" si="30"/>
        <v>117556.7</v>
      </c>
      <c r="BA17" s="387">
        <f t="shared" si="31"/>
        <v>0</v>
      </c>
      <c r="BB17" s="387">
        <f t="shared" si="0"/>
        <v>0</v>
      </c>
      <c r="BC17" s="387">
        <f t="shared" si="1"/>
        <v>11650</v>
      </c>
      <c r="BD17" s="387">
        <f t="shared" si="2"/>
        <v>7288.5153999999993</v>
      </c>
      <c r="BE17" s="387">
        <f t="shared" si="3"/>
        <v>1704.57215</v>
      </c>
      <c r="BF17" s="387">
        <f t="shared" si="4"/>
        <v>14036.269980000001</v>
      </c>
      <c r="BG17" s="387">
        <f t="shared" si="5"/>
        <v>847.58380699999998</v>
      </c>
      <c r="BH17" s="387">
        <f t="shared" si="6"/>
        <v>0</v>
      </c>
      <c r="BI17" s="387">
        <f t="shared" si="7"/>
        <v>0</v>
      </c>
      <c r="BJ17" s="387">
        <f t="shared" si="8"/>
        <v>246.86906999999997</v>
      </c>
      <c r="BK17" s="387">
        <f t="shared" si="9"/>
        <v>0</v>
      </c>
      <c r="BL17" s="387">
        <f t="shared" si="32"/>
        <v>0</v>
      </c>
      <c r="BM17" s="387">
        <f t="shared" si="33"/>
        <v>24123.810407000001</v>
      </c>
      <c r="BN17" s="387">
        <f t="shared" si="10"/>
        <v>0</v>
      </c>
      <c r="BO17" s="387">
        <f t="shared" si="11"/>
        <v>11650</v>
      </c>
      <c r="BP17" s="387">
        <f t="shared" si="12"/>
        <v>7288.5153999999993</v>
      </c>
      <c r="BQ17" s="387">
        <f t="shared" si="13"/>
        <v>1704.57215</v>
      </c>
      <c r="BR17" s="387">
        <f t="shared" si="14"/>
        <v>14036.269980000001</v>
      </c>
      <c r="BS17" s="387">
        <f t="shared" si="15"/>
        <v>847.58380699999998</v>
      </c>
      <c r="BT17" s="387">
        <f t="shared" si="16"/>
        <v>0</v>
      </c>
      <c r="BU17" s="387">
        <f t="shared" si="17"/>
        <v>0</v>
      </c>
      <c r="BV17" s="387">
        <f t="shared" si="18"/>
        <v>211.60205999999999</v>
      </c>
      <c r="BW17" s="387">
        <f t="shared" si="19"/>
        <v>0</v>
      </c>
      <c r="BX17" s="387">
        <f t="shared" si="34"/>
        <v>0</v>
      </c>
      <c r="BY17" s="387">
        <f t="shared" si="35"/>
        <v>24088.543397000001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-35.267009999999992</v>
      </c>
      <c r="CI17" s="387">
        <f t="shared" si="26"/>
        <v>0</v>
      </c>
      <c r="CJ17" s="387">
        <f t="shared" si="39"/>
        <v>0</v>
      </c>
      <c r="CK17" s="387">
        <f t="shared" si="40"/>
        <v>-35.267009999999992</v>
      </c>
      <c r="CL17" s="387" t="str">
        <f t="shared" si="41"/>
        <v/>
      </c>
      <c r="CM17" s="387" t="str">
        <f t="shared" si="42"/>
        <v/>
      </c>
      <c r="CN17" s="387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270</v>
      </c>
      <c r="D18" s="376" t="s">
        <v>189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190</v>
      </c>
      <c r="L18" s="376" t="s">
        <v>183</v>
      </c>
      <c r="M18" s="376" t="s">
        <v>177</v>
      </c>
      <c r="N18" s="376" t="s">
        <v>172</v>
      </c>
      <c r="O18" s="379">
        <v>1</v>
      </c>
      <c r="P18" s="385">
        <v>1</v>
      </c>
      <c r="Q18" s="385">
        <v>1</v>
      </c>
      <c r="R18" s="380">
        <v>80</v>
      </c>
      <c r="S18" s="385">
        <v>1</v>
      </c>
      <c r="T18" s="380">
        <v>39768.61</v>
      </c>
      <c r="U18" s="380">
        <v>0</v>
      </c>
      <c r="V18" s="380">
        <v>19704.84</v>
      </c>
      <c r="W18" s="380">
        <v>40310.400000000001</v>
      </c>
      <c r="X18" s="380">
        <v>20119.599999999999</v>
      </c>
      <c r="Y18" s="380">
        <v>40310.400000000001</v>
      </c>
      <c r="Z18" s="380">
        <v>19909.98</v>
      </c>
      <c r="AA18" s="376" t="s">
        <v>271</v>
      </c>
      <c r="AB18" s="376" t="s">
        <v>272</v>
      </c>
      <c r="AC18" s="376" t="s">
        <v>273</v>
      </c>
      <c r="AD18" s="376" t="s">
        <v>229</v>
      </c>
      <c r="AE18" s="376" t="s">
        <v>190</v>
      </c>
      <c r="AF18" s="376" t="s">
        <v>182</v>
      </c>
      <c r="AG18" s="376" t="s">
        <v>183</v>
      </c>
      <c r="AH18" s="381">
        <v>19.38</v>
      </c>
      <c r="AI18" s="381">
        <v>23177.9</v>
      </c>
      <c r="AJ18" s="376" t="s">
        <v>184</v>
      </c>
      <c r="AK18" s="376" t="s">
        <v>185</v>
      </c>
      <c r="AL18" s="376" t="s">
        <v>173</v>
      </c>
      <c r="AM18" s="376" t="s">
        <v>186</v>
      </c>
      <c r="AN18" s="376" t="s">
        <v>68</v>
      </c>
      <c r="AO18" s="379">
        <v>80</v>
      </c>
      <c r="AP18" s="385">
        <v>1</v>
      </c>
      <c r="AQ18" s="385">
        <v>1</v>
      </c>
      <c r="AR18" s="384" t="s">
        <v>187</v>
      </c>
      <c r="AS18" s="387">
        <f t="shared" si="27"/>
        <v>1</v>
      </c>
      <c r="AT18">
        <f t="shared" si="28"/>
        <v>1</v>
      </c>
      <c r="AU18" s="387">
        <f>IF(AT18=0,"",IF(AND(AT18=1,M18="F",SUMIF(C2:C34,C18,AS2:AS34)&lt;=1),SUMIF(C2:C34,C18,AS2:AS34),IF(AND(AT18=1,M18="F",SUMIF(C2:C34,C18,AS2:AS34)&gt;1),1,"")))</f>
        <v>1</v>
      </c>
      <c r="AV18" s="387" t="str">
        <f>IF(AT18=0,"",IF(AND(AT18=3,M18="F",SUMIF(C2:C34,C18,AS2:AS34)&lt;=1),SUMIF(C2:C34,C18,AS2:AS34),IF(AND(AT18=3,M18="F",SUMIF(C2:C34,C18,AS2:AS34)&gt;1),1,"")))</f>
        <v/>
      </c>
      <c r="AW18" s="387">
        <f>SUMIF(C2:C34,C18,O2:O34)</f>
        <v>1</v>
      </c>
      <c r="AX18" s="387">
        <f>IF(AND(M18="F",AS18&lt;&gt;0),SUMIF(C2:C34,C18,W2:W34),0)</f>
        <v>40310.400000000001</v>
      </c>
      <c r="AY18" s="387">
        <f t="shared" si="29"/>
        <v>40310.400000000001</v>
      </c>
      <c r="AZ18" s="387" t="str">
        <f t="shared" si="30"/>
        <v/>
      </c>
      <c r="BA18" s="387">
        <f t="shared" si="31"/>
        <v>0</v>
      </c>
      <c r="BB18" s="387">
        <f t="shared" si="0"/>
        <v>11650</v>
      </c>
      <c r="BC18" s="387">
        <f t="shared" si="1"/>
        <v>0</v>
      </c>
      <c r="BD18" s="387">
        <f t="shared" si="2"/>
        <v>2499.2447999999999</v>
      </c>
      <c r="BE18" s="387">
        <f t="shared" si="3"/>
        <v>584.50080000000003</v>
      </c>
      <c r="BF18" s="387">
        <f t="shared" si="4"/>
        <v>4813.0617600000005</v>
      </c>
      <c r="BG18" s="387">
        <f t="shared" si="5"/>
        <v>290.63798400000002</v>
      </c>
      <c r="BH18" s="387">
        <f t="shared" si="6"/>
        <v>197.52096</v>
      </c>
      <c r="BI18" s="387">
        <f t="shared" si="7"/>
        <v>0</v>
      </c>
      <c r="BJ18" s="387">
        <f t="shared" si="8"/>
        <v>84.651839999999993</v>
      </c>
      <c r="BK18" s="387">
        <f t="shared" si="9"/>
        <v>0</v>
      </c>
      <c r="BL18" s="387">
        <f t="shared" si="32"/>
        <v>8469.6181440000018</v>
      </c>
      <c r="BM18" s="387">
        <f t="shared" si="33"/>
        <v>0</v>
      </c>
      <c r="BN18" s="387">
        <f t="shared" si="10"/>
        <v>11650</v>
      </c>
      <c r="BO18" s="387">
        <f t="shared" si="11"/>
        <v>0</v>
      </c>
      <c r="BP18" s="387">
        <f t="shared" si="12"/>
        <v>2499.2447999999999</v>
      </c>
      <c r="BQ18" s="387">
        <f t="shared" si="13"/>
        <v>584.50080000000003</v>
      </c>
      <c r="BR18" s="387">
        <f t="shared" si="14"/>
        <v>4813.0617600000005</v>
      </c>
      <c r="BS18" s="387">
        <f t="shared" si="15"/>
        <v>290.63798400000002</v>
      </c>
      <c r="BT18" s="387">
        <f t="shared" si="16"/>
        <v>0</v>
      </c>
      <c r="BU18" s="387">
        <f t="shared" si="17"/>
        <v>0</v>
      </c>
      <c r="BV18" s="387">
        <f t="shared" si="18"/>
        <v>72.558719999999994</v>
      </c>
      <c r="BW18" s="387">
        <f t="shared" si="19"/>
        <v>0</v>
      </c>
      <c r="BX18" s="387">
        <f t="shared" si="34"/>
        <v>8260.0040640000007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-197.52096</v>
      </c>
      <c r="CG18" s="387">
        <f t="shared" si="24"/>
        <v>0</v>
      </c>
      <c r="CH18" s="387">
        <f t="shared" si="25"/>
        <v>-12.093119999999997</v>
      </c>
      <c r="CI18" s="387">
        <f t="shared" si="26"/>
        <v>0</v>
      </c>
      <c r="CJ18" s="387">
        <f t="shared" si="39"/>
        <v>-209.61408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274</v>
      </c>
      <c r="D19" s="376" t="s">
        <v>225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223</v>
      </c>
      <c r="L19" s="376" t="s">
        <v>166</v>
      </c>
      <c r="M19" s="376" t="s">
        <v>177</v>
      </c>
      <c r="N19" s="376" t="s">
        <v>172</v>
      </c>
      <c r="O19" s="379">
        <v>1</v>
      </c>
      <c r="P19" s="385">
        <v>1</v>
      </c>
      <c r="Q19" s="385">
        <v>1</v>
      </c>
      <c r="R19" s="380">
        <v>80</v>
      </c>
      <c r="S19" s="385">
        <v>1</v>
      </c>
      <c r="T19" s="380">
        <v>47161.99</v>
      </c>
      <c r="U19" s="380">
        <v>1872.11</v>
      </c>
      <c r="V19" s="380">
        <v>21608.06</v>
      </c>
      <c r="W19" s="380">
        <v>45448</v>
      </c>
      <c r="X19" s="380">
        <v>21199.06</v>
      </c>
      <c r="Y19" s="380">
        <v>45448</v>
      </c>
      <c r="Z19" s="380">
        <v>20962.73</v>
      </c>
      <c r="AA19" s="376" t="s">
        <v>275</v>
      </c>
      <c r="AB19" s="376" t="s">
        <v>276</v>
      </c>
      <c r="AC19" s="376" t="s">
        <v>277</v>
      </c>
      <c r="AD19" s="376" t="s">
        <v>197</v>
      </c>
      <c r="AE19" s="376" t="s">
        <v>223</v>
      </c>
      <c r="AF19" s="376" t="s">
        <v>182</v>
      </c>
      <c r="AG19" s="376" t="s">
        <v>183</v>
      </c>
      <c r="AH19" s="381">
        <v>21.85</v>
      </c>
      <c r="AI19" s="381">
        <v>4204.6000000000004</v>
      </c>
      <c r="AJ19" s="376" t="s">
        <v>184</v>
      </c>
      <c r="AK19" s="376" t="s">
        <v>185</v>
      </c>
      <c r="AL19" s="376" t="s">
        <v>173</v>
      </c>
      <c r="AM19" s="376" t="s">
        <v>186</v>
      </c>
      <c r="AN19" s="376" t="s">
        <v>68</v>
      </c>
      <c r="AO19" s="379">
        <v>80</v>
      </c>
      <c r="AP19" s="385">
        <v>1</v>
      </c>
      <c r="AQ19" s="385">
        <v>1</v>
      </c>
      <c r="AR19" s="384" t="s">
        <v>187</v>
      </c>
      <c r="AS19" s="387">
        <f t="shared" si="27"/>
        <v>1</v>
      </c>
      <c r="AT19">
        <f t="shared" si="28"/>
        <v>1</v>
      </c>
      <c r="AU19" s="387">
        <f>IF(AT19=0,"",IF(AND(AT19=1,M19="F",SUMIF(C2:C34,C19,AS2:AS34)&lt;=1),SUMIF(C2:C34,C19,AS2:AS34),IF(AND(AT19=1,M19="F",SUMIF(C2:C34,C19,AS2:AS34)&gt;1),1,"")))</f>
        <v>1</v>
      </c>
      <c r="AV19" s="387" t="str">
        <f>IF(AT19=0,"",IF(AND(AT19=3,M19="F",SUMIF(C2:C34,C19,AS2:AS34)&lt;=1),SUMIF(C2:C34,C19,AS2:AS34),IF(AND(AT19=3,M19="F",SUMIF(C2:C34,C19,AS2:AS34)&gt;1),1,"")))</f>
        <v/>
      </c>
      <c r="AW19" s="387">
        <f>SUMIF(C2:C34,C19,O2:O34)</f>
        <v>1</v>
      </c>
      <c r="AX19" s="387">
        <f>IF(AND(M19="F",AS19&lt;&gt;0),SUMIF(C2:C34,C19,W2:W34),0)</f>
        <v>45448</v>
      </c>
      <c r="AY19" s="387">
        <f t="shared" si="29"/>
        <v>45448</v>
      </c>
      <c r="AZ19" s="387" t="str">
        <f t="shared" si="30"/>
        <v/>
      </c>
      <c r="BA19" s="387">
        <f t="shared" si="31"/>
        <v>0</v>
      </c>
      <c r="BB19" s="387">
        <f t="shared" si="0"/>
        <v>11650</v>
      </c>
      <c r="BC19" s="387">
        <f t="shared" si="1"/>
        <v>0</v>
      </c>
      <c r="BD19" s="387">
        <f t="shared" si="2"/>
        <v>2817.7759999999998</v>
      </c>
      <c r="BE19" s="387">
        <f t="shared" si="3"/>
        <v>658.99599999999998</v>
      </c>
      <c r="BF19" s="387">
        <f t="shared" si="4"/>
        <v>5426.4912000000004</v>
      </c>
      <c r="BG19" s="387">
        <f t="shared" si="5"/>
        <v>327.68008000000003</v>
      </c>
      <c r="BH19" s="387">
        <f t="shared" si="6"/>
        <v>222.6952</v>
      </c>
      <c r="BI19" s="387">
        <f t="shared" si="7"/>
        <v>0</v>
      </c>
      <c r="BJ19" s="387">
        <f t="shared" si="8"/>
        <v>95.440799999999996</v>
      </c>
      <c r="BK19" s="387">
        <f t="shared" si="9"/>
        <v>0</v>
      </c>
      <c r="BL19" s="387">
        <f t="shared" si="32"/>
        <v>9549.0792800000017</v>
      </c>
      <c r="BM19" s="387">
        <f t="shared" si="33"/>
        <v>0</v>
      </c>
      <c r="BN19" s="387">
        <f t="shared" si="10"/>
        <v>11650</v>
      </c>
      <c r="BO19" s="387">
        <f t="shared" si="11"/>
        <v>0</v>
      </c>
      <c r="BP19" s="387">
        <f t="shared" si="12"/>
        <v>2817.7759999999998</v>
      </c>
      <c r="BQ19" s="387">
        <f t="shared" si="13"/>
        <v>658.99599999999998</v>
      </c>
      <c r="BR19" s="387">
        <f t="shared" si="14"/>
        <v>5426.4912000000004</v>
      </c>
      <c r="BS19" s="387">
        <f t="shared" si="15"/>
        <v>327.68008000000003</v>
      </c>
      <c r="BT19" s="387">
        <f t="shared" si="16"/>
        <v>0</v>
      </c>
      <c r="BU19" s="387">
        <f t="shared" si="17"/>
        <v>0</v>
      </c>
      <c r="BV19" s="387">
        <f t="shared" si="18"/>
        <v>81.806399999999996</v>
      </c>
      <c r="BW19" s="387">
        <f t="shared" si="19"/>
        <v>0</v>
      </c>
      <c r="BX19" s="387">
        <f t="shared" si="34"/>
        <v>9312.7496800000008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-222.6952</v>
      </c>
      <c r="CG19" s="387">
        <f t="shared" si="24"/>
        <v>0</v>
      </c>
      <c r="CH19" s="387">
        <f t="shared" si="25"/>
        <v>-13.634399999999996</v>
      </c>
      <c r="CI19" s="387">
        <f t="shared" si="26"/>
        <v>0</v>
      </c>
      <c r="CJ19" s="387">
        <f t="shared" si="39"/>
        <v>-236.3296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278</v>
      </c>
      <c r="D20" s="376" t="s">
        <v>164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279</v>
      </c>
      <c r="L20" s="376" t="s">
        <v>229</v>
      </c>
      <c r="M20" s="376" t="s">
        <v>177</v>
      </c>
      <c r="N20" s="376" t="s">
        <v>172</v>
      </c>
      <c r="O20" s="379">
        <v>1</v>
      </c>
      <c r="P20" s="385">
        <v>1</v>
      </c>
      <c r="Q20" s="385">
        <v>1</v>
      </c>
      <c r="R20" s="380">
        <v>80</v>
      </c>
      <c r="S20" s="385">
        <v>1</v>
      </c>
      <c r="T20" s="380">
        <v>68662.399999999994</v>
      </c>
      <c r="U20" s="380">
        <v>0</v>
      </c>
      <c r="V20" s="380">
        <v>25404.27</v>
      </c>
      <c r="W20" s="380">
        <v>67828.800000000003</v>
      </c>
      <c r="X20" s="380">
        <v>25901.48</v>
      </c>
      <c r="Y20" s="380">
        <v>67828.800000000003</v>
      </c>
      <c r="Z20" s="380">
        <v>25548.77</v>
      </c>
      <c r="AA20" s="376" t="s">
        <v>280</v>
      </c>
      <c r="AB20" s="376" t="s">
        <v>281</v>
      </c>
      <c r="AC20" s="376" t="s">
        <v>282</v>
      </c>
      <c r="AD20" s="376" t="s">
        <v>283</v>
      </c>
      <c r="AE20" s="376" t="s">
        <v>279</v>
      </c>
      <c r="AF20" s="376" t="s">
        <v>182</v>
      </c>
      <c r="AG20" s="376" t="s">
        <v>183</v>
      </c>
      <c r="AH20" s="381">
        <v>32.61</v>
      </c>
      <c r="AI20" s="381">
        <v>28022.5</v>
      </c>
      <c r="AJ20" s="376" t="s">
        <v>184</v>
      </c>
      <c r="AK20" s="376" t="s">
        <v>185</v>
      </c>
      <c r="AL20" s="376" t="s">
        <v>173</v>
      </c>
      <c r="AM20" s="376" t="s">
        <v>186</v>
      </c>
      <c r="AN20" s="376" t="s">
        <v>68</v>
      </c>
      <c r="AO20" s="379">
        <v>80</v>
      </c>
      <c r="AP20" s="385">
        <v>1</v>
      </c>
      <c r="AQ20" s="385">
        <v>1</v>
      </c>
      <c r="AR20" s="384" t="s">
        <v>187</v>
      </c>
      <c r="AS20" s="387">
        <f t="shared" si="27"/>
        <v>1</v>
      </c>
      <c r="AT20">
        <f t="shared" si="28"/>
        <v>1</v>
      </c>
      <c r="AU20" s="387">
        <f>IF(AT20=0,"",IF(AND(AT20=1,M20="F",SUMIF(C2:C34,C20,AS2:AS34)&lt;=1),SUMIF(C2:C34,C20,AS2:AS34),IF(AND(AT20=1,M20="F",SUMIF(C2:C34,C20,AS2:AS34)&gt;1),1,"")))</f>
        <v>1</v>
      </c>
      <c r="AV20" s="387" t="str">
        <f>IF(AT20=0,"",IF(AND(AT20=3,M20="F",SUMIF(C2:C34,C20,AS2:AS34)&lt;=1),SUMIF(C2:C34,C20,AS2:AS34),IF(AND(AT20=3,M20="F",SUMIF(C2:C34,C20,AS2:AS34)&gt;1),1,"")))</f>
        <v/>
      </c>
      <c r="AW20" s="387">
        <f>SUMIF(C2:C34,C20,O2:O34)</f>
        <v>1</v>
      </c>
      <c r="AX20" s="387">
        <f>IF(AND(M20="F",AS20&lt;&gt;0),SUMIF(C2:C34,C20,W2:W34),0)</f>
        <v>67828.800000000003</v>
      </c>
      <c r="AY20" s="387">
        <f t="shared" si="29"/>
        <v>67828.800000000003</v>
      </c>
      <c r="AZ20" s="387" t="str">
        <f t="shared" si="30"/>
        <v/>
      </c>
      <c r="BA20" s="387">
        <f t="shared" si="31"/>
        <v>0</v>
      </c>
      <c r="BB20" s="387">
        <f t="shared" si="0"/>
        <v>11650</v>
      </c>
      <c r="BC20" s="387">
        <f t="shared" si="1"/>
        <v>0</v>
      </c>
      <c r="BD20" s="387">
        <f t="shared" si="2"/>
        <v>4205.3856000000005</v>
      </c>
      <c r="BE20" s="387">
        <f t="shared" si="3"/>
        <v>983.51760000000013</v>
      </c>
      <c r="BF20" s="387">
        <f t="shared" si="4"/>
        <v>8098.7587200000007</v>
      </c>
      <c r="BG20" s="387">
        <f t="shared" si="5"/>
        <v>489.04564800000003</v>
      </c>
      <c r="BH20" s="387">
        <f t="shared" si="6"/>
        <v>332.36112000000003</v>
      </c>
      <c r="BI20" s="387">
        <f t="shared" si="7"/>
        <v>0</v>
      </c>
      <c r="BJ20" s="387">
        <f t="shared" si="8"/>
        <v>142.44048000000001</v>
      </c>
      <c r="BK20" s="387">
        <f t="shared" si="9"/>
        <v>0</v>
      </c>
      <c r="BL20" s="387">
        <f t="shared" si="32"/>
        <v>14251.509168</v>
      </c>
      <c r="BM20" s="387">
        <f t="shared" si="33"/>
        <v>0</v>
      </c>
      <c r="BN20" s="387">
        <f t="shared" si="10"/>
        <v>11650</v>
      </c>
      <c r="BO20" s="387">
        <f t="shared" si="11"/>
        <v>0</v>
      </c>
      <c r="BP20" s="387">
        <f t="shared" si="12"/>
        <v>4205.3856000000005</v>
      </c>
      <c r="BQ20" s="387">
        <f t="shared" si="13"/>
        <v>983.51760000000013</v>
      </c>
      <c r="BR20" s="387">
        <f t="shared" si="14"/>
        <v>8098.7587200000007</v>
      </c>
      <c r="BS20" s="387">
        <f t="shared" si="15"/>
        <v>489.04564800000003</v>
      </c>
      <c r="BT20" s="387">
        <f t="shared" si="16"/>
        <v>0</v>
      </c>
      <c r="BU20" s="387">
        <f t="shared" si="17"/>
        <v>0</v>
      </c>
      <c r="BV20" s="387">
        <f t="shared" si="18"/>
        <v>122.09184</v>
      </c>
      <c r="BW20" s="387">
        <f t="shared" si="19"/>
        <v>0</v>
      </c>
      <c r="BX20" s="387">
        <f t="shared" si="34"/>
        <v>13898.799408000001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-332.36112000000003</v>
      </c>
      <c r="CG20" s="387">
        <f t="shared" si="24"/>
        <v>0</v>
      </c>
      <c r="CH20" s="387">
        <f t="shared" si="25"/>
        <v>-20.348639999999996</v>
      </c>
      <c r="CI20" s="387">
        <f t="shared" si="26"/>
        <v>0</v>
      </c>
      <c r="CJ20" s="387">
        <f t="shared" si="39"/>
        <v>-352.70976000000002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284</v>
      </c>
      <c r="D21" s="376" t="s">
        <v>231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285</v>
      </c>
      <c r="L21" s="376" t="s">
        <v>183</v>
      </c>
      <c r="M21" s="376" t="s">
        <v>177</v>
      </c>
      <c r="N21" s="376" t="s">
        <v>172</v>
      </c>
      <c r="O21" s="379">
        <v>1</v>
      </c>
      <c r="P21" s="385">
        <v>1</v>
      </c>
      <c r="Q21" s="385">
        <v>1</v>
      </c>
      <c r="R21" s="380">
        <v>80</v>
      </c>
      <c r="S21" s="385">
        <v>1</v>
      </c>
      <c r="T21" s="380">
        <v>39348.93</v>
      </c>
      <c r="U21" s="380">
        <v>0</v>
      </c>
      <c r="V21" s="380">
        <v>19485.8</v>
      </c>
      <c r="W21" s="380">
        <v>39249.599999999999</v>
      </c>
      <c r="X21" s="380">
        <v>19896.7</v>
      </c>
      <c r="Y21" s="380">
        <v>39249.599999999999</v>
      </c>
      <c r="Z21" s="380">
        <v>19692.599999999999</v>
      </c>
      <c r="AA21" s="376" t="s">
        <v>286</v>
      </c>
      <c r="AB21" s="376" t="s">
        <v>287</v>
      </c>
      <c r="AC21" s="376" t="s">
        <v>255</v>
      </c>
      <c r="AD21" s="376" t="s">
        <v>288</v>
      </c>
      <c r="AE21" s="376" t="s">
        <v>285</v>
      </c>
      <c r="AF21" s="376" t="s">
        <v>182</v>
      </c>
      <c r="AG21" s="376" t="s">
        <v>183</v>
      </c>
      <c r="AH21" s="381">
        <v>18.87</v>
      </c>
      <c r="AI21" s="381">
        <v>7892.8</v>
      </c>
      <c r="AJ21" s="376" t="s">
        <v>184</v>
      </c>
      <c r="AK21" s="376" t="s">
        <v>185</v>
      </c>
      <c r="AL21" s="376" t="s">
        <v>173</v>
      </c>
      <c r="AM21" s="376" t="s">
        <v>186</v>
      </c>
      <c r="AN21" s="376" t="s">
        <v>68</v>
      </c>
      <c r="AO21" s="379">
        <v>80</v>
      </c>
      <c r="AP21" s="385">
        <v>1</v>
      </c>
      <c r="AQ21" s="385">
        <v>1</v>
      </c>
      <c r="AR21" s="384" t="s">
        <v>187</v>
      </c>
      <c r="AS21" s="387">
        <f t="shared" si="27"/>
        <v>1</v>
      </c>
      <c r="AT21">
        <f t="shared" si="28"/>
        <v>1</v>
      </c>
      <c r="AU21" s="387">
        <f>IF(AT21=0,"",IF(AND(AT21=1,M21="F",SUMIF(C2:C34,C21,AS2:AS34)&lt;=1),SUMIF(C2:C34,C21,AS2:AS34),IF(AND(AT21=1,M21="F",SUMIF(C2:C34,C21,AS2:AS34)&gt;1),1,"")))</f>
        <v>1</v>
      </c>
      <c r="AV21" s="387" t="str">
        <f>IF(AT21=0,"",IF(AND(AT21=3,M21="F",SUMIF(C2:C34,C21,AS2:AS34)&lt;=1),SUMIF(C2:C34,C21,AS2:AS34),IF(AND(AT21=3,M21="F",SUMIF(C2:C34,C21,AS2:AS34)&gt;1),1,"")))</f>
        <v/>
      </c>
      <c r="AW21" s="387">
        <f>SUMIF(C2:C34,C21,O2:O34)</f>
        <v>1</v>
      </c>
      <c r="AX21" s="387">
        <f>IF(AND(M21="F",AS21&lt;&gt;0),SUMIF(C2:C34,C21,W2:W34),0)</f>
        <v>39249.599999999999</v>
      </c>
      <c r="AY21" s="387">
        <f t="shared" si="29"/>
        <v>39249.599999999999</v>
      </c>
      <c r="AZ21" s="387" t="str">
        <f t="shared" si="30"/>
        <v/>
      </c>
      <c r="BA21" s="387">
        <f t="shared" si="31"/>
        <v>0</v>
      </c>
      <c r="BB21" s="387">
        <f t="shared" si="0"/>
        <v>11650</v>
      </c>
      <c r="BC21" s="387">
        <f t="shared" si="1"/>
        <v>0</v>
      </c>
      <c r="BD21" s="387">
        <f t="shared" si="2"/>
        <v>2433.4751999999999</v>
      </c>
      <c r="BE21" s="387">
        <f t="shared" si="3"/>
        <v>569.11919999999998</v>
      </c>
      <c r="BF21" s="387">
        <f t="shared" si="4"/>
        <v>4686.4022400000003</v>
      </c>
      <c r="BG21" s="387">
        <f t="shared" si="5"/>
        <v>282.98961600000001</v>
      </c>
      <c r="BH21" s="387">
        <f t="shared" si="6"/>
        <v>192.32303999999999</v>
      </c>
      <c r="BI21" s="387">
        <f t="shared" si="7"/>
        <v>0</v>
      </c>
      <c r="BJ21" s="387">
        <f t="shared" si="8"/>
        <v>82.424159999999986</v>
      </c>
      <c r="BK21" s="387">
        <f t="shared" si="9"/>
        <v>0</v>
      </c>
      <c r="BL21" s="387">
        <f t="shared" si="32"/>
        <v>8246.7334559999999</v>
      </c>
      <c r="BM21" s="387">
        <f t="shared" si="33"/>
        <v>0</v>
      </c>
      <c r="BN21" s="387">
        <f t="shared" si="10"/>
        <v>11650</v>
      </c>
      <c r="BO21" s="387">
        <f t="shared" si="11"/>
        <v>0</v>
      </c>
      <c r="BP21" s="387">
        <f t="shared" si="12"/>
        <v>2433.4751999999999</v>
      </c>
      <c r="BQ21" s="387">
        <f t="shared" si="13"/>
        <v>569.11919999999998</v>
      </c>
      <c r="BR21" s="387">
        <f t="shared" si="14"/>
        <v>4686.4022400000003</v>
      </c>
      <c r="BS21" s="387">
        <f t="shared" si="15"/>
        <v>282.98961600000001</v>
      </c>
      <c r="BT21" s="387">
        <f t="shared" si="16"/>
        <v>0</v>
      </c>
      <c r="BU21" s="387">
        <f t="shared" si="17"/>
        <v>0</v>
      </c>
      <c r="BV21" s="387">
        <f t="shared" si="18"/>
        <v>70.64927999999999</v>
      </c>
      <c r="BW21" s="387">
        <f t="shared" si="19"/>
        <v>0</v>
      </c>
      <c r="BX21" s="387">
        <f t="shared" si="34"/>
        <v>8042.6355359999998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-192.32303999999999</v>
      </c>
      <c r="CG21" s="387">
        <f t="shared" si="24"/>
        <v>0</v>
      </c>
      <c r="CH21" s="387">
        <f t="shared" si="25"/>
        <v>-11.774879999999996</v>
      </c>
      <c r="CI21" s="387">
        <f t="shared" si="26"/>
        <v>0</v>
      </c>
      <c r="CJ21" s="387">
        <f t="shared" si="39"/>
        <v>-204.09791999999999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289</v>
      </c>
      <c r="D22" s="376" t="s">
        <v>189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190</v>
      </c>
      <c r="L22" s="376" t="s">
        <v>183</v>
      </c>
      <c r="M22" s="376" t="s">
        <v>177</v>
      </c>
      <c r="N22" s="376" t="s">
        <v>172</v>
      </c>
      <c r="O22" s="379">
        <v>1</v>
      </c>
      <c r="P22" s="385">
        <v>1</v>
      </c>
      <c r="Q22" s="385">
        <v>1</v>
      </c>
      <c r="R22" s="380">
        <v>80</v>
      </c>
      <c r="S22" s="385">
        <v>1</v>
      </c>
      <c r="T22" s="380">
        <v>39748.410000000003</v>
      </c>
      <c r="U22" s="380">
        <v>0</v>
      </c>
      <c r="V22" s="380">
        <v>19740.66</v>
      </c>
      <c r="W22" s="380">
        <v>40310.400000000001</v>
      </c>
      <c r="X22" s="380">
        <v>20119.599999999999</v>
      </c>
      <c r="Y22" s="380">
        <v>40310.400000000001</v>
      </c>
      <c r="Z22" s="380">
        <v>19909.98</v>
      </c>
      <c r="AA22" s="376" t="s">
        <v>290</v>
      </c>
      <c r="AB22" s="376" t="s">
        <v>291</v>
      </c>
      <c r="AC22" s="376" t="s">
        <v>292</v>
      </c>
      <c r="AD22" s="376" t="s">
        <v>244</v>
      </c>
      <c r="AE22" s="376" t="s">
        <v>190</v>
      </c>
      <c r="AF22" s="376" t="s">
        <v>182</v>
      </c>
      <c r="AG22" s="376" t="s">
        <v>183</v>
      </c>
      <c r="AH22" s="381">
        <v>19.38</v>
      </c>
      <c r="AI22" s="381">
        <v>33756.199999999997</v>
      </c>
      <c r="AJ22" s="376" t="s">
        <v>184</v>
      </c>
      <c r="AK22" s="376" t="s">
        <v>185</v>
      </c>
      <c r="AL22" s="376" t="s">
        <v>173</v>
      </c>
      <c r="AM22" s="376" t="s">
        <v>186</v>
      </c>
      <c r="AN22" s="376" t="s">
        <v>68</v>
      </c>
      <c r="AO22" s="379">
        <v>80</v>
      </c>
      <c r="AP22" s="385">
        <v>1</v>
      </c>
      <c r="AQ22" s="385">
        <v>1</v>
      </c>
      <c r="AR22" s="384" t="s">
        <v>187</v>
      </c>
      <c r="AS22" s="387">
        <f t="shared" si="27"/>
        <v>1</v>
      </c>
      <c r="AT22">
        <f t="shared" si="28"/>
        <v>1</v>
      </c>
      <c r="AU22" s="387">
        <f>IF(AT22=0,"",IF(AND(AT22=1,M22="F",SUMIF(C2:C34,C22,AS2:AS34)&lt;=1),SUMIF(C2:C34,C22,AS2:AS34),IF(AND(AT22=1,M22="F",SUMIF(C2:C34,C22,AS2:AS34)&gt;1),1,"")))</f>
        <v>1</v>
      </c>
      <c r="AV22" s="387" t="str">
        <f>IF(AT22=0,"",IF(AND(AT22=3,M22="F",SUMIF(C2:C34,C22,AS2:AS34)&lt;=1),SUMIF(C2:C34,C22,AS2:AS34),IF(AND(AT22=3,M22="F",SUMIF(C2:C34,C22,AS2:AS34)&gt;1),1,"")))</f>
        <v/>
      </c>
      <c r="AW22" s="387">
        <f>SUMIF(C2:C34,C22,O2:O34)</f>
        <v>1</v>
      </c>
      <c r="AX22" s="387">
        <f>IF(AND(M22="F",AS22&lt;&gt;0),SUMIF(C2:C34,C22,W2:W34),0)</f>
        <v>40310.400000000001</v>
      </c>
      <c r="AY22" s="387">
        <f t="shared" si="29"/>
        <v>40310.400000000001</v>
      </c>
      <c r="AZ22" s="387" t="str">
        <f t="shared" si="30"/>
        <v/>
      </c>
      <c r="BA22" s="387">
        <f t="shared" si="31"/>
        <v>0</v>
      </c>
      <c r="BB22" s="387">
        <f t="shared" si="0"/>
        <v>11650</v>
      </c>
      <c r="BC22" s="387">
        <f t="shared" si="1"/>
        <v>0</v>
      </c>
      <c r="BD22" s="387">
        <f t="shared" si="2"/>
        <v>2499.2447999999999</v>
      </c>
      <c r="BE22" s="387">
        <f t="shared" si="3"/>
        <v>584.50080000000003</v>
      </c>
      <c r="BF22" s="387">
        <f t="shared" si="4"/>
        <v>4813.0617600000005</v>
      </c>
      <c r="BG22" s="387">
        <f t="shared" si="5"/>
        <v>290.63798400000002</v>
      </c>
      <c r="BH22" s="387">
        <f t="shared" si="6"/>
        <v>197.52096</v>
      </c>
      <c r="BI22" s="387">
        <f t="shared" si="7"/>
        <v>0</v>
      </c>
      <c r="BJ22" s="387">
        <f t="shared" si="8"/>
        <v>84.651839999999993</v>
      </c>
      <c r="BK22" s="387">
        <f t="shared" si="9"/>
        <v>0</v>
      </c>
      <c r="BL22" s="387">
        <f t="shared" si="32"/>
        <v>8469.6181440000018</v>
      </c>
      <c r="BM22" s="387">
        <f t="shared" si="33"/>
        <v>0</v>
      </c>
      <c r="BN22" s="387">
        <f t="shared" si="10"/>
        <v>11650</v>
      </c>
      <c r="BO22" s="387">
        <f t="shared" si="11"/>
        <v>0</v>
      </c>
      <c r="BP22" s="387">
        <f t="shared" si="12"/>
        <v>2499.2447999999999</v>
      </c>
      <c r="BQ22" s="387">
        <f t="shared" si="13"/>
        <v>584.50080000000003</v>
      </c>
      <c r="BR22" s="387">
        <f t="shared" si="14"/>
        <v>4813.0617600000005</v>
      </c>
      <c r="BS22" s="387">
        <f t="shared" si="15"/>
        <v>290.63798400000002</v>
      </c>
      <c r="BT22" s="387">
        <f t="shared" si="16"/>
        <v>0</v>
      </c>
      <c r="BU22" s="387">
        <f t="shared" si="17"/>
        <v>0</v>
      </c>
      <c r="BV22" s="387">
        <f t="shared" si="18"/>
        <v>72.558719999999994</v>
      </c>
      <c r="BW22" s="387">
        <f t="shared" si="19"/>
        <v>0</v>
      </c>
      <c r="BX22" s="387">
        <f t="shared" si="34"/>
        <v>8260.0040640000007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-197.52096</v>
      </c>
      <c r="CG22" s="387">
        <f t="shared" si="24"/>
        <v>0</v>
      </c>
      <c r="CH22" s="387">
        <f t="shared" si="25"/>
        <v>-12.093119999999997</v>
      </c>
      <c r="CI22" s="387">
        <f t="shared" si="26"/>
        <v>0</v>
      </c>
      <c r="CJ22" s="387">
        <f t="shared" si="39"/>
        <v>-209.61408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293</v>
      </c>
      <c r="D23" s="376" t="s">
        <v>189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190</v>
      </c>
      <c r="L23" s="376" t="s">
        <v>183</v>
      </c>
      <c r="M23" s="376" t="s">
        <v>177</v>
      </c>
      <c r="N23" s="376" t="s">
        <v>172</v>
      </c>
      <c r="O23" s="379">
        <v>1</v>
      </c>
      <c r="P23" s="385">
        <v>1</v>
      </c>
      <c r="Q23" s="385">
        <v>1</v>
      </c>
      <c r="R23" s="380">
        <v>80</v>
      </c>
      <c r="S23" s="385">
        <v>1</v>
      </c>
      <c r="T23" s="380">
        <v>39298.980000000003</v>
      </c>
      <c r="U23" s="380">
        <v>0</v>
      </c>
      <c r="V23" s="380">
        <v>19648.89</v>
      </c>
      <c r="W23" s="380">
        <v>40310.400000000001</v>
      </c>
      <c r="X23" s="380">
        <v>20119.599999999999</v>
      </c>
      <c r="Y23" s="380">
        <v>40310.400000000001</v>
      </c>
      <c r="Z23" s="380">
        <v>19909.98</v>
      </c>
      <c r="AA23" s="376" t="s">
        <v>294</v>
      </c>
      <c r="AB23" s="376" t="s">
        <v>295</v>
      </c>
      <c r="AC23" s="376" t="s">
        <v>296</v>
      </c>
      <c r="AD23" s="376" t="s">
        <v>288</v>
      </c>
      <c r="AE23" s="376" t="s">
        <v>190</v>
      </c>
      <c r="AF23" s="376" t="s">
        <v>182</v>
      </c>
      <c r="AG23" s="376" t="s">
        <v>183</v>
      </c>
      <c r="AH23" s="381">
        <v>19.38</v>
      </c>
      <c r="AI23" s="381">
        <v>7305.1</v>
      </c>
      <c r="AJ23" s="376" t="s">
        <v>184</v>
      </c>
      <c r="AK23" s="376" t="s">
        <v>185</v>
      </c>
      <c r="AL23" s="376" t="s">
        <v>173</v>
      </c>
      <c r="AM23" s="376" t="s">
        <v>186</v>
      </c>
      <c r="AN23" s="376" t="s">
        <v>68</v>
      </c>
      <c r="AO23" s="379">
        <v>80</v>
      </c>
      <c r="AP23" s="385">
        <v>1</v>
      </c>
      <c r="AQ23" s="385">
        <v>1</v>
      </c>
      <c r="AR23" s="384" t="s">
        <v>187</v>
      </c>
      <c r="AS23" s="387">
        <f t="shared" si="27"/>
        <v>1</v>
      </c>
      <c r="AT23">
        <f t="shared" si="28"/>
        <v>1</v>
      </c>
      <c r="AU23" s="387">
        <f>IF(AT23=0,"",IF(AND(AT23=1,M23="F",SUMIF(C2:C34,C23,AS2:AS34)&lt;=1),SUMIF(C2:C34,C23,AS2:AS34),IF(AND(AT23=1,M23="F",SUMIF(C2:C34,C23,AS2:AS34)&gt;1),1,"")))</f>
        <v>1</v>
      </c>
      <c r="AV23" s="387" t="str">
        <f>IF(AT23=0,"",IF(AND(AT23=3,M23="F",SUMIF(C2:C34,C23,AS2:AS34)&lt;=1),SUMIF(C2:C34,C23,AS2:AS34),IF(AND(AT23=3,M23="F",SUMIF(C2:C34,C23,AS2:AS34)&gt;1),1,"")))</f>
        <v/>
      </c>
      <c r="AW23" s="387">
        <f>SUMIF(C2:C34,C23,O2:O34)</f>
        <v>1</v>
      </c>
      <c r="AX23" s="387">
        <f>IF(AND(M23="F",AS23&lt;&gt;0),SUMIF(C2:C34,C23,W2:W34),0)</f>
        <v>40310.400000000001</v>
      </c>
      <c r="AY23" s="387">
        <f t="shared" si="29"/>
        <v>40310.400000000001</v>
      </c>
      <c r="AZ23" s="387" t="str">
        <f t="shared" si="30"/>
        <v/>
      </c>
      <c r="BA23" s="387">
        <f t="shared" si="31"/>
        <v>0</v>
      </c>
      <c r="BB23" s="387">
        <f t="shared" si="0"/>
        <v>11650</v>
      </c>
      <c r="BC23" s="387">
        <f t="shared" si="1"/>
        <v>0</v>
      </c>
      <c r="BD23" s="387">
        <f t="shared" si="2"/>
        <v>2499.2447999999999</v>
      </c>
      <c r="BE23" s="387">
        <f t="shared" si="3"/>
        <v>584.50080000000003</v>
      </c>
      <c r="BF23" s="387">
        <f t="shared" si="4"/>
        <v>4813.0617600000005</v>
      </c>
      <c r="BG23" s="387">
        <f t="shared" si="5"/>
        <v>290.63798400000002</v>
      </c>
      <c r="BH23" s="387">
        <f t="shared" si="6"/>
        <v>197.52096</v>
      </c>
      <c r="BI23" s="387">
        <f t="shared" si="7"/>
        <v>0</v>
      </c>
      <c r="BJ23" s="387">
        <f t="shared" si="8"/>
        <v>84.651839999999993</v>
      </c>
      <c r="BK23" s="387">
        <f t="shared" si="9"/>
        <v>0</v>
      </c>
      <c r="BL23" s="387">
        <f t="shared" si="32"/>
        <v>8469.6181440000018</v>
      </c>
      <c r="BM23" s="387">
        <f t="shared" si="33"/>
        <v>0</v>
      </c>
      <c r="BN23" s="387">
        <f t="shared" si="10"/>
        <v>11650</v>
      </c>
      <c r="BO23" s="387">
        <f t="shared" si="11"/>
        <v>0</v>
      </c>
      <c r="BP23" s="387">
        <f t="shared" si="12"/>
        <v>2499.2447999999999</v>
      </c>
      <c r="BQ23" s="387">
        <f t="shared" si="13"/>
        <v>584.50080000000003</v>
      </c>
      <c r="BR23" s="387">
        <f t="shared" si="14"/>
        <v>4813.0617600000005</v>
      </c>
      <c r="BS23" s="387">
        <f t="shared" si="15"/>
        <v>290.63798400000002</v>
      </c>
      <c r="BT23" s="387">
        <f t="shared" si="16"/>
        <v>0</v>
      </c>
      <c r="BU23" s="387">
        <f t="shared" si="17"/>
        <v>0</v>
      </c>
      <c r="BV23" s="387">
        <f t="shared" si="18"/>
        <v>72.558719999999994</v>
      </c>
      <c r="BW23" s="387">
        <f t="shared" si="19"/>
        <v>0</v>
      </c>
      <c r="BX23" s="387">
        <f t="shared" si="34"/>
        <v>8260.0040640000007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-197.52096</v>
      </c>
      <c r="CG23" s="387">
        <f t="shared" si="24"/>
        <v>0</v>
      </c>
      <c r="CH23" s="387">
        <f t="shared" si="25"/>
        <v>-12.093119999999997</v>
      </c>
      <c r="CI23" s="387">
        <f t="shared" si="26"/>
        <v>0</v>
      </c>
      <c r="CJ23" s="387">
        <f t="shared" si="39"/>
        <v>-209.61408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297</v>
      </c>
      <c r="D24" s="376" t="s">
        <v>298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299</v>
      </c>
      <c r="L24" s="376" t="s">
        <v>170</v>
      </c>
      <c r="M24" s="376" t="s">
        <v>177</v>
      </c>
      <c r="N24" s="376" t="s">
        <v>172</v>
      </c>
      <c r="O24" s="379">
        <v>1</v>
      </c>
      <c r="P24" s="385">
        <v>1</v>
      </c>
      <c r="Q24" s="385">
        <v>1</v>
      </c>
      <c r="R24" s="380">
        <v>80</v>
      </c>
      <c r="S24" s="385">
        <v>1</v>
      </c>
      <c r="T24" s="380">
        <v>58895.05</v>
      </c>
      <c r="U24" s="380">
        <v>0</v>
      </c>
      <c r="V24" s="380">
        <v>23207.86</v>
      </c>
      <c r="W24" s="380">
        <v>59404.800000000003</v>
      </c>
      <c r="X24" s="380">
        <v>24131.51</v>
      </c>
      <c r="Y24" s="380">
        <v>59404.800000000003</v>
      </c>
      <c r="Z24" s="380">
        <v>23822.6</v>
      </c>
      <c r="AA24" s="376" t="s">
        <v>300</v>
      </c>
      <c r="AB24" s="376" t="s">
        <v>301</v>
      </c>
      <c r="AC24" s="376" t="s">
        <v>302</v>
      </c>
      <c r="AD24" s="376" t="s">
        <v>256</v>
      </c>
      <c r="AE24" s="376" t="s">
        <v>299</v>
      </c>
      <c r="AF24" s="376" t="s">
        <v>182</v>
      </c>
      <c r="AG24" s="376" t="s">
        <v>183</v>
      </c>
      <c r="AH24" s="381">
        <v>28.56</v>
      </c>
      <c r="AI24" s="381">
        <v>7157.3</v>
      </c>
      <c r="AJ24" s="376" t="s">
        <v>184</v>
      </c>
      <c r="AK24" s="376" t="s">
        <v>185</v>
      </c>
      <c r="AL24" s="376" t="s">
        <v>173</v>
      </c>
      <c r="AM24" s="376" t="s">
        <v>186</v>
      </c>
      <c r="AN24" s="376" t="s">
        <v>68</v>
      </c>
      <c r="AO24" s="379">
        <v>80</v>
      </c>
      <c r="AP24" s="385">
        <v>1</v>
      </c>
      <c r="AQ24" s="385">
        <v>1</v>
      </c>
      <c r="AR24" s="384" t="s">
        <v>187</v>
      </c>
      <c r="AS24" s="387">
        <f t="shared" si="27"/>
        <v>1</v>
      </c>
      <c r="AT24">
        <f t="shared" si="28"/>
        <v>1</v>
      </c>
      <c r="AU24" s="387">
        <f>IF(AT24=0,"",IF(AND(AT24=1,M24="F",SUMIF(C2:C34,C24,AS2:AS34)&lt;=1),SUMIF(C2:C34,C24,AS2:AS34),IF(AND(AT24=1,M24="F",SUMIF(C2:C34,C24,AS2:AS34)&gt;1),1,"")))</f>
        <v>1</v>
      </c>
      <c r="AV24" s="387" t="str">
        <f>IF(AT24=0,"",IF(AND(AT24=3,M24="F",SUMIF(C2:C34,C24,AS2:AS34)&lt;=1),SUMIF(C2:C34,C24,AS2:AS34),IF(AND(AT24=3,M24="F",SUMIF(C2:C34,C24,AS2:AS34)&gt;1),1,"")))</f>
        <v/>
      </c>
      <c r="AW24" s="387">
        <f>SUMIF(C2:C34,C24,O2:O34)</f>
        <v>1</v>
      </c>
      <c r="AX24" s="387">
        <f>IF(AND(M24="F",AS24&lt;&gt;0),SUMIF(C2:C34,C24,W2:W34),0)</f>
        <v>59404.800000000003</v>
      </c>
      <c r="AY24" s="387">
        <f t="shared" si="29"/>
        <v>59404.800000000003</v>
      </c>
      <c r="AZ24" s="387" t="str">
        <f t="shared" si="30"/>
        <v/>
      </c>
      <c r="BA24" s="387">
        <f t="shared" si="31"/>
        <v>0</v>
      </c>
      <c r="BB24" s="387">
        <f t="shared" si="0"/>
        <v>11650</v>
      </c>
      <c r="BC24" s="387">
        <f t="shared" si="1"/>
        <v>0</v>
      </c>
      <c r="BD24" s="387">
        <f t="shared" si="2"/>
        <v>3683.0976000000001</v>
      </c>
      <c r="BE24" s="387">
        <f t="shared" si="3"/>
        <v>861.3696000000001</v>
      </c>
      <c r="BF24" s="387">
        <f t="shared" si="4"/>
        <v>7092.9331200000006</v>
      </c>
      <c r="BG24" s="387">
        <f t="shared" si="5"/>
        <v>428.30860800000005</v>
      </c>
      <c r="BH24" s="387">
        <f t="shared" si="6"/>
        <v>291.08352000000002</v>
      </c>
      <c r="BI24" s="387">
        <f t="shared" si="7"/>
        <v>0</v>
      </c>
      <c r="BJ24" s="387">
        <f t="shared" si="8"/>
        <v>124.75008</v>
      </c>
      <c r="BK24" s="387">
        <f t="shared" si="9"/>
        <v>0</v>
      </c>
      <c r="BL24" s="387">
        <f t="shared" si="32"/>
        <v>12481.542528</v>
      </c>
      <c r="BM24" s="387">
        <f t="shared" si="33"/>
        <v>0</v>
      </c>
      <c r="BN24" s="387">
        <f t="shared" si="10"/>
        <v>11650</v>
      </c>
      <c r="BO24" s="387">
        <f t="shared" si="11"/>
        <v>0</v>
      </c>
      <c r="BP24" s="387">
        <f t="shared" si="12"/>
        <v>3683.0976000000001</v>
      </c>
      <c r="BQ24" s="387">
        <f t="shared" si="13"/>
        <v>861.3696000000001</v>
      </c>
      <c r="BR24" s="387">
        <f t="shared" si="14"/>
        <v>7092.9331200000006</v>
      </c>
      <c r="BS24" s="387">
        <f t="shared" si="15"/>
        <v>428.30860800000005</v>
      </c>
      <c r="BT24" s="387">
        <f t="shared" si="16"/>
        <v>0</v>
      </c>
      <c r="BU24" s="387">
        <f t="shared" si="17"/>
        <v>0</v>
      </c>
      <c r="BV24" s="387">
        <f t="shared" si="18"/>
        <v>106.92864</v>
      </c>
      <c r="BW24" s="387">
        <f t="shared" si="19"/>
        <v>0</v>
      </c>
      <c r="BX24" s="387">
        <f t="shared" si="34"/>
        <v>12172.637568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-291.08352000000002</v>
      </c>
      <c r="CG24" s="387">
        <f t="shared" si="24"/>
        <v>0</v>
      </c>
      <c r="CH24" s="387">
        <f t="shared" si="25"/>
        <v>-17.821439999999996</v>
      </c>
      <c r="CI24" s="387">
        <f t="shared" si="26"/>
        <v>0</v>
      </c>
      <c r="CJ24" s="387">
        <f t="shared" si="39"/>
        <v>-308.90496000000002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303</v>
      </c>
      <c r="D25" s="376" t="s">
        <v>175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176</v>
      </c>
      <c r="L25" s="376" t="s">
        <v>166</v>
      </c>
      <c r="M25" s="376" t="s">
        <v>177</v>
      </c>
      <c r="N25" s="376" t="s">
        <v>172</v>
      </c>
      <c r="O25" s="379">
        <v>1</v>
      </c>
      <c r="P25" s="385">
        <v>1</v>
      </c>
      <c r="Q25" s="385">
        <v>1</v>
      </c>
      <c r="R25" s="380">
        <v>80</v>
      </c>
      <c r="S25" s="385">
        <v>1</v>
      </c>
      <c r="T25" s="380">
        <v>107838.39999999999</v>
      </c>
      <c r="U25" s="380">
        <v>0</v>
      </c>
      <c r="V25" s="380">
        <v>33370.81</v>
      </c>
      <c r="W25" s="380">
        <v>106080</v>
      </c>
      <c r="X25" s="380">
        <v>33938.449999999997</v>
      </c>
      <c r="Y25" s="380">
        <v>106080</v>
      </c>
      <c r="Z25" s="380">
        <v>33386.839999999997</v>
      </c>
      <c r="AA25" s="376" t="s">
        <v>304</v>
      </c>
      <c r="AB25" s="376" t="s">
        <v>305</v>
      </c>
      <c r="AC25" s="376" t="s">
        <v>306</v>
      </c>
      <c r="AD25" s="376" t="s">
        <v>244</v>
      </c>
      <c r="AE25" s="376" t="s">
        <v>176</v>
      </c>
      <c r="AF25" s="376" t="s">
        <v>182</v>
      </c>
      <c r="AG25" s="376" t="s">
        <v>183</v>
      </c>
      <c r="AH25" s="379">
        <v>51</v>
      </c>
      <c r="AI25" s="381">
        <v>40139.300000000003</v>
      </c>
      <c r="AJ25" s="376" t="s">
        <v>184</v>
      </c>
      <c r="AK25" s="376" t="s">
        <v>185</v>
      </c>
      <c r="AL25" s="376" t="s">
        <v>173</v>
      </c>
      <c r="AM25" s="376" t="s">
        <v>186</v>
      </c>
      <c r="AN25" s="376" t="s">
        <v>68</v>
      </c>
      <c r="AO25" s="379">
        <v>80</v>
      </c>
      <c r="AP25" s="385">
        <v>1</v>
      </c>
      <c r="AQ25" s="385">
        <v>1</v>
      </c>
      <c r="AR25" s="384" t="s">
        <v>187</v>
      </c>
      <c r="AS25" s="387">
        <f t="shared" si="27"/>
        <v>1</v>
      </c>
      <c r="AT25">
        <f t="shared" si="28"/>
        <v>1</v>
      </c>
      <c r="AU25" s="387">
        <f>IF(AT25=0,"",IF(AND(AT25=1,M25="F",SUMIF(C2:C34,C25,AS2:AS34)&lt;=1),SUMIF(C2:C34,C25,AS2:AS34),IF(AND(AT25=1,M25="F",SUMIF(C2:C34,C25,AS2:AS34)&gt;1),1,"")))</f>
        <v>1</v>
      </c>
      <c r="AV25" s="387" t="str">
        <f>IF(AT25=0,"",IF(AND(AT25=3,M25="F",SUMIF(C2:C34,C25,AS2:AS34)&lt;=1),SUMIF(C2:C34,C25,AS2:AS34),IF(AND(AT25=3,M25="F",SUMIF(C2:C34,C25,AS2:AS34)&gt;1),1,"")))</f>
        <v/>
      </c>
      <c r="AW25" s="387">
        <f>SUMIF(C2:C34,C25,O2:O34)</f>
        <v>1</v>
      </c>
      <c r="AX25" s="387">
        <f>IF(AND(M25="F",AS25&lt;&gt;0),SUMIF(C2:C34,C25,W2:W34),0)</f>
        <v>106080</v>
      </c>
      <c r="AY25" s="387">
        <f t="shared" si="29"/>
        <v>106080</v>
      </c>
      <c r="AZ25" s="387" t="str">
        <f t="shared" si="30"/>
        <v/>
      </c>
      <c r="BA25" s="387">
        <f t="shared" si="31"/>
        <v>0</v>
      </c>
      <c r="BB25" s="387">
        <f t="shared" si="0"/>
        <v>11650</v>
      </c>
      <c r="BC25" s="387">
        <f t="shared" si="1"/>
        <v>0</v>
      </c>
      <c r="BD25" s="387">
        <f t="shared" si="2"/>
        <v>6576.96</v>
      </c>
      <c r="BE25" s="387">
        <f t="shared" si="3"/>
        <v>1538.16</v>
      </c>
      <c r="BF25" s="387">
        <f t="shared" si="4"/>
        <v>12665.952000000001</v>
      </c>
      <c r="BG25" s="387">
        <f t="shared" si="5"/>
        <v>764.83680000000004</v>
      </c>
      <c r="BH25" s="387">
        <f t="shared" si="6"/>
        <v>519.79200000000003</v>
      </c>
      <c r="BI25" s="387">
        <f t="shared" si="7"/>
        <v>0</v>
      </c>
      <c r="BJ25" s="387">
        <f t="shared" si="8"/>
        <v>222.76799999999997</v>
      </c>
      <c r="BK25" s="387">
        <f t="shared" si="9"/>
        <v>0</v>
      </c>
      <c r="BL25" s="387">
        <f t="shared" si="32"/>
        <v>22288.468800000002</v>
      </c>
      <c r="BM25" s="387">
        <f t="shared" si="33"/>
        <v>0</v>
      </c>
      <c r="BN25" s="387">
        <f t="shared" si="10"/>
        <v>11650</v>
      </c>
      <c r="BO25" s="387">
        <f t="shared" si="11"/>
        <v>0</v>
      </c>
      <c r="BP25" s="387">
        <f t="shared" si="12"/>
        <v>6576.96</v>
      </c>
      <c r="BQ25" s="387">
        <f t="shared" si="13"/>
        <v>1538.16</v>
      </c>
      <c r="BR25" s="387">
        <f t="shared" si="14"/>
        <v>12665.952000000001</v>
      </c>
      <c r="BS25" s="387">
        <f t="shared" si="15"/>
        <v>764.83680000000004</v>
      </c>
      <c r="BT25" s="387">
        <f t="shared" si="16"/>
        <v>0</v>
      </c>
      <c r="BU25" s="387">
        <f t="shared" si="17"/>
        <v>0</v>
      </c>
      <c r="BV25" s="387">
        <f t="shared" si="18"/>
        <v>190.94399999999999</v>
      </c>
      <c r="BW25" s="387">
        <f t="shared" si="19"/>
        <v>0</v>
      </c>
      <c r="BX25" s="387">
        <f t="shared" si="34"/>
        <v>21736.852800000001</v>
      </c>
      <c r="BY25" s="387">
        <f t="shared" si="35"/>
        <v>0</v>
      </c>
      <c r="BZ25" s="387">
        <f t="shared" si="36"/>
        <v>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0</v>
      </c>
      <c r="CE25" s="387">
        <f t="shared" si="22"/>
        <v>0</v>
      </c>
      <c r="CF25" s="387">
        <f t="shared" si="23"/>
        <v>-519.79200000000003</v>
      </c>
      <c r="CG25" s="387">
        <f t="shared" si="24"/>
        <v>0</v>
      </c>
      <c r="CH25" s="387">
        <f t="shared" si="25"/>
        <v>-31.823999999999991</v>
      </c>
      <c r="CI25" s="387">
        <f t="shared" si="26"/>
        <v>0</v>
      </c>
      <c r="CJ25" s="387">
        <f t="shared" si="39"/>
        <v>-551.61599999999999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307</v>
      </c>
      <c r="D26" s="376" t="s">
        <v>308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309</v>
      </c>
      <c r="L26" s="376" t="s">
        <v>229</v>
      </c>
      <c r="M26" s="376" t="s">
        <v>177</v>
      </c>
      <c r="N26" s="376" t="s">
        <v>172</v>
      </c>
      <c r="O26" s="379">
        <v>1</v>
      </c>
      <c r="P26" s="385">
        <v>1</v>
      </c>
      <c r="Q26" s="385">
        <v>1</v>
      </c>
      <c r="R26" s="380">
        <v>80</v>
      </c>
      <c r="S26" s="385">
        <v>1</v>
      </c>
      <c r="T26" s="380">
        <v>62790.400000000001</v>
      </c>
      <c r="U26" s="380">
        <v>700.8</v>
      </c>
      <c r="V26" s="380">
        <v>24540.52</v>
      </c>
      <c r="W26" s="380">
        <v>61942.400000000001</v>
      </c>
      <c r="X26" s="380">
        <v>24664.68</v>
      </c>
      <c r="Y26" s="380">
        <v>61942.400000000001</v>
      </c>
      <c r="Z26" s="380">
        <v>24342.59</v>
      </c>
      <c r="AA26" s="376" t="s">
        <v>310</v>
      </c>
      <c r="AB26" s="376" t="s">
        <v>311</v>
      </c>
      <c r="AC26" s="376" t="s">
        <v>312</v>
      </c>
      <c r="AD26" s="376" t="s">
        <v>197</v>
      </c>
      <c r="AE26" s="376" t="s">
        <v>309</v>
      </c>
      <c r="AF26" s="376" t="s">
        <v>182</v>
      </c>
      <c r="AG26" s="376" t="s">
        <v>183</v>
      </c>
      <c r="AH26" s="381">
        <v>29.78</v>
      </c>
      <c r="AI26" s="381">
        <v>32825.800000000003</v>
      </c>
      <c r="AJ26" s="376" t="s">
        <v>184</v>
      </c>
      <c r="AK26" s="376" t="s">
        <v>185</v>
      </c>
      <c r="AL26" s="376" t="s">
        <v>173</v>
      </c>
      <c r="AM26" s="376" t="s">
        <v>186</v>
      </c>
      <c r="AN26" s="376" t="s">
        <v>68</v>
      </c>
      <c r="AO26" s="379">
        <v>80</v>
      </c>
      <c r="AP26" s="385">
        <v>1</v>
      </c>
      <c r="AQ26" s="385">
        <v>1</v>
      </c>
      <c r="AR26" s="384" t="s">
        <v>187</v>
      </c>
      <c r="AS26" s="387">
        <f t="shared" si="27"/>
        <v>1</v>
      </c>
      <c r="AT26">
        <f t="shared" si="28"/>
        <v>1</v>
      </c>
      <c r="AU26" s="387">
        <f>IF(AT26=0,"",IF(AND(AT26=1,M26="F",SUMIF(C2:C34,C26,AS2:AS34)&lt;=1),SUMIF(C2:C34,C26,AS2:AS34),IF(AND(AT26=1,M26="F",SUMIF(C2:C34,C26,AS2:AS34)&gt;1),1,"")))</f>
        <v>1</v>
      </c>
      <c r="AV26" s="387" t="str">
        <f>IF(AT26=0,"",IF(AND(AT26=3,M26="F",SUMIF(C2:C34,C26,AS2:AS34)&lt;=1),SUMIF(C2:C34,C26,AS2:AS34),IF(AND(AT26=3,M26="F",SUMIF(C2:C34,C26,AS2:AS34)&gt;1),1,"")))</f>
        <v/>
      </c>
      <c r="AW26" s="387">
        <f>SUMIF(C2:C34,C26,O2:O34)</f>
        <v>1</v>
      </c>
      <c r="AX26" s="387">
        <f>IF(AND(M26="F",AS26&lt;&gt;0),SUMIF(C2:C34,C26,W2:W34),0)</f>
        <v>61942.400000000001</v>
      </c>
      <c r="AY26" s="387">
        <f t="shared" si="29"/>
        <v>61942.400000000001</v>
      </c>
      <c r="AZ26" s="387" t="str">
        <f t="shared" si="30"/>
        <v/>
      </c>
      <c r="BA26" s="387">
        <f t="shared" si="31"/>
        <v>0</v>
      </c>
      <c r="BB26" s="387">
        <f t="shared" si="0"/>
        <v>11650</v>
      </c>
      <c r="BC26" s="387">
        <f t="shared" si="1"/>
        <v>0</v>
      </c>
      <c r="BD26" s="387">
        <f t="shared" si="2"/>
        <v>3840.4288000000001</v>
      </c>
      <c r="BE26" s="387">
        <f t="shared" si="3"/>
        <v>898.16480000000001</v>
      </c>
      <c r="BF26" s="387">
        <f t="shared" si="4"/>
        <v>7395.9225600000009</v>
      </c>
      <c r="BG26" s="387">
        <f t="shared" si="5"/>
        <v>446.60470400000003</v>
      </c>
      <c r="BH26" s="387">
        <f t="shared" si="6"/>
        <v>303.51776000000001</v>
      </c>
      <c r="BI26" s="387">
        <f t="shared" si="7"/>
        <v>0</v>
      </c>
      <c r="BJ26" s="387">
        <f t="shared" si="8"/>
        <v>130.07903999999999</v>
      </c>
      <c r="BK26" s="387">
        <f t="shared" si="9"/>
        <v>0</v>
      </c>
      <c r="BL26" s="387">
        <f t="shared" si="32"/>
        <v>13014.717664000002</v>
      </c>
      <c r="BM26" s="387">
        <f t="shared" si="33"/>
        <v>0</v>
      </c>
      <c r="BN26" s="387">
        <f t="shared" si="10"/>
        <v>11650</v>
      </c>
      <c r="BO26" s="387">
        <f t="shared" si="11"/>
        <v>0</v>
      </c>
      <c r="BP26" s="387">
        <f t="shared" si="12"/>
        <v>3840.4288000000001</v>
      </c>
      <c r="BQ26" s="387">
        <f t="shared" si="13"/>
        <v>898.16480000000001</v>
      </c>
      <c r="BR26" s="387">
        <f t="shared" si="14"/>
        <v>7395.9225600000009</v>
      </c>
      <c r="BS26" s="387">
        <f t="shared" si="15"/>
        <v>446.60470400000003</v>
      </c>
      <c r="BT26" s="387">
        <f t="shared" si="16"/>
        <v>0</v>
      </c>
      <c r="BU26" s="387">
        <f t="shared" si="17"/>
        <v>0</v>
      </c>
      <c r="BV26" s="387">
        <f t="shared" si="18"/>
        <v>111.49632</v>
      </c>
      <c r="BW26" s="387">
        <f t="shared" si="19"/>
        <v>0</v>
      </c>
      <c r="BX26" s="387">
        <f t="shared" si="34"/>
        <v>12692.617184000001</v>
      </c>
      <c r="BY26" s="387">
        <f t="shared" si="35"/>
        <v>0</v>
      </c>
      <c r="BZ26" s="387">
        <f t="shared" si="36"/>
        <v>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0</v>
      </c>
      <c r="CE26" s="387">
        <f t="shared" si="22"/>
        <v>0</v>
      </c>
      <c r="CF26" s="387">
        <f t="shared" si="23"/>
        <v>-303.51776000000001</v>
      </c>
      <c r="CG26" s="387">
        <f t="shared" si="24"/>
        <v>0</v>
      </c>
      <c r="CH26" s="387">
        <f t="shared" si="25"/>
        <v>-18.582719999999995</v>
      </c>
      <c r="CI26" s="387">
        <f t="shared" si="26"/>
        <v>0</v>
      </c>
      <c r="CJ26" s="387">
        <f t="shared" si="39"/>
        <v>-322.10048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313</v>
      </c>
      <c r="D27" s="376" t="s">
        <v>314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315</v>
      </c>
      <c r="L27" s="376" t="s">
        <v>229</v>
      </c>
      <c r="M27" s="376" t="s">
        <v>177</v>
      </c>
      <c r="N27" s="376" t="s">
        <v>172</v>
      </c>
      <c r="O27" s="379">
        <v>1</v>
      </c>
      <c r="P27" s="385">
        <v>1</v>
      </c>
      <c r="Q27" s="385">
        <v>1</v>
      </c>
      <c r="R27" s="380">
        <v>80</v>
      </c>
      <c r="S27" s="385">
        <v>1</v>
      </c>
      <c r="T27" s="380">
        <v>56177.599999999999</v>
      </c>
      <c r="U27" s="380">
        <v>0</v>
      </c>
      <c r="V27" s="380">
        <v>23141.1</v>
      </c>
      <c r="W27" s="380">
        <v>55161.599999999999</v>
      </c>
      <c r="X27" s="380">
        <v>23239.97</v>
      </c>
      <c r="Y27" s="380">
        <v>55161.599999999999</v>
      </c>
      <c r="Z27" s="380">
        <v>22953.14</v>
      </c>
      <c r="AA27" s="376" t="s">
        <v>316</v>
      </c>
      <c r="AB27" s="376" t="s">
        <v>317</v>
      </c>
      <c r="AC27" s="376" t="s">
        <v>318</v>
      </c>
      <c r="AD27" s="376" t="s">
        <v>319</v>
      </c>
      <c r="AE27" s="376" t="s">
        <v>315</v>
      </c>
      <c r="AF27" s="376" t="s">
        <v>182</v>
      </c>
      <c r="AG27" s="376" t="s">
        <v>183</v>
      </c>
      <c r="AH27" s="381">
        <v>26.52</v>
      </c>
      <c r="AI27" s="379">
        <v>2562</v>
      </c>
      <c r="AJ27" s="376" t="s">
        <v>184</v>
      </c>
      <c r="AK27" s="376" t="s">
        <v>185</v>
      </c>
      <c r="AL27" s="376" t="s">
        <v>173</v>
      </c>
      <c r="AM27" s="376" t="s">
        <v>186</v>
      </c>
      <c r="AN27" s="376" t="s">
        <v>68</v>
      </c>
      <c r="AO27" s="379">
        <v>80</v>
      </c>
      <c r="AP27" s="385">
        <v>1</v>
      </c>
      <c r="AQ27" s="385">
        <v>1</v>
      </c>
      <c r="AR27" s="384" t="s">
        <v>187</v>
      </c>
      <c r="AS27" s="387">
        <f t="shared" si="27"/>
        <v>1</v>
      </c>
      <c r="AT27">
        <f t="shared" si="28"/>
        <v>1</v>
      </c>
      <c r="AU27" s="387">
        <f>IF(AT27=0,"",IF(AND(AT27=1,M27="F",SUMIF(C2:C34,C27,AS2:AS34)&lt;=1),SUMIF(C2:C34,C27,AS2:AS34),IF(AND(AT27=1,M27="F",SUMIF(C2:C34,C27,AS2:AS34)&gt;1),1,"")))</f>
        <v>1</v>
      </c>
      <c r="AV27" s="387" t="str">
        <f>IF(AT27=0,"",IF(AND(AT27=3,M27="F",SUMIF(C2:C34,C27,AS2:AS34)&lt;=1),SUMIF(C2:C34,C27,AS2:AS34),IF(AND(AT27=3,M27="F",SUMIF(C2:C34,C27,AS2:AS34)&gt;1),1,"")))</f>
        <v/>
      </c>
      <c r="AW27" s="387">
        <f>SUMIF(C2:C34,C27,O2:O34)</f>
        <v>1</v>
      </c>
      <c r="AX27" s="387">
        <f>IF(AND(M27="F",AS27&lt;&gt;0),SUMIF(C2:C34,C27,W2:W34),0)</f>
        <v>55161.599999999999</v>
      </c>
      <c r="AY27" s="387">
        <f t="shared" si="29"/>
        <v>55161.599999999999</v>
      </c>
      <c r="AZ27" s="387" t="str">
        <f t="shared" si="30"/>
        <v/>
      </c>
      <c r="BA27" s="387">
        <f t="shared" si="31"/>
        <v>0</v>
      </c>
      <c r="BB27" s="387">
        <f t="shared" si="0"/>
        <v>11650</v>
      </c>
      <c r="BC27" s="387">
        <f t="shared" si="1"/>
        <v>0</v>
      </c>
      <c r="BD27" s="387">
        <f t="shared" si="2"/>
        <v>3420.0191999999997</v>
      </c>
      <c r="BE27" s="387">
        <f t="shared" si="3"/>
        <v>799.84320000000002</v>
      </c>
      <c r="BF27" s="387">
        <f t="shared" si="4"/>
        <v>6586.29504</v>
      </c>
      <c r="BG27" s="387">
        <f t="shared" si="5"/>
        <v>397.71513600000003</v>
      </c>
      <c r="BH27" s="387">
        <f t="shared" si="6"/>
        <v>270.29183999999998</v>
      </c>
      <c r="BI27" s="387">
        <f t="shared" si="7"/>
        <v>0</v>
      </c>
      <c r="BJ27" s="387">
        <f t="shared" si="8"/>
        <v>115.83935999999999</v>
      </c>
      <c r="BK27" s="387">
        <f t="shared" si="9"/>
        <v>0</v>
      </c>
      <c r="BL27" s="387">
        <f t="shared" si="32"/>
        <v>11590.003776</v>
      </c>
      <c r="BM27" s="387">
        <f t="shared" si="33"/>
        <v>0</v>
      </c>
      <c r="BN27" s="387">
        <f t="shared" si="10"/>
        <v>11650</v>
      </c>
      <c r="BO27" s="387">
        <f t="shared" si="11"/>
        <v>0</v>
      </c>
      <c r="BP27" s="387">
        <f t="shared" si="12"/>
        <v>3420.0191999999997</v>
      </c>
      <c r="BQ27" s="387">
        <f t="shared" si="13"/>
        <v>799.84320000000002</v>
      </c>
      <c r="BR27" s="387">
        <f t="shared" si="14"/>
        <v>6586.29504</v>
      </c>
      <c r="BS27" s="387">
        <f t="shared" si="15"/>
        <v>397.71513600000003</v>
      </c>
      <c r="BT27" s="387">
        <f t="shared" si="16"/>
        <v>0</v>
      </c>
      <c r="BU27" s="387">
        <f t="shared" si="17"/>
        <v>0</v>
      </c>
      <c r="BV27" s="387">
        <f t="shared" si="18"/>
        <v>99.290880000000001</v>
      </c>
      <c r="BW27" s="387">
        <f t="shared" si="19"/>
        <v>0</v>
      </c>
      <c r="BX27" s="387">
        <f t="shared" si="34"/>
        <v>11303.163456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-270.29183999999998</v>
      </c>
      <c r="CG27" s="387">
        <f t="shared" si="24"/>
        <v>0</v>
      </c>
      <c r="CH27" s="387">
        <f t="shared" si="25"/>
        <v>-16.548479999999994</v>
      </c>
      <c r="CI27" s="387">
        <f t="shared" si="26"/>
        <v>0</v>
      </c>
      <c r="CJ27" s="387">
        <f t="shared" si="39"/>
        <v>-286.84031999999996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320</v>
      </c>
      <c r="D28" s="376" t="s">
        <v>203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204</v>
      </c>
      <c r="L28" s="376" t="s">
        <v>170</v>
      </c>
      <c r="M28" s="376" t="s">
        <v>177</v>
      </c>
      <c r="N28" s="376" t="s">
        <v>172</v>
      </c>
      <c r="O28" s="379">
        <v>1</v>
      </c>
      <c r="P28" s="385">
        <v>1</v>
      </c>
      <c r="Q28" s="385">
        <v>1</v>
      </c>
      <c r="R28" s="380">
        <v>80</v>
      </c>
      <c r="S28" s="385">
        <v>1</v>
      </c>
      <c r="T28" s="380">
        <v>54648.800000000003</v>
      </c>
      <c r="U28" s="380">
        <v>0</v>
      </c>
      <c r="V28" s="380">
        <v>22479.54</v>
      </c>
      <c r="W28" s="380">
        <v>54100.800000000003</v>
      </c>
      <c r="X28" s="380">
        <v>23017.09</v>
      </c>
      <c r="Y28" s="380">
        <v>54100.800000000003</v>
      </c>
      <c r="Z28" s="380">
        <v>22735.77</v>
      </c>
      <c r="AA28" s="376" t="s">
        <v>321</v>
      </c>
      <c r="AB28" s="376" t="s">
        <v>322</v>
      </c>
      <c r="AC28" s="376" t="s">
        <v>323</v>
      </c>
      <c r="AD28" s="376" t="s">
        <v>324</v>
      </c>
      <c r="AE28" s="376" t="s">
        <v>204</v>
      </c>
      <c r="AF28" s="376" t="s">
        <v>182</v>
      </c>
      <c r="AG28" s="376" t="s">
        <v>183</v>
      </c>
      <c r="AH28" s="381">
        <v>26.01</v>
      </c>
      <c r="AI28" s="381">
        <v>2728.5</v>
      </c>
      <c r="AJ28" s="376" t="s">
        <v>184</v>
      </c>
      <c r="AK28" s="376" t="s">
        <v>185</v>
      </c>
      <c r="AL28" s="376" t="s">
        <v>173</v>
      </c>
      <c r="AM28" s="376" t="s">
        <v>186</v>
      </c>
      <c r="AN28" s="376" t="s">
        <v>68</v>
      </c>
      <c r="AO28" s="379">
        <v>80</v>
      </c>
      <c r="AP28" s="385">
        <v>1</v>
      </c>
      <c r="AQ28" s="385">
        <v>1</v>
      </c>
      <c r="AR28" s="384" t="s">
        <v>187</v>
      </c>
      <c r="AS28" s="387">
        <f t="shared" si="27"/>
        <v>1</v>
      </c>
      <c r="AT28">
        <f t="shared" si="28"/>
        <v>1</v>
      </c>
      <c r="AU28" s="387">
        <f>IF(AT28=0,"",IF(AND(AT28=1,M28="F",SUMIF(C2:C34,C28,AS2:AS34)&lt;=1),SUMIF(C2:C34,C28,AS2:AS34),IF(AND(AT28=1,M28="F",SUMIF(C2:C34,C28,AS2:AS34)&gt;1),1,"")))</f>
        <v>1</v>
      </c>
      <c r="AV28" s="387" t="str">
        <f>IF(AT28=0,"",IF(AND(AT28=3,M28="F",SUMIF(C2:C34,C28,AS2:AS34)&lt;=1),SUMIF(C2:C34,C28,AS2:AS34),IF(AND(AT28=3,M28="F",SUMIF(C2:C34,C28,AS2:AS34)&gt;1),1,"")))</f>
        <v/>
      </c>
      <c r="AW28" s="387">
        <f>SUMIF(C2:C34,C28,O2:O34)</f>
        <v>1</v>
      </c>
      <c r="AX28" s="387">
        <f>IF(AND(M28="F",AS28&lt;&gt;0),SUMIF(C2:C34,C28,W2:W34),0)</f>
        <v>54100.800000000003</v>
      </c>
      <c r="AY28" s="387">
        <f t="shared" si="29"/>
        <v>54100.800000000003</v>
      </c>
      <c r="AZ28" s="387" t="str">
        <f t="shared" si="30"/>
        <v/>
      </c>
      <c r="BA28" s="387">
        <f t="shared" si="31"/>
        <v>0</v>
      </c>
      <c r="BB28" s="387">
        <f t="shared" si="0"/>
        <v>11650</v>
      </c>
      <c r="BC28" s="387">
        <f t="shared" si="1"/>
        <v>0</v>
      </c>
      <c r="BD28" s="387">
        <f t="shared" si="2"/>
        <v>3354.2496000000001</v>
      </c>
      <c r="BE28" s="387">
        <f t="shared" si="3"/>
        <v>784.46160000000009</v>
      </c>
      <c r="BF28" s="387">
        <f t="shared" si="4"/>
        <v>6459.6355200000007</v>
      </c>
      <c r="BG28" s="387">
        <f t="shared" si="5"/>
        <v>390.06676800000002</v>
      </c>
      <c r="BH28" s="387">
        <f t="shared" si="6"/>
        <v>265.09392000000003</v>
      </c>
      <c r="BI28" s="387">
        <f t="shared" si="7"/>
        <v>0</v>
      </c>
      <c r="BJ28" s="387">
        <f t="shared" si="8"/>
        <v>113.61167999999999</v>
      </c>
      <c r="BK28" s="387">
        <f t="shared" si="9"/>
        <v>0</v>
      </c>
      <c r="BL28" s="387">
        <f t="shared" si="32"/>
        <v>11367.119088000001</v>
      </c>
      <c r="BM28" s="387">
        <f t="shared" si="33"/>
        <v>0</v>
      </c>
      <c r="BN28" s="387">
        <f t="shared" si="10"/>
        <v>11650</v>
      </c>
      <c r="BO28" s="387">
        <f t="shared" si="11"/>
        <v>0</v>
      </c>
      <c r="BP28" s="387">
        <f t="shared" si="12"/>
        <v>3354.2496000000001</v>
      </c>
      <c r="BQ28" s="387">
        <f t="shared" si="13"/>
        <v>784.46160000000009</v>
      </c>
      <c r="BR28" s="387">
        <f t="shared" si="14"/>
        <v>6459.6355200000007</v>
      </c>
      <c r="BS28" s="387">
        <f t="shared" si="15"/>
        <v>390.06676800000002</v>
      </c>
      <c r="BT28" s="387">
        <f t="shared" si="16"/>
        <v>0</v>
      </c>
      <c r="BU28" s="387">
        <f t="shared" si="17"/>
        <v>0</v>
      </c>
      <c r="BV28" s="387">
        <f t="shared" si="18"/>
        <v>97.381439999999998</v>
      </c>
      <c r="BW28" s="387">
        <f t="shared" si="19"/>
        <v>0</v>
      </c>
      <c r="BX28" s="387">
        <f t="shared" si="34"/>
        <v>11085.794928000001</v>
      </c>
      <c r="BY28" s="387">
        <f t="shared" si="35"/>
        <v>0</v>
      </c>
      <c r="BZ28" s="387">
        <f t="shared" si="36"/>
        <v>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0</v>
      </c>
      <c r="CE28" s="387">
        <f t="shared" si="22"/>
        <v>0</v>
      </c>
      <c r="CF28" s="387">
        <f t="shared" si="23"/>
        <v>-265.09392000000003</v>
      </c>
      <c r="CG28" s="387">
        <f t="shared" si="24"/>
        <v>0</v>
      </c>
      <c r="CH28" s="387">
        <f t="shared" si="25"/>
        <v>-16.230239999999995</v>
      </c>
      <c r="CI28" s="387">
        <f t="shared" si="26"/>
        <v>0</v>
      </c>
      <c r="CJ28" s="387">
        <f t="shared" si="39"/>
        <v>-281.32416000000001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325</v>
      </c>
      <c r="D29" s="376" t="s">
        <v>326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327</v>
      </c>
      <c r="L29" s="376" t="s">
        <v>166</v>
      </c>
      <c r="M29" s="376" t="s">
        <v>171</v>
      </c>
      <c r="N29" s="376" t="s">
        <v>328</v>
      </c>
      <c r="O29" s="379">
        <v>0</v>
      </c>
      <c r="P29" s="385">
        <v>1</v>
      </c>
      <c r="Q29" s="385">
        <v>0</v>
      </c>
      <c r="R29" s="380">
        <v>0</v>
      </c>
      <c r="S29" s="385">
        <v>0</v>
      </c>
      <c r="T29" s="380">
        <v>0</v>
      </c>
      <c r="U29" s="380">
        <v>0</v>
      </c>
      <c r="V29" s="380">
        <v>0</v>
      </c>
      <c r="W29" s="380">
        <v>0</v>
      </c>
      <c r="X29" s="380">
        <v>0</v>
      </c>
      <c r="Y29" s="380">
        <v>0</v>
      </c>
      <c r="Z29" s="380">
        <v>0</v>
      </c>
      <c r="AA29" s="378"/>
      <c r="AB29" s="376" t="s">
        <v>45</v>
      </c>
      <c r="AC29" s="376" t="s">
        <v>45</v>
      </c>
      <c r="AD29" s="378"/>
      <c r="AE29" s="378"/>
      <c r="AF29" s="378"/>
      <c r="AG29" s="378"/>
      <c r="AH29" s="379">
        <v>0</v>
      </c>
      <c r="AI29" s="379">
        <v>0</v>
      </c>
      <c r="AJ29" s="378"/>
      <c r="AK29" s="378"/>
      <c r="AL29" s="376" t="s">
        <v>173</v>
      </c>
      <c r="AM29" s="378"/>
      <c r="AN29" s="378"/>
      <c r="AO29" s="379">
        <v>0</v>
      </c>
      <c r="AP29" s="385">
        <v>0</v>
      </c>
      <c r="AQ29" s="385">
        <v>0</v>
      </c>
      <c r="AR29" s="383"/>
      <c r="AS29" s="387">
        <f t="shared" si="27"/>
        <v>0</v>
      </c>
      <c r="AT29">
        <f t="shared" si="28"/>
        <v>0</v>
      </c>
      <c r="AU29" s="387" t="str">
        <f>IF(AT29=0,"",IF(AND(AT29=1,M29="F",SUMIF(C2:C34,C29,AS2:AS34)&lt;=1),SUMIF(C2:C34,C29,AS2:AS34),IF(AND(AT29=1,M29="F",SUMIF(C2:C34,C29,AS2:AS34)&gt;1),1,"")))</f>
        <v/>
      </c>
      <c r="AV29" s="387" t="str">
        <f>IF(AT29=0,"",IF(AND(AT29=3,M29="F",SUMIF(C2:C34,C29,AS2:AS34)&lt;=1),SUMIF(C2:C34,C29,AS2:AS34),IF(AND(AT29=3,M29="F",SUMIF(C2:C34,C29,AS2:AS34)&gt;1),1,"")))</f>
        <v/>
      </c>
      <c r="AW29" s="387">
        <f>SUMIF(C2:C34,C29,O2:O34)</f>
        <v>0</v>
      </c>
      <c r="AX29" s="387">
        <f>IF(AND(M29="F",AS29&lt;&gt;0),SUMIF(C2:C34,C29,W2:W34),0)</f>
        <v>0</v>
      </c>
      <c r="AY29" s="387" t="str">
        <f t="shared" si="29"/>
        <v/>
      </c>
      <c r="AZ29" s="387" t="str">
        <f t="shared" si="30"/>
        <v/>
      </c>
      <c r="BA29" s="387">
        <f t="shared" si="31"/>
        <v>0</v>
      </c>
      <c r="BB29" s="387">
        <f t="shared" si="0"/>
        <v>0</v>
      </c>
      <c r="BC29" s="387">
        <f t="shared" si="1"/>
        <v>0</v>
      </c>
      <c r="BD29" s="387">
        <f t="shared" si="2"/>
        <v>0</v>
      </c>
      <c r="BE29" s="387">
        <f t="shared" si="3"/>
        <v>0</v>
      </c>
      <c r="BF29" s="387">
        <f t="shared" si="4"/>
        <v>0</v>
      </c>
      <c r="BG29" s="387">
        <f t="shared" si="5"/>
        <v>0</v>
      </c>
      <c r="BH29" s="387">
        <f t="shared" si="6"/>
        <v>0</v>
      </c>
      <c r="BI29" s="387">
        <f t="shared" si="7"/>
        <v>0</v>
      </c>
      <c r="BJ29" s="387">
        <f t="shared" si="8"/>
        <v>0</v>
      </c>
      <c r="BK29" s="387">
        <f t="shared" si="9"/>
        <v>0</v>
      </c>
      <c r="BL29" s="387">
        <f t="shared" si="32"/>
        <v>0</v>
      </c>
      <c r="BM29" s="387">
        <f t="shared" si="33"/>
        <v>0</v>
      </c>
      <c r="BN29" s="387">
        <f t="shared" si="10"/>
        <v>0</v>
      </c>
      <c r="BO29" s="387">
        <f t="shared" si="11"/>
        <v>0</v>
      </c>
      <c r="BP29" s="387">
        <f t="shared" si="12"/>
        <v>0</v>
      </c>
      <c r="BQ29" s="387">
        <f t="shared" si="13"/>
        <v>0</v>
      </c>
      <c r="BR29" s="387">
        <f t="shared" si="14"/>
        <v>0</v>
      </c>
      <c r="BS29" s="387">
        <f t="shared" si="15"/>
        <v>0</v>
      </c>
      <c r="BT29" s="387">
        <f t="shared" si="16"/>
        <v>0</v>
      </c>
      <c r="BU29" s="387">
        <f t="shared" si="17"/>
        <v>0</v>
      </c>
      <c r="BV29" s="387">
        <f t="shared" si="18"/>
        <v>0</v>
      </c>
      <c r="BW29" s="387">
        <f t="shared" si="19"/>
        <v>0</v>
      </c>
      <c r="BX29" s="387">
        <f t="shared" si="34"/>
        <v>0</v>
      </c>
      <c r="BY29" s="387">
        <f t="shared" si="35"/>
        <v>0</v>
      </c>
      <c r="BZ29" s="387">
        <f t="shared" si="36"/>
        <v>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0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0</v>
      </c>
      <c r="CI29" s="387">
        <f t="shared" si="26"/>
        <v>0</v>
      </c>
      <c r="CJ29" s="387">
        <f t="shared" si="39"/>
        <v>0</v>
      </c>
      <c r="CK29" s="387" t="str">
        <f t="shared" si="40"/>
        <v/>
      </c>
      <c r="CL29" s="387">
        <f t="shared" si="41"/>
        <v>0</v>
      </c>
      <c r="CM29" s="387">
        <f t="shared" si="42"/>
        <v>0</v>
      </c>
      <c r="CN29" s="387" t="str">
        <f t="shared" si="43"/>
        <v>0001-00</v>
      </c>
    </row>
    <row r="30" spans="1:92" ht="15.75" thickBot="1" x14ac:dyDescent="0.3">
      <c r="A30" s="376" t="s">
        <v>161</v>
      </c>
      <c r="B30" s="376" t="s">
        <v>162</v>
      </c>
      <c r="C30" s="376" t="s">
        <v>329</v>
      </c>
      <c r="D30" s="376" t="s">
        <v>189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190</v>
      </c>
      <c r="L30" s="376" t="s">
        <v>183</v>
      </c>
      <c r="M30" s="376" t="s">
        <v>177</v>
      </c>
      <c r="N30" s="376" t="s">
        <v>172</v>
      </c>
      <c r="O30" s="379">
        <v>1</v>
      </c>
      <c r="P30" s="385">
        <v>1</v>
      </c>
      <c r="Q30" s="385">
        <v>1</v>
      </c>
      <c r="R30" s="380">
        <v>80</v>
      </c>
      <c r="S30" s="385">
        <v>1</v>
      </c>
      <c r="T30" s="380">
        <v>39302.32</v>
      </c>
      <c r="U30" s="380">
        <v>3.88</v>
      </c>
      <c r="V30" s="380">
        <v>19113.57</v>
      </c>
      <c r="W30" s="380">
        <v>19266</v>
      </c>
      <c r="X30" s="380">
        <v>1608.69</v>
      </c>
      <c r="Y30" s="380">
        <v>19266</v>
      </c>
      <c r="Z30" s="380">
        <v>1508.51</v>
      </c>
      <c r="AA30" s="376" t="s">
        <v>330</v>
      </c>
      <c r="AB30" s="376" t="s">
        <v>331</v>
      </c>
      <c r="AC30" s="376" t="s">
        <v>196</v>
      </c>
      <c r="AD30" s="376" t="s">
        <v>332</v>
      </c>
      <c r="AE30" s="376" t="s">
        <v>190</v>
      </c>
      <c r="AF30" s="376" t="s">
        <v>182</v>
      </c>
      <c r="AG30" s="376" t="s">
        <v>183</v>
      </c>
      <c r="AH30" s="379">
        <v>19</v>
      </c>
      <c r="AI30" s="381">
        <v>64438.9</v>
      </c>
      <c r="AJ30" s="376" t="s">
        <v>333</v>
      </c>
      <c r="AK30" s="376" t="s">
        <v>173</v>
      </c>
      <c r="AL30" s="376" t="s">
        <v>173</v>
      </c>
      <c r="AM30" s="376" t="s">
        <v>186</v>
      </c>
      <c r="AN30" s="376" t="s">
        <v>334</v>
      </c>
      <c r="AO30" s="379">
        <v>39</v>
      </c>
      <c r="AP30" s="385">
        <v>1</v>
      </c>
      <c r="AQ30" s="385">
        <v>0.48</v>
      </c>
      <c r="AR30" s="384" t="s">
        <v>187</v>
      </c>
      <c r="AS30" s="387">
        <f t="shared" si="27"/>
        <v>0.48749999999999999</v>
      </c>
      <c r="AT30">
        <f t="shared" si="28"/>
        <v>1</v>
      </c>
      <c r="AU30" s="387">
        <f>IF(AT30=0,"",IF(AND(AT30=1,M30="F",SUMIF(C2:C34,C30,AS2:AS34)&lt;=1),SUMIF(C2:C34,C30,AS2:AS34),IF(AND(AT30=1,M30="F",SUMIF(C2:C34,C30,AS2:AS34)&gt;1),1,"")))</f>
        <v>0.48749999999999999</v>
      </c>
      <c r="AV30" s="387" t="str">
        <f>IF(AT30=0,"",IF(AND(AT30=3,M30="F",SUMIF(C2:C34,C30,AS2:AS34)&lt;=1),SUMIF(C2:C34,C30,AS2:AS34),IF(AND(AT30=3,M30="F",SUMIF(C2:C34,C30,AS2:AS34)&gt;1),1,"")))</f>
        <v/>
      </c>
      <c r="AW30" s="387">
        <f>SUMIF(C2:C34,C30,O2:O34)</f>
        <v>1</v>
      </c>
      <c r="AX30" s="387">
        <f>IF(AND(M30="F",AS30&lt;&gt;0),SUMIF(C2:C34,C30,W2:W34),0)</f>
        <v>19266</v>
      </c>
      <c r="AY30" s="387">
        <f t="shared" si="29"/>
        <v>19266</v>
      </c>
      <c r="AZ30" s="387" t="str">
        <f t="shared" si="30"/>
        <v/>
      </c>
      <c r="BA30" s="387">
        <f t="shared" si="31"/>
        <v>0</v>
      </c>
      <c r="BB30" s="387">
        <f t="shared" si="0"/>
        <v>0</v>
      </c>
      <c r="BC30" s="387">
        <f t="shared" si="1"/>
        <v>0</v>
      </c>
      <c r="BD30" s="387">
        <f t="shared" si="2"/>
        <v>1194.492</v>
      </c>
      <c r="BE30" s="387">
        <f t="shared" si="3"/>
        <v>279.35700000000003</v>
      </c>
      <c r="BF30" s="387">
        <f t="shared" si="4"/>
        <v>0</v>
      </c>
      <c r="BG30" s="387">
        <f t="shared" si="5"/>
        <v>0</v>
      </c>
      <c r="BH30" s="387">
        <f t="shared" si="6"/>
        <v>94.403399999999991</v>
      </c>
      <c r="BI30" s="387">
        <f t="shared" si="7"/>
        <v>0</v>
      </c>
      <c r="BJ30" s="387">
        <f t="shared" si="8"/>
        <v>40.458599999999997</v>
      </c>
      <c r="BK30" s="387">
        <f t="shared" si="9"/>
        <v>0</v>
      </c>
      <c r="BL30" s="387">
        <f t="shared" si="32"/>
        <v>1608.7109999999998</v>
      </c>
      <c r="BM30" s="387">
        <f t="shared" si="33"/>
        <v>0</v>
      </c>
      <c r="BN30" s="387">
        <f t="shared" si="10"/>
        <v>0</v>
      </c>
      <c r="BO30" s="387">
        <f t="shared" si="11"/>
        <v>0</v>
      </c>
      <c r="BP30" s="387">
        <f t="shared" si="12"/>
        <v>1194.492</v>
      </c>
      <c r="BQ30" s="387">
        <f t="shared" si="13"/>
        <v>279.35700000000003</v>
      </c>
      <c r="BR30" s="387">
        <f t="shared" si="14"/>
        <v>0</v>
      </c>
      <c r="BS30" s="387">
        <f t="shared" si="15"/>
        <v>0</v>
      </c>
      <c r="BT30" s="387">
        <f t="shared" si="16"/>
        <v>0</v>
      </c>
      <c r="BU30" s="387">
        <f t="shared" si="17"/>
        <v>0</v>
      </c>
      <c r="BV30" s="387">
        <f t="shared" si="18"/>
        <v>34.678800000000003</v>
      </c>
      <c r="BW30" s="387">
        <f t="shared" si="19"/>
        <v>0</v>
      </c>
      <c r="BX30" s="387">
        <f t="shared" si="34"/>
        <v>1508.5277999999998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-94.403399999999991</v>
      </c>
      <c r="CG30" s="387">
        <f t="shared" si="24"/>
        <v>0</v>
      </c>
      <c r="CH30" s="387">
        <f t="shared" si="25"/>
        <v>-5.7797999999999981</v>
      </c>
      <c r="CI30" s="387">
        <f t="shared" si="26"/>
        <v>0</v>
      </c>
      <c r="CJ30" s="387">
        <f t="shared" si="39"/>
        <v>-100.18319999999999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0001-00</v>
      </c>
    </row>
    <row r="31" spans="1:92" ht="15.75" thickBot="1" x14ac:dyDescent="0.3">
      <c r="A31" s="376" t="s">
        <v>161</v>
      </c>
      <c r="B31" s="376" t="s">
        <v>162</v>
      </c>
      <c r="C31" s="376" t="s">
        <v>335</v>
      </c>
      <c r="D31" s="376" t="s">
        <v>326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327</v>
      </c>
      <c r="L31" s="376" t="s">
        <v>166</v>
      </c>
      <c r="M31" s="376" t="s">
        <v>171</v>
      </c>
      <c r="N31" s="376" t="s">
        <v>328</v>
      </c>
      <c r="O31" s="379">
        <v>0</v>
      </c>
      <c r="P31" s="385">
        <v>1</v>
      </c>
      <c r="Q31" s="385">
        <v>0</v>
      </c>
      <c r="R31" s="380">
        <v>0</v>
      </c>
      <c r="S31" s="385">
        <v>0</v>
      </c>
      <c r="T31" s="380">
        <v>0</v>
      </c>
      <c r="U31" s="380">
        <v>0</v>
      </c>
      <c r="V31" s="380">
        <v>0</v>
      </c>
      <c r="W31" s="380">
        <v>0</v>
      </c>
      <c r="X31" s="380">
        <v>0</v>
      </c>
      <c r="Y31" s="380">
        <v>0</v>
      </c>
      <c r="Z31" s="380">
        <v>0</v>
      </c>
      <c r="AA31" s="378"/>
      <c r="AB31" s="376" t="s">
        <v>45</v>
      </c>
      <c r="AC31" s="376" t="s">
        <v>45</v>
      </c>
      <c r="AD31" s="378"/>
      <c r="AE31" s="378"/>
      <c r="AF31" s="378"/>
      <c r="AG31" s="378"/>
      <c r="AH31" s="379">
        <v>0</v>
      </c>
      <c r="AI31" s="379">
        <v>0</v>
      </c>
      <c r="AJ31" s="378"/>
      <c r="AK31" s="378"/>
      <c r="AL31" s="376" t="s">
        <v>173</v>
      </c>
      <c r="AM31" s="378"/>
      <c r="AN31" s="378"/>
      <c r="AO31" s="379">
        <v>0</v>
      </c>
      <c r="AP31" s="385">
        <v>0</v>
      </c>
      <c r="AQ31" s="385">
        <v>0</v>
      </c>
      <c r="AR31" s="383"/>
      <c r="AS31" s="387">
        <f t="shared" si="27"/>
        <v>0</v>
      </c>
      <c r="AT31">
        <f t="shared" si="28"/>
        <v>0</v>
      </c>
      <c r="AU31" s="387" t="str">
        <f>IF(AT31=0,"",IF(AND(AT31=1,M31="F",SUMIF(C2:C34,C31,AS2:AS34)&lt;=1),SUMIF(C2:C34,C31,AS2:AS34),IF(AND(AT31=1,M31="F",SUMIF(C2:C34,C31,AS2:AS34)&gt;1),1,"")))</f>
        <v/>
      </c>
      <c r="AV31" s="387" t="str">
        <f>IF(AT31=0,"",IF(AND(AT31=3,M31="F",SUMIF(C2:C34,C31,AS2:AS34)&lt;=1),SUMIF(C2:C34,C31,AS2:AS34),IF(AND(AT31=3,M31="F",SUMIF(C2:C34,C31,AS2:AS34)&gt;1),1,"")))</f>
        <v/>
      </c>
      <c r="AW31" s="387">
        <f>SUMIF(C2:C34,C31,O2:O34)</f>
        <v>0</v>
      </c>
      <c r="AX31" s="387">
        <f>IF(AND(M31="F",AS31&lt;&gt;0),SUMIF(C2:C34,C31,W2:W34),0)</f>
        <v>0</v>
      </c>
      <c r="AY31" s="387" t="str">
        <f t="shared" si="29"/>
        <v/>
      </c>
      <c r="AZ31" s="387" t="str">
        <f t="shared" si="30"/>
        <v/>
      </c>
      <c r="BA31" s="387">
        <f t="shared" si="31"/>
        <v>0</v>
      </c>
      <c r="BB31" s="387">
        <f t="shared" si="0"/>
        <v>0</v>
      </c>
      <c r="BC31" s="387">
        <f t="shared" si="1"/>
        <v>0</v>
      </c>
      <c r="BD31" s="387">
        <f t="shared" si="2"/>
        <v>0</v>
      </c>
      <c r="BE31" s="387">
        <f t="shared" si="3"/>
        <v>0</v>
      </c>
      <c r="BF31" s="387">
        <f t="shared" si="4"/>
        <v>0</v>
      </c>
      <c r="BG31" s="387">
        <f t="shared" si="5"/>
        <v>0</v>
      </c>
      <c r="BH31" s="387">
        <f t="shared" si="6"/>
        <v>0</v>
      </c>
      <c r="BI31" s="387">
        <f t="shared" si="7"/>
        <v>0</v>
      </c>
      <c r="BJ31" s="387">
        <f t="shared" si="8"/>
        <v>0</v>
      </c>
      <c r="BK31" s="387">
        <f t="shared" si="9"/>
        <v>0</v>
      </c>
      <c r="BL31" s="387">
        <f t="shared" si="32"/>
        <v>0</v>
      </c>
      <c r="BM31" s="387">
        <f t="shared" si="33"/>
        <v>0</v>
      </c>
      <c r="BN31" s="387">
        <f t="shared" si="10"/>
        <v>0</v>
      </c>
      <c r="BO31" s="387">
        <f t="shared" si="11"/>
        <v>0</v>
      </c>
      <c r="BP31" s="387">
        <f t="shared" si="12"/>
        <v>0</v>
      </c>
      <c r="BQ31" s="387">
        <f t="shared" si="13"/>
        <v>0</v>
      </c>
      <c r="BR31" s="387">
        <f t="shared" si="14"/>
        <v>0</v>
      </c>
      <c r="BS31" s="387">
        <f t="shared" si="15"/>
        <v>0</v>
      </c>
      <c r="BT31" s="387">
        <f t="shared" si="16"/>
        <v>0</v>
      </c>
      <c r="BU31" s="387">
        <f t="shared" si="17"/>
        <v>0</v>
      </c>
      <c r="BV31" s="387">
        <f t="shared" si="18"/>
        <v>0</v>
      </c>
      <c r="BW31" s="387">
        <f t="shared" si="19"/>
        <v>0</v>
      </c>
      <c r="BX31" s="387">
        <f t="shared" si="34"/>
        <v>0</v>
      </c>
      <c r="BY31" s="387">
        <f t="shared" si="35"/>
        <v>0</v>
      </c>
      <c r="BZ31" s="387">
        <f t="shared" si="36"/>
        <v>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0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0</v>
      </c>
      <c r="CI31" s="387">
        <f t="shared" si="26"/>
        <v>0</v>
      </c>
      <c r="CJ31" s="387">
        <f t="shared" si="39"/>
        <v>0</v>
      </c>
      <c r="CK31" s="387" t="str">
        <f t="shared" si="40"/>
        <v/>
      </c>
      <c r="CL31" s="387">
        <f t="shared" si="41"/>
        <v>0</v>
      </c>
      <c r="CM31" s="387">
        <f t="shared" si="42"/>
        <v>0</v>
      </c>
      <c r="CN31" s="387" t="str">
        <f t="shared" si="43"/>
        <v>0001-00</v>
      </c>
    </row>
    <row r="32" spans="1:92" ht="15.75" thickBot="1" x14ac:dyDescent="0.3">
      <c r="A32" s="376" t="s">
        <v>161</v>
      </c>
      <c r="B32" s="376" t="s">
        <v>162</v>
      </c>
      <c r="C32" s="376" t="s">
        <v>336</v>
      </c>
      <c r="D32" s="376" t="s">
        <v>314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337</v>
      </c>
      <c r="L32" s="376" t="s">
        <v>338</v>
      </c>
      <c r="M32" s="376" t="s">
        <v>177</v>
      </c>
      <c r="N32" s="376" t="s">
        <v>172</v>
      </c>
      <c r="O32" s="379">
        <v>1</v>
      </c>
      <c r="P32" s="385">
        <v>1</v>
      </c>
      <c r="Q32" s="385">
        <v>1</v>
      </c>
      <c r="R32" s="380">
        <v>80</v>
      </c>
      <c r="S32" s="385">
        <v>1</v>
      </c>
      <c r="T32" s="380">
        <v>77712</v>
      </c>
      <c r="U32" s="380">
        <v>0</v>
      </c>
      <c r="V32" s="380">
        <v>27454.080000000002</v>
      </c>
      <c r="W32" s="380">
        <v>76814.399999999994</v>
      </c>
      <c r="X32" s="380">
        <v>27789.45</v>
      </c>
      <c r="Y32" s="380">
        <v>76814.399999999994</v>
      </c>
      <c r="Z32" s="380">
        <v>27390.01</v>
      </c>
      <c r="AA32" s="376" t="s">
        <v>339</v>
      </c>
      <c r="AB32" s="376" t="s">
        <v>340</v>
      </c>
      <c r="AC32" s="376" t="s">
        <v>341</v>
      </c>
      <c r="AD32" s="376" t="s">
        <v>222</v>
      </c>
      <c r="AE32" s="376" t="s">
        <v>337</v>
      </c>
      <c r="AF32" s="376" t="s">
        <v>182</v>
      </c>
      <c r="AG32" s="376" t="s">
        <v>183</v>
      </c>
      <c r="AH32" s="381">
        <v>36.93</v>
      </c>
      <c r="AI32" s="379">
        <v>29361</v>
      </c>
      <c r="AJ32" s="376" t="s">
        <v>184</v>
      </c>
      <c r="AK32" s="376" t="s">
        <v>185</v>
      </c>
      <c r="AL32" s="376" t="s">
        <v>173</v>
      </c>
      <c r="AM32" s="376" t="s">
        <v>186</v>
      </c>
      <c r="AN32" s="376" t="s">
        <v>68</v>
      </c>
      <c r="AO32" s="379">
        <v>80</v>
      </c>
      <c r="AP32" s="385">
        <v>1</v>
      </c>
      <c r="AQ32" s="385">
        <v>1</v>
      </c>
      <c r="AR32" s="384" t="s">
        <v>187</v>
      </c>
      <c r="AS32" s="387">
        <f t="shared" si="27"/>
        <v>1</v>
      </c>
      <c r="AT32">
        <f t="shared" si="28"/>
        <v>1</v>
      </c>
      <c r="AU32" s="387">
        <f>IF(AT32=0,"",IF(AND(AT32=1,M32="F",SUMIF(C2:C34,C32,AS2:AS34)&lt;=1),SUMIF(C2:C34,C32,AS2:AS34),IF(AND(AT32=1,M32="F",SUMIF(C2:C34,C32,AS2:AS34)&gt;1),1,"")))</f>
        <v>1</v>
      </c>
      <c r="AV32" s="387" t="str">
        <f>IF(AT32=0,"",IF(AND(AT32=3,M32="F",SUMIF(C2:C34,C32,AS2:AS34)&lt;=1),SUMIF(C2:C34,C32,AS2:AS34),IF(AND(AT32=3,M32="F",SUMIF(C2:C34,C32,AS2:AS34)&gt;1),1,"")))</f>
        <v/>
      </c>
      <c r="AW32" s="387">
        <f>SUMIF(C2:C34,C32,O2:O34)</f>
        <v>1</v>
      </c>
      <c r="AX32" s="387">
        <f>IF(AND(M32="F",AS32&lt;&gt;0),SUMIF(C2:C34,C32,W2:W34),0)</f>
        <v>76814.399999999994</v>
      </c>
      <c r="AY32" s="387">
        <f t="shared" si="29"/>
        <v>76814.399999999994</v>
      </c>
      <c r="AZ32" s="387" t="str">
        <f t="shared" si="30"/>
        <v/>
      </c>
      <c r="BA32" s="387">
        <f t="shared" si="31"/>
        <v>0</v>
      </c>
      <c r="BB32" s="387">
        <f t="shared" si="0"/>
        <v>11650</v>
      </c>
      <c r="BC32" s="387">
        <f t="shared" si="1"/>
        <v>0</v>
      </c>
      <c r="BD32" s="387">
        <f t="shared" si="2"/>
        <v>4762.4928</v>
      </c>
      <c r="BE32" s="387">
        <f t="shared" si="3"/>
        <v>1113.8088</v>
      </c>
      <c r="BF32" s="387">
        <f t="shared" si="4"/>
        <v>9171.6393599999992</v>
      </c>
      <c r="BG32" s="387">
        <f t="shared" si="5"/>
        <v>553.83182399999998</v>
      </c>
      <c r="BH32" s="387">
        <f t="shared" si="6"/>
        <v>376.39055999999994</v>
      </c>
      <c r="BI32" s="387">
        <f t="shared" si="7"/>
        <v>0</v>
      </c>
      <c r="BJ32" s="387">
        <f t="shared" si="8"/>
        <v>161.31023999999996</v>
      </c>
      <c r="BK32" s="387">
        <f t="shared" si="9"/>
        <v>0</v>
      </c>
      <c r="BL32" s="387">
        <f t="shared" si="32"/>
        <v>16139.473584000001</v>
      </c>
      <c r="BM32" s="387">
        <f t="shared" si="33"/>
        <v>0</v>
      </c>
      <c r="BN32" s="387">
        <f t="shared" si="10"/>
        <v>11650</v>
      </c>
      <c r="BO32" s="387">
        <f t="shared" si="11"/>
        <v>0</v>
      </c>
      <c r="BP32" s="387">
        <f t="shared" si="12"/>
        <v>4762.4928</v>
      </c>
      <c r="BQ32" s="387">
        <f t="shared" si="13"/>
        <v>1113.8088</v>
      </c>
      <c r="BR32" s="387">
        <f t="shared" si="14"/>
        <v>9171.6393599999992</v>
      </c>
      <c r="BS32" s="387">
        <f t="shared" si="15"/>
        <v>553.83182399999998</v>
      </c>
      <c r="BT32" s="387">
        <f t="shared" si="16"/>
        <v>0</v>
      </c>
      <c r="BU32" s="387">
        <f t="shared" si="17"/>
        <v>0</v>
      </c>
      <c r="BV32" s="387">
        <f t="shared" si="18"/>
        <v>138.26591999999999</v>
      </c>
      <c r="BW32" s="387">
        <f t="shared" si="19"/>
        <v>0</v>
      </c>
      <c r="BX32" s="387">
        <f t="shared" si="34"/>
        <v>15740.038704000001</v>
      </c>
      <c r="BY32" s="387">
        <f t="shared" si="35"/>
        <v>0</v>
      </c>
      <c r="BZ32" s="387">
        <f t="shared" si="36"/>
        <v>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0</v>
      </c>
      <c r="CE32" s="387">
        <f t="shared" si="22"/>
        <v>0</v>
      </c>
      <c r="CF32" s="387">
        <f t="shared" si="23"/>
        <v>-376.39055999999994</v>
      </c>
      <c r="CG32" s="387">
        <f t="shared" si="24"/>
        <v>0</v>
      </c>
      <c r="CH32" s="387">
        <f t="shared" si="25"/>
        <v>-23.044319999999992</v>
      </c>
      <c r="CI32" s="387">
        <f t="shared" si="26"/>
        <v>0</v>
      </c>
      <c r="CJ32" s="387">
        <f t="shared" si="39"/>
        <v>-399.43487999999991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0001-00</v>
      </c>
    </row>
    <row r="33" spans="1:92" ht="15.75" thickBot="1" x14ac:dyDescent="0.3">
      <c r="A33" s="376" t="s">
        <v>161</v>
      </c>
      <c r="B33" s="376" t="s">
        <v>162</v>
      </c>
      <c r="C33" s="376" t="s">
        <v>342</v>
      </c>
      <c r="D33" s="376" t="s">
        <v>164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279</v>
      </c>
      <c r="L33" s="376" t="s">
        <v>229</v>
      </c>
      <c r="M33" s="376" t="s">
        <v>177</v>
      </c>
      <c r="N33" s="376" t="s">
        <v>172</v>
      </c>
      <c r="O33" s="379">
        <v>1</v>
      </c>
      <c r="P33" s="385">
        <v>1</v>
      </c>
      <c r="Q33" s="385">
        <v>1</v>
      </c>
      <c r="R33" s="380">
        <v>80</v>
      </c>
      <c r="S33" s="385">
        <v>1</v>
      </c>
      <c r="T33" s="380">
        <v>57426.400000000001</v>
      </c>
      <c r="U33" s="380">
        <v>0</v>
      </c>
      <c r="V33" s="380">
        <v>22914.35</v>
      </c>
      <c r="W33" s="380">
        <v>56284.800000000003</v>
      </c>
      <c r="X33" s="380">
        <v>23475.96</v>
      </c>
      <c r="Y33" s="380">
        <v>56284.800000000003</v>
      </c>
      <c r="Z33" s="380">
        <v>23183.29</v>
      </c>
      <c r="AA33" s="376" t="s">
        <v>343</v>
      </c>
      <c r="AB33" s="376" t="s">
        <v>344</v>
      </c>
      <c r="AC33" s="376" t="s">
        <v>323</v>
      </c>
      <c r="AD33" s="376" t="s">
        <v>229</v>
      </c>
      <c r="AE33" s="376" t="s">
        <v>279</v>
      </c>
      <c r="AF33" s="376" t="s">
        <v>182</v>
      </c>
      <c r="AG33" s="376" t="s">
        <v>183</v>
      </c>
      <c r="AH33" s="381">
        <v>27.06</v>
      </c>
      <c r="AI33" s="381">
        <v>3656.5</v>
      </c>
      <c r="AJ33" s="376" t="s">
        <v>184</v>
      </c>
      <c r="AK33" s="376" t="s">
        <v>185</v>
      </c>
      <c r="AL33" s="376" t="s">
        <v>173</v>
      </c>
      <c r="AM33" s="376" t="s">
        <v>186</v>
      </c>
      <c r="AN33" s="376" t="s">
        <v>68</v>
      </c>
      <c r="AO33" s="379">
        <v>80</v>
      </c>
      <c r="AP33" s="385">
        <v>1</v>
      </c>
      <c r="AQ33" s="385">
        <v>1</v>
      </c>
      <c r="AR33" s="384" t="s">
        <v>187</v>
      </c>
      <c r="AS33" s="387">
        <f t="shared" si="27"/>
        <v>1</v>
      </c>
      <c r="AT33">
        <f t="shared" si="28"/>
        <v>1</v>
      </c>
      <c r="AU33" s="387">
        <f>IF(AT33=0,"",IF(AND(AT33=1,M33="F",SUMIF(C2:C34,C33,AS2:AS34)&lt;=1),SUMIF(C2:C34,C33,AS2:AS34),IF(AND(AT33=1,M33="F",SUMIF(C2:C34,C33,AS2:AS34)&gt;1),1,"")))</f>
        <v>1</v>
      </c>
      <c r="AV33" s="387" t="str">
        <f>IF(AT33=0,"",IF(AND(AT33=3,M33="F",SUMIF(C2:C34,C33,AS2:AS34)&lt;=1),SUMIF(C2:C34,C33,AS2:AS34),IF(AND(AT33=3,M33="F",SUMIF(C2:C34,C33,AS2:AS34)&gt;1),1,"")))</f>
        <v/>
      </c>
      <c r="AW33" s="387">
        <f>SUMIF(C2:C34,C33,O2:O34)</f>
        <v>1</v>
      </c>
      <c r="AX33" s="387">
        <f>IF(AND(M33="F",AS33&lt;&gt;0),SUMIF(C2:C34,C33,W2:W34),0)</f>
        <v>56284.800000000003</v>
      </c>
      <c r="AY33" s="387">
        <f t="shared" si="29"/>
        <v>56284.800000000003</v>
      </c>
      <c r="AZ33" s="387" t="str">
        <f t="shared" si="30"/>
        <v/>
      </c>
      <c r="BA33" s="387">
        <f t="shared" si="31"/>
        <v>0</v>
      </c>
      <c r="BB33" s="387">
        <f t="shared" si="0"/>
        <v>11650</v>
      </c>
      <c r="BC33" s="387">
        <f t="shared" si="1"/>
        <v>0</v>
      </c>
      <c r="BD33" s="387">
        <f t="shared" si="2"/>
        <v>3489.6576</v>
      </c>
      <c r="BE33" s="387">
        <f t="shared" si="3"/>
        <v>816.1296000000001</v>
      </c>
      <c r="BF33" s="387">
        <f t="shared" si="4"/>
        <v>6720.4051200000004</v>
      </c>
      <c r="BG33" s="387">
        <f t="shared" si="5"/>
        <v>405.81340800000004</v>
      </c>
      <c r="BH33" s="387">
        <f t="shared" si="6"/>
        <v>275.79552000000001</v>
      </c>
      <c r="BI33" s="387">
        <f t="shared" si="7"/>
        <v>0</v>
      </c>
      <c r="BJ33" s="387">
        <f t="shared" si="8"/>
        <v>118.19808</v>
      </c>
      <c r="BK33" s="387">
        <f t="shared" si="9"/>
        <v>0</v>
      </c>
      <c r="BL33" s="387">
        <f t="shared" si="32"/>
        <v>11825.999328</v>
      </c>
      <c r="BM33" s="387">
        <f t="shared" si="33"/>
        <v>0</v>
      </c>
      <c r="BN33" s="387">
        <f t="shared" si="10"/>
        <v>11650</v>
      </c>
      <c r="BO33" s="387">
        <f t="shared" si="11"/>
        <v>0</v>
      </c>
      <c r="BP33" s="387">
        <f t="shared" si="12"/>
        <v>3489.6576</v>
      </c>
      <c r="BQ33" s="387">
        <f t="shared" si="13"/>
        <v>816.1296000000001</v>
      </c>
      <c r="BR33" s="387">
        <f t="shared" si="14"/>
        <v>6720.4051200000004</v>
      </c>
      <c r="BS33" s="387">
        <f t="shared" si="15"/>
        <v>405.81340800000004</v>
      </c>
      <c r="BT33" s="387">
        <f t="shared" si="16"/>
        <v>0</v>
      </c>
      <c r="BU33" s="387">
        <f t="shared" si="17"/>
        <v>0</v>
      </c>
      <c r="BV33" s="387">
        <f t="shared" si="18"/>
        <v>101.31264</v>
      </c>
      <c r="BW33" s="387">
        <f t="shared" si="19"/>
        <v>0</v>
      </c>
      <c r="BX33" s="387">
        <f t="shared" si="34"/>
        <v>11533.318368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-275.79552000000001</v>
      </c>
      <c r="CG33" s="387">
        <f t="shared" si="24"/>
        <v>0</v>
      </c>
      <c r="CH33" s="387">
        <f t="shared" si="25"/>
        <v>-16.885439999999996</v>
      </c>
      <c r="CI33" s="387">
        <f t="shared" si="26"/>
        <v>0</v>
      </c>
      <c r="CJ33" s="387">
        <f t="shared" si="39"/>
        <v>-292.68096000000003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0001-00</v>
      </c>
    </row>
    <row r="34" spans="1:92" ht="15.75" thickBot="1" x14ac:dyDescent="0.3">
      <c r="A34" s="376" t="s">
        <v>161</v>
      </c>
      <c r="B34" s="376" t="s">
        <v>162</v>
      </c>
      <c r="C34" s="376" t="s">
        <v>345</v>
      </c>
      <c r="D34" s="376" t="s">
        <v>346</v>
      </c>
      <c r="E34" s="376" t="s">
        <v>347</v>
      </c>
      <c r="F34" s="382" t="s">
        <v>348</v>
      </c>
      <c r="G34" s="376" t="s">
        <v>349</v>
      </c>
      <c r="H34" s="378"/>
      <c r="I34" s="378"/>
      <c r="J34" s="376" t="s">
        <v>168</v>
      </c>
      <c r="K34" s="376" t="s">
        <v>350</v>
      </c>
      <c r="L34" s="376" t="s">
        <v>166</v>
      </c>
      <c r="M34" s="376" t="s">
        <v>171</v>
      </c>
      <c r="N34" s="376" t="s">
        <v>172</v>
      </c>
      <c r="O34" s="379">
        <v>0</v>
      </c>
      <c r="P34" s="385">
        <v>1</v>
      </c>
      <c r="Q34" s="385">
        <v>1</v>
      </c>
      <c r="R34" s="380">
        <v>80</v>
      </c>
      <c r="S34" s="385">
        <v>1</v>
      </c>
      <c r="T34" s="380">
        <v>0</v>
      </c>
      <c r="U34" s="380">
        <v>0</v>
      </c>
      <c r="V34" s="380">
        <v>0</v>
      </c>
      <c r="W34" s="380">
        <v>43160</v>
      </c>
      <c r="X34" s="380">
        <v>18904.080000000002</v>
      </c>
      <c r="Y34" s="380">
        <v>43160</v>
      </c>
      <c r="Z34" s="380">
        <v>18688.28</v>
      </c>
      <c r="AA34" s="378"/>
      <c r="AB34" s="376" t="s">
        <v>45</v>
      </c>
      <c r="AC34" s="376" t="s">
        <v>45</v>
      </c>
      <c r="AD34" s="378"/>
      <c r="AE34" s="378"/>
      <c r="AF34" s="378"/>
      <c r="AG34" s="378"/>
      <c r="AH34" s="379">
        <v>0</v>
      </c>
      <c r="AI34" s="379">
        <v>0</v>
      </c>
      <c r="AJ34" s="378"/>
      <c r="AK34" s="378"/>
      <c r="AL34" s="376" t="s">
        <v>173</v>
      </c>
      <c r="AM34" s="378"/>
      <c r="AN34" s="378"/>
      <c r="AO34" s="379">
        <v>0</v>
      </c>
      <c r="AP34" s="385">
        <v>0</v>
      </c>
      <c r="AQ34" s="385">
        <v>0</v>
      </c>
      <c r="AR34" s="383"/>
      <c r="AS34" s="387">
        <f t="shared" si="27"/>
        <v>0</v>
      </c>
      <c r="AT34">
        <f t="shared" si="28"/>
        <v>0</v>
      </c>
      <c r="AU34" s="387" t="str">
        <f>IF(AT34=0,"",IF(AND(AT34=1,M34="F",SUMIF(C2:C34,C34,AS2:AS34)&lt;=1),SUMIF(C2:C34,C34,AS2:AS34),IF(AND(AT34=1,M34="F",SUMIF(C2:C34,C34,AS2:AS34)&gt;1),1,"")))</f>
        <v/>
      </c>
      <c r="AV34" s="387" t="str">
        <f>IF(AT34=0,"",IF(AND(AT34=3,M34="F",SUMIF(C2:C34,C34,AS2:AS34)&lt;=1),SUMIF(C2:C34,C34,AS2:AS34),IF(AND(AT34=3,M34="F",SUMIF(C2:C34,C34,AS2:AS34)&gt;1),1,"")))</f>
        <v/>
      </c>
      <c r="AW34" s="387">
        <f>SUMIF(C2:C34,C34,O2:O34)</f>
        <v>0</v>
      </c>
      <c r="AX34" s="387">
        <f>IF(AND(M34="F",AS34&lt;&gt;0),SUMIF(C2:C34,C34,W2:W34),0)</f>
        <v>0</v>
      </c>
      <c r="AY34" s="387" t="str">
        <f t="shared" si="29"/>
        <v/>
      </c>
      <c r="AZ34" s="387" t="str">
        <f t="shared" si="30"/>
        <v/>
      </c>
      <c r="BA34" s="387">
        <f t="shared" si="31"/>
        <v>0</v>
      </c>
      <c r="BB34" s="387">
        <f t="shared" si="0"/>
        <v>0</v>
      </c>
      <c r="BC34" s="387">
        <f t="shared" si="1"/>
        <v>0</v>
      </c>
      <c r="BD34" s="387">
        <f t="shared" si="2"/>
        <v>0</v>
      </c>
      <c r="BE34" s="387">
        <f t="shared" si="3"/>
        <v>0</v>
      </c>
      <c r="BF34" s="387">
        <f t="shared" si="4"/>
        <v>0</v>
      </c>
      <c r="BG34" s="387">
        <f t="shared" si="5"/>
        <v>0</v>
      </c>
      <c r="BH34" s="387">
        <f t="shared" si="6"/>
        <v>0</v>
      </c>
      <c r="BI34" s="387">
        <f t="shared" si="7"/>
        <v>0</v>
      </c>
      <c r="BJ34" s="387">
        <f t="shared" si="8"/>
        <v>0</v>
      </c>
      <c r="BK34" s="387">
        <f t="shared" si="9"/>
        <v>0</v>
      </c>
      <c r="BL34" s="387">
        <f t="shared" si="32"/>
        <v>0</v>
      </c>
      <c r="BM34" s="387">
        <f t="shared" si="33"/>
        <v>0</v>
      </c>
      <c r="BN34" s="387">
        <f t="shared" si="10"/>
        <v>0</v>
      </c>
      <c r="BO34" s="387">
        <f t="shared" si="11"/>
        <v>0</v>
      </c>
      <c r="BP34" s="387">
        <f t="shared" si="12"/>
        <v>0</v>
      </c>
      <c r="BQ34" s="387">
        <f t="shared" si="13"/>
        <v>0</v>
      </c>
      <c r="BR34" s="387">
        <f t="shared" si="14"/>
        <v>0</v>
      </c>
      <c r="BS34" s="387">
        <f t="shared" si="15"/>
        <v>0</v>
      </c>
      <c r="BT34" s="387">
        <f t="shared" si="16"/>
        <v>0</v>
      </c>
      <c r="BU34" s="387">
        <f t="shared" si="17"/>
        <v>0</v>
      </c>
      <c r="BV34" s="387">
        <f t="shared" si="18"/>
        <v>0</v>
      </c>
      <c r="BW34" s="387">
        <f t="shared" si="19"/>
        <v>0</v>
      </c>
      <c r="BX34" s="387">
        <f t="shared" si="34"/>
        <v>0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si="20"/>
        <v>0</v>
      </c>
      <c r="CD34" s="387">
        <f t="shared" si="21"/>
        <v>0</v>
      </c>
      <c r="CE34" s="387">
        <f t="shared" si="22"/>
        <v>0</v>
      </c>
      <c r="CF34" s="387">
        <f t="shared" si="23"/>
        <v>0</v>
      </c>
      <c r="CG34" s="387">
        <f t="shared" si="24"/>
        <v>0</v>
      </c>
      <c r="CH34" s="387">
        <f t="shared" si="25"/>
        <v>0</v>
      </c>
      <c r="CI34" s="387">
        <f t="shared" si="26"/>
        <v>0</v>
      </c>
      <c r="CJ34" s="387">
        <f t="shared" si="39"/>
        <v>0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0348-27</v>
      </c>
    </row>
    <row r="36" spans="1:92" ht="21" x14ac:dyDescent="0.35">
      <c r="AQ36" s="251" t="s">
        <v>406</v>
      </c>
    </row>
    <row r="37" spans="1:92" ht="15.75" thickBot="1" x14ac:dyDescent="0.3">
      <c r="AR37" t="s">
        <v>399</v>
      </c>
      <c r="AS37" s="387">
        <f>SUMIFS(AS2:AS34,G2:G34,"SSAA",E2:E34,"0001",F2:F34,"00",AT2:AT34,1)</f>
        <v>24.237500000000001</v>
      </c>
      <c r="AT37" s="387">
        <f>SUMIFS(AS2:AS34,G2:G34,"SSAA",E2:E34,"0001",F2:F34,"00",AT2:AT34,3)</f>
        <v>1</v>
      </c>
      <c r="AU37" s="387">
        <f>SUMIFS(AU2:AU34,G2:G34,"SSAA",E2:E34,"0001",F2:F34,"00")</f>
        <v>24.237500000000001</v>
      </c>
      <c r="AV37" s="387">
        <f>SUMIFS(AV2:AV34,G2:G34,"SSAA",E2:E34,"0001",F2:F34,"00")</f>
        <v>1</v>
      </c>
      <c r="AW37" s="387">
        <f>SUMIFS(AW2:AW34,G2:G34,"SSAA",E2:E34,"0001",F2:F34,"00")</f>
        <v>26</v>
      </c>
      <c r="AX37" s="387">
        <f>SUMIFS(AX2:AX34,G2:G34,"SSAA",E2:E34,"0001",F2:F34,"00")</f>
        <v>1540489.9000000001</v>
      </c>
      <c r="AY37" s="387">
        <f>SUMIFS(AY2:AY34,G2:G34,"SSAA",E2:E34,"0001",F2:F34,"00")</f>
        <v>1422933.2000000002</v>
      </c>
      <c r="AZ37" s="387">
        <f>SUMIFS(AZ2:AZ34,G2:G34,"SSAA",E2:E34,"0001",F2:F34,"00")</f>
        <v>117556.7</v>
      </c>
      <c r="BA37" s="387">
        <f>SUMIFS(BA2:BA34,G2:G34,"SSAA",E2:E34,"0001",F2:F34,"00")</f>
        <v>0</v>
      </c>
      <c r="BB37" s="387">
        <f>SUMIFS(BB2:BB34,G2:G34,"SSAA",E2:E34,"0001",F2:F34,"00")</f>
        <v>279600</v>
      </c>
      <c r="BC37" s="387">
        <f>SUMIFS(BC2:BC34,G2:G34,"SSAA",E2:E34,"0001",F2:F34,"00")</f>
        <v>11650</v>
      </c>
      <c r="BD37" s="387">
        <f>SUMIFS(BD2:BD34,G2:G34,"SSAA",E2:E34,"0001",F2:F34,"00")</f>
        <v>95510.373800000001</v>
      </c>
      <c r="BE37" s="387">
        <f>SUMIFS(BE2:BE34,G2:G34,"SSAA",E2:E34,"0001",F2:F34,"00")</f>
        <v>22337.103549999996</v>
      </c>
      <c r="BF37" s="387">
        <f>SUMIFS(BF2:BF34,G2:G34,"SSAA",E2:E34,"0001",F2:F34,"00")</f>
        <v>181634.13365999999</v>
      </c>
      <c r="BG37" s="387">
        <f>SUMIFS(BG2:BG34,G2:G34,"SSAA",E2:E34,"0001",F2:F34,"00")</f>
        <v>10968.024319000002</v>
      </c>
      <c r="BH37" s="387">
        <f>SUMIFS(BH2:BH34,G2:G34,"SSAA",E2:E34,"0001",F2:F34,"00")</f>
        <v>6972.3726799999995</v>
      </c>
      <c r="BI37" s="387">
        <f>SUMIFS(BI2:BI34,G2:G34,"SSAA",E2:E34,"0001",F2:F34,"00")</f>
        <v>0</v>
      </c>
      <c r="BJ37" s="387">
        <f>SUMIFS(BJ2:BJ34,G2:G34,"SSAA",E2:E34,"0001",F2:F34,"00")</f>
        <v>3235.0287899999994</v>
      </c>
      <c r="BK37" s="387">
        <f>SUMIFS(BK2:BK34,G2:G34,"SSAA",E2:E34,"0001",F2:F34,"00")</f>
        <v>0</v>
      </c>
      <c r="BL37" s="387">
        <f>SUMIFS(BL2:BL34,G2:G34,"SSAA",E2:E34,"0001",F2:F34,"00")</f>
        <v>296533.22639200004</v>
      </c>
      <c r="BM37" s="387">
        <f>SUMIFS(BM2:BM34,G2:G34,"SSAA",E2:E34,"0001",F2:F34,"00")</f>
        <v>24123.810407000001</v>
      </c>
      <c r="BN37" s="387">
        <f>SUMIFS(BN2:BN34,G2:G34,"SSAA",E2:E34,"0001",F2:F34,"00")</f>
        <v>279600</v>
      </c>
      <c r="BO37" s="387">
        <f>SUMIFS(BO2:BO34,G2:G34,"SSAA",E2:E34,"0001",F2:F34,"00")</f>
        <v>11650</v>
      </c>
      <c r="BP37" s="387">
        <f>SUMIFS(BP2:BP34,G2:G34,"SSAA",E2:E34,"0001",F2:F34,"00")</f>
        <v>95510.373800000001</v>
      </c>
      <c r="BQ37" s="387">
        <f>SUMIFS(BQ2:BQ34,G2:G34,"SSAA",E2:E34,"0001",F2:F34,"00")</f>
        <v>22337.103549999996</v>
      </c>
      <c r="BR37" s="387">
        <f>SUMIFS(BR2:BR34,G2:G34,"SSAA",E2:E34,"0001",F2:F34,"00")</f>
        <v>181634.13365999999</v>
      </c>
      <c r="BS37" s="387">
        <f>SUMIFS(BS2:BS34,G2:G34,"SSAA",E2:E34,"0001",F2:F34,"00")</f>
        <v>10968.024319000002</v>
      </c>
      <c r="BT37" s="387">
        <f>SUMIFS(BT2:BT34,G2:G34,"SSAA",E2:E34,"0001",F2:F34,"00")</f>
        <v>0</v>
      </c>
      <c r="BU37" s="387">
        <f>SUMIFS(BU2:BU34,G2:G34,"SSAA",E2:E34,"0001",F2:F34,"00")</f>
        <v>0</v>
      </c>
      <c r="BV37" s="387">
        <f>SUMIFS(BV2:BV34,G2:G34,"SSAA",E2:E34,"0001",F2:F34,"00")</f>
        <v>2772.8818200000005</v>
      </c>
      <c r="BW37" s="387">
        <f>SUMIFS(BW2:BW34,G2:G34,"SSAA",E2:E34,"0001",F2:F34,"00")</f>
        <v>0</v>
      </c>
      <c r="BX37" s="387">
        <f>SUMIFS(BX2:BX34,G2:G34,"SSAA",E2:E34,"0001",F2:F34,"00")</f>
        <v>289133.97375200002</v>
      </c>
      <c r="BY37" s="387">
        <f>SUMIFS(BY2:BY34,G2:G34,"SSAA",E2:E34,"0001",F2:F34,"00")</f>
        <v>24088.543397000001</v>
      </c>
      <c r="BZ37" s="387">
        <f>SUMIFS(BZ2:BZ34,G2:G34,"SSAA",E2:E34,"0001",F2:F34,"00")</f>
        <v>0</v>
      </c>
      <c r="CA37" s="387">
        <f>SUMIFS(CA2:CA34,G2:G34,"SSAA",E2:E34,"0001",F2:F34,"00")</f>
        <v>0</v>
      </c>
      <c r="CB37" s="387">
        <f>SUMIFS(CB2:CB34,G2:G34,"SSAA",E2:E34,"0001",F2:F34,"00")</f>
        <v>0</v>
      </c>
      <c r="CC37" s="387">
        <f>SUMIFS(CC2:CC34,G2:G34,"SSAA",E2:E34,"0001",F2:F34,"00")</f>
        <v>0</v>
      </c>
      <c r="CD37" s="387">
        <f>SUMIFS(CD2:CD34,G2:G34,"SSAA",E2:E34,"0001",F2:F34,"00")</f>
        <v>0</v>
      </c>
      <c r="CE37" s="387">
        <f>SUMIFS(CE2:CE34,G2:G34,"SSAA",E2:E34,"0001",F2:F34,"00")</f>
        <v>0</v>
      </c>
      <c r="CF37" s="387">
        <f>SUMIFS(CF2:CF34,G2:G34,"SSAA",E2:E34,"0001",F2:F34,"00")</f>
        <v>-6972.3726799999995</v>
      </c>
      <c r="CG37" s="387">
        <f>SUMIFS(CG2:CG34,G2:G34,"SSAA",E2:E34,"0001",F2:F34,"00")</f>
        <v>0</v>
      </c>
      <c r="CH37" s="387">
        <f>SUMIFS(CH2:CH34,G2:G34,"SSAA",E2:E34,"0001",F2:F34,"00")</f>
        <v>-462.1469699999999</v>
      </c>
      <c r="CI37" s="387">
        <f>SUMIFS(CI2:CI34,G2:G34,"SSAA",E2:E34,"0001",F2:F34,"00")</f>
        <v>0</v>
      </c>
      <c r="CJ37" s="387">
        <f>SUMIFS(CJ2:CJ34,G2:G34,"SSAA",E2:E34,"0001",F2:F34,"00")</f>
        <v>-7399.2526399999997</v>
      </c>
      <c r="CK37" s="387">
        <f>SUMIFS(CK2:CK34,G2:G34,"SSAA",E2:E34,"0001",F2:F34,"00")</f>
        <v>-35.267009999999992</v>
      </c>
      <c r="CL37" s="387">
        <f>SUMIFS(CL2:CL34,G2:G34,"SSAA",E2:E34,"0001",F2:F34,"00")</f>
        <v>0</v>
      </c>
      <c r="CM37" s="387">
        <f>SUMIFS(CM2:CM34,G2:G34,"SSAA",E2:E34,"0001",F2:F34,"00")</f>
        <v>0</v>
      </c>
    </row>
    <row r="38" spans="1:92" ht="18.75" x14ac:dyDescent="0.3">
      <c r="AQ38" s="393" t="s">
        <v>400</v>
      </c>
      <c r="AS38" s="394">
        <f t="shared" ref="AS38:CM38" si="44">SUM(AS37:AS37)</f>
        <v>24.237500000000001</v>
      </c>
      <c r="AT38" s="394">
        <f t="shared" si="44"/>
        <v>1</v>
      </c>
      <c r="AU38" s="394">
        <f t="shared" si="44"/>
        <v>24.237500000000001</v>
      </c>
      <c r="AV38" s="394">
        <f t="shared" si="44"/>
        <v>1</v>
      </c>
      <c r="AW38" s="394">
        <f t="shared" si="44"/>
        <v>26</v>
      </c>
      <c r="AX38" s="394">
        <f t="shared" si="44"/>
        <v>1540489.9000000001</v>
      </c>
      <c r="AY38" s="394">
        <f t="shared" si="44"/>
        <v>1422933.2000000002</v>
      </c>
      <c r="AZ38" s="394">
        <f t="shared" si="44"/>
        <v>117556.7</v>
      </c>
      <c r="BA38" s="394">
        <f t="shared" si="44"/>
        <v>0</v>
      </c>
      <c r="BB38" s="394">
        <f t="shared" si="44"/>
        <v>279600</v>
      </c>
      <c r="BC38" s="394">
        <f t="shared" si="44"/>
        <v>11650</v>
      </c>
      <c r="BD38" s="394">
        <f t="shared" si="44"/>
        <v>95510.373800000001</v>
      </c>
      <c r="BE38" s="394">
        <f t="shared" si="44"/>
        <v>22337.103549999996</v>
      </c>
      <c r="BF38" s="394">
        <f t="shared" si="44"/>
        <v>181634.13365999999</v>
      </c>
      <c r="BG38" s="394">
        <f t="shared" si="44"/>
        <v>10968.024319000002</v>
      </c>
      <c r="BH38" s="394">
        <f t="shared" si="44"/>
        <v>6972.3726799999995</v>
      </c>
      <c r="BI38" s="394">
        <f t="shared" si="44"/>
        <v>0</v>
      </c>
      <c r="BJ38" s="394">
        <f t="shared" si="44"/>
        <v>3235.0287899999994</v>
      </c>
      <c r="BK38" s="394">
        <f t="shared" si="44"/>
        <v>0</v>
      </c>
      <c r="BL38" s="394">
        <f t="shared" si="44"/>
        <v>296533.22639200004</v>
      </c>
      <c r="BM38" s="394">
        <f t="shared" si="44"/>
        <v>24123.810407000001</v>
      </c>
      <c r="BN38" s="394">
        <f t="shared" si="44"/>
        <v>279600</v>
      </c>
      <c r="BO38" s="394">
        <f t="shared" si="44"/>
        <v>11650</v>
      </c>
      <c r="BP38" s="394">
        <f t="shared" si="44"/>
        <v>95510.373800000001</v>
      </c>
      <c r="BQ38" s="394">
        <f t="shared" si="44"/>
        <v>22337.103549999996</v>
      </c>
      <c r="BR38" s="394">
        <f t="shared" si="44"/>
        <v>181634.13365999999</v>
      </c>
      <c r="BS38" s="394">
        <f t="shared" si="44"/>
        <v>10968.024319000002</v>
      </c>
      <c r="BT38" s="394">
        <f t="shared" si="44"/>
        <v>0</v>
      </c>
      <c r="BU38" s="394">
        <f t="shared" si="44"/>
        <v>0</v>
      </c>
      <c r="BV38" s="394">
        <f t="shared" si="44"/>
        <v>2772.8818200000005</v>
      </c>
      <c r="BW38" s="394">
        <f t="shared" si="44"/>
        <v>0</v>
      </c>
      <c r="BX38" s="394">
        <f t="shared" si="44"/>
        <v>289133.97375200002</v>
      </c>
      <c r="BY38" s="394">
        <f t="shared" si="44"/>
        <v>24088.543397000001</v>
      </c>
      <c r="BZ38" s="394">
        <f t="shared" si="44"/>
        <v>0</v>
      </c>
      <c r="CA38" s="394">
        <f t="shared" si="44"/>
        <v>0</v>
      </c>
      <c r="CB38" s="394">
        <f t="shared" si="44"/>
        <v>0</v>
      </c>
      <c r="CC38" s="394">
        <f t="shared" si="44"/>
        <v>0</v>
      </c>
      <c r="CD38" s="394">
        <f t="shared" si="44"/>
        <v>0</v>
      </c>
      <c r="CE38" s="394">
        <f t="shared" si="44"/>
        <v>0</v>
      </c>
      <c r="CF38" s="394">
        <f t="shared" si="44"/>
        <v>-6972.3726799999995</v>
      </c>
      <c r="CG38" s="394">
        <f t="shared" si="44"/>
        <v>0</v>
      </c>
      <c r="CH38" s="394">
        <f t="shared" si="44"/>
        <v>-462.1469699999999</v>
      </c>
      <c r="CI38" s="394">
        <f t="shared" si="44"/>
        <v>0</v>
      </c>
      <c r="CJ38" s="394">
        <f t="shared" si="44"/>
        <v>-7399.2526399999997</v>
      </c>
      <c r="CK38" s="394">
        <f t="shared" si="44"/>
        <v>-35.267009999999992</v>
      </c>
      <c r="CL38" s="394">
        <f t="shared" si="44"/>
        <v>0</v>
      </c>
      <c r="CM38" s="394">
        <f t="shared" si="44"/>
        <v>0</v>
      </c>
    </row>
    <row r="39" spans="1:92" x14ac:dyDescent="0.25"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  <c r="BU39" s="387"/>
      <c r="BV39" s="387"/>
      <c r="BW39" s="387"/>
      <c r="BX39" s="387"/>
      <c r="BY39" s="387"/>
      <c r="BZ39" s="387"/>
      <c r="CA39" s="387"/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</row>
    <row r="40" spans="1:92" ht="21" x14ac:dyDescent="0.35">
      <c r="AO40" s="251" t="s">
        <v>97</v>
      </c>
      <c r="AP40" s="251"/>
      <c r="AQ40" s="251"/>
    </row>
    <row r="42" spans="1:92" ht="21" x14ac:dyDescent="0.35">
      <c r="AO42" s="252"/>
      <c r="AP42" s="252"/>
      <c r="AQ42" s="252"/>
    </row>
    <row r="43" spans="1:92" ht="15.75" x14ac:dyDescent="0.25">
      <c r="AS43" s="373" t="s">
        <v>83</v>
      </c>
      <c r="AT43" s="475" t="s">
        <v>409</v>
      </c>
      <c r="AU43" s="475"/>
      <c r="AV43" s="476" t="s">
        <v>407</v>
      </c>
      <c r="AW43" s="475" t="s">
        <v>410</v>
      </c>
      <c r="AX43" s="475"/>
      <c r="AY43" s="476" t="s">
        <v>408</v>
      </c>
      <c r="AZ43" s="475" t="s">
        <v>411</v>
      </c>
      <c r="BA43" s="475"/>
    </row>
    <row r="44" spans="1:92" ht="15.75" x14ac:dyDescent="0.25">
      <c r="AS44" s="249"/>
      <c r="AT44" s="373" t="s">
        <v>94</v>
      </c>
      <c r="AU44" s="372" t="s">
        <v>96</v>
      </c>
      <c r="AV44" s="477"/>
      <c r="AW44" s="373" t="s">
        <v>98</v>
      </c>
      <c r="AX44" s="372" t="s">
        <v>95</v>
      </c>
      <c r="AY44" s="477"/>
      <c r="AZ44" s="373" t="s">
        <v>98</v>
      </c>
      <c r="BA44" s="372" t="s">
        <v>95</v>
      </c>
    </row>
    <row r="45" spans="1:92" x14ac:dyDescent="0.25">
      <c r="AO45" s="392" t="s">
        <v>412</v>
      </c>
    </row>
    <row r="46" spans="1:92" x14ac:dyDescent="0.25">
      <c r="AQ46" t="s">
        <v>403</v>
      </c>
      <c r="AS46" s="387">
        <f>SUM(SUMIFS(AS2:AS34,CN2:CN34,AQ46,E2:E34,"0001",F2:F34,"00",AT2:AT34,{1,3}))</f>
        <v>25.237500000000001</v>
      </c>
      <c r="AT46" s="387">
        <f>SUMPRODUCT(--(CN2:CN34=AQ46),--(N2:N34&lt;&gt;"NG"),--(AG2:AG34&lt;&gt;"D"),--(AR2:AR34&lt;&gt;6),--(AR2:AR34&lt;&gt;36),--(AR2:AR34&lt;&gt;56),T2:T34)+SUMPRODUCT(--(CN2:CN34=AQ46),--(N2:N34&lt;&gt;"NG"),--(AG2:AG34&lt;&gt;"D"),--(AR2:AR34&lt;&gt;6),--(AR2:AR34&lt;&gt;36),--(AR2:AR34&lt;&gt;56),U2:U34)</f>
        <v>1697851.9799999997</v>
      </c>
      <c r="AU46" s="387">
        <f>SUMPRODUCT(--(CN2:CN34=AQ46),--(N2:N34&lt;&gt;"NG"),--(AG2:AG34&lt;&gt;"D"),--(AR2:AR34&lt;&gt;6),--(AR2:AR34&lt;&gt;36),--(AR2:AR34&lt;&gt;56),V2:V34)</f>
        <v>672238.56999999983</v>
      </c>
      <c r="AV46" s="387">
        <f>SUMPRODUCT(--(CN2:CN34=AQ46),AY2:AY34)+SUMPRODUCT(--(CN2:CN34=AQ46),AZ2:AZ34)</f>
        <v>1540489.9000000001</v>
      </c>
      <c r="AW46" s="387">
        <f>SUMPRODUCT(--(CN2:CN34=AQ46),BB2:BB34)+SUMPRODUCT(--(CN2:CN34=AQ46),BC2:BC34)</f>
        <v>291250</v>
      </c>
      <c r="AX46" s="387">
        <f>SUMPRODUCT(--(CN2:CN34=AQ46),BL2:BL34)+SUMPRODUCT(--(CN2:CN34=AQ46),BM2:BM34)</f>
        <v>320657.03679900005</v>
      </c>
      <c r="AY46" s="387">
        <f>SUMPRODUCT(--(CN2:CN34=AQ46),AY2:AY34)+SUMPRODUCT(--(CN2:CN34=AQ46),AZ2:AZ34)+SUMPRODUCT(--(CN2:CN34=AQ46),BA2:BA34)</f>
        <v>1540489.9000000001</v>
      </c>
      <c r="AZ46" s="387">
        <f>SUMPRODUCT(--(CN2:CN34=AQ46),BN2:BN34)+SUMPRODUCT(--(CN2:CN34=AQ46),BO2:BO34)</f>
        <v>291250</v>
      </c>
      <c r="BA46" s="387">
        <f>SUMPRODUCT(--(CN2:CN34=AQ46),BX2:BX34)+SUMPRODUCT(--(CN2:CN34=AQ46),BY2:BY34)</f>
        <v>313222.51714900002</v>
      </c>
    </row>
    <row r="47" spans="1:92" x14ac:dyDescent="0.25">
      <c r="AP47" t="s">
        <v>413</v>
      </c>
      <c r="AS47" s="398">
        <f t="shared" ref="AS47:BA47" si="45">SUM(AS46:AS46)</f>
        <v>25.237500000000001</v>
      </c>
      <c r="AT47" s="398">
        <f t="shared" si="45"/>
        <v>1697851.9799999997</v>
      </c>
      <c r="AU47" s="398">
        <f t="shared" si="45"/>
        <v>672238.56999999983</v>
      </c>
      <c r="AV47" s="398">
        <f t="shared" si="45"/>
        <v>1540489.9000000001</v>
      </c>
      <c r="AW47" s="398">
        <f t="shared" si="45"/>
        <v>291250</v>
      </c>
      <c r="AX47" s="398">
        <f t="shared" si="45"/>
        <v>320657.03679900005</v>
      </c>
      <c r="AY47" s="398">
        <f t="shared" si="45"/>
        <v>1540489.9000000001</v>
      </c>
      <c r="AZ47" s="398">
        <f t="shared" si="45"/>
        <v>291250</v>
      </c>
      <c r="BA47" s="398">
        <f t="shared" si="45"/>
        <v>313222.51714900002</v>
      </c>
    </row>
    <row r="48" spans="1:92" x14ac:dyDescent="0.25">
      <c r="AS48" s="387"/>
      <c r="AT48" s="387"/>
      <c r="AU48" s="387"/>
      <c r="AV48" s="387"/>
      <c r="AW48" s="387"/>
      <c r="AX48" s="387"/>
      <c r="AY48" s="387"/>
      <c r="AZ48" s="387"/>
      <c r="BA48" s="387"/>
    </row>
    <row r="49" spans="41:94" x14ac:dyDescent="0.25">
      <c r="AO49" s="396" t="s">
        <v>414</v>
      </c>
      <c r="AS49" s="399">
        <f t="shared" ref="AS49:BA49" si="46">SUM(AS47)</f>
        <v>25.237500000000001</v>
      </c>
      <c r="AT49" s="399">
        <f t="shared" si="46"/>
        <v>1697851.9799999997</v>
      </c>
      <c r="AU49" s="399">
        <f t="shared" si="46"/>
        <v>672238.56999999983</v>
      </c>
      <c r="AV49" s="399">
        <f t="shared" si="46"/>
        <v>1540489.9000000001</v>
      </c>
      <c r="AW49" s="399">
        <f t="shared" si="46"/>
        <v>291250</v>
      </c>
      <c r="AX49" s="399">
        <f t="shared" si="46"/>
        <v>320657.03679900005</v>
      </c>
      <c r="AY49" s="399">
        <f t="shared" si="46"/>
        <v>1540489.9000000001</v>
      </c>
      <c r="AZ49" s="399">
        <f t="shared" si="46"/>
        <v>291250</v>
      </c>
      <c r="BA49" s="399">
        <f t="shared" si="46"/>
        <v>313222.51714900002</v>
      </c>
    </row>
    <row r="50" spans="41:94" x14ac:dyDescent="0.25">
      <c r="AS50" s="387"/>
      <c r="AT50" s="387"/>
      <c r="AU50" s="387"/>
      <c r="AV50" s="387"/>
      <c r="AW50" s="387"/>
      <c r="AX50" s="387"/>
      <c r="AY50" s="387"/>
      <c r="AZ50" s="387"/>
      <c r="BA50" s="387"/>
    </row>
    <row r="51" spans="41:94" x14ac:dyDescent="0.25">
      <c r="AO51" s="392" t="s">
        <v>415</v>
      </c>
      <c r="AS51" s="387"/>
      <c r="AT51" s="387"/>
      <c r="AU51" s="387"/>
      <c r="AV51" s="387"/>
      <c r="AW51" s="387"/>
      <c r="AX51" s="387"/>
      <c r="AY51" s="387"/>
      <c r="AZ51" s="387"/>
      <c r="BA51" s="387"/>
    </row>
    <row r="52" spans="41:94" x14ac:dyDescent="0.25">
      <c r="AS52" s="387"/>
      <c r="AT52" s="387"/>
      <c r="AU52" s="387"/>
      <c r="AV52" s="387"/>
      <c r="AW52" s="387"/>
      <c r="AX52" s="387"/>
      <c r="AY52" s="387"/>
      <c r="AZ52" s="387"/>
      <c r="BA52" s="387"/>
    </row>
    <row r="53" spans="41:94" x14ac:dyDescent="0.25">
      <c r="AO53" s="396" t="s">
        <v>416</v>
      </c>
      <c r="AS53" s="387"/>
      <c r="AT53" s="387"/>
      <c r="AU53" s="387"/>
      <c r="AV53" s="387"/>
      <c r="AW53" s="387"/>
      <c r="AX53" s="387"/>
      <c r="AY53" s="387"/>
      <c r="AZ53" s="387"/>
      <c r="BA53" s="387"/>
      <c r="CP53" s="392"/>
    </row>
    <row r="54" spans="41:94" x14ac:dyDescent="0.25">
      <c r="AS54" s="387"/>
      <c r="AT54" s="387"/>
      <c r="AU54" s="387"/>
      <c r="AV54" s="387"/>
      <c r="AW54" s="387"/>
      <c r="AX54" s="387"/>
      <c r="AY54" s="387"/>
      <c r="AZ54" s="387"/>
      <c r="BA54" s="387"/>
    </row>
    <row r="55" spans="41:94" x14ac:dyDescent="0.25">
      <c r="AO55" s="397" t="s">
        <v>417</v>
      </c>
      <c r="AS55" s="400">
        <f t="shared" ref="AS55:BA55" si="47">SUM(AS49)</f>
        <v>25.237500000000001</v>
      </c>
      <c r="AT55" s="401">
        <f t="shared" si="47"/>
        <v>1697851.9799999997</v>
      </c>
      <c r="AU55" s="401">
        <f t="shared" si="47"/>
        <v>672238.56999999983</v>
      </c>
      <c r="AV55" s="401">
        <f t="shared" si="47"/>
        <v>1540489.9000000001</v>
      </c>
      <c r="AW55" s="401">
        <f t="shared" si="47"/>
        <v>291250</v>
      </c>
      <c r="AX55" s="401">
        <f t="shared" si="47"/>
        <v>320657.03679900005</v>
      </c>
      <c r="AY55" s="401">
        <f t="shared" si="47"/>
        <v>1540489.9000000001</v>
      </c>
      <c r="AZ55" s="401">
        <f t="shared" si="47"/>
        <v>291250</v>
      </c>
      <c r="BA55" s="401">
        <f t="shared" si="47"/>
        <v>313222.51714900002</v>
      </c>
    </row>
  </sheetData>
  <mergeCells count="5">
    <mergeCell ref="AT43:AU43"/>
    <mergeCell ref="AV43:AV44"/>
    <mergeCell ref="AW43:AX43"/>
    <mergeCell ref="AY43:AY44"/>
    <mergeCell ref="AZ43:BA4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2" sqref="D12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2.0999999999999999E-3</v>
      </c>
      <c r="D8" s="234">
        <v>1.8E-3</v>
      </c>
      <c r="E8" s="314">
        <f t="shared" si="0"/>
        <v>-2.9999999999999992E-4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9.0709999999999999E-2</v>
      </c>
      <c r="D12" s="234">
        <f>SUM(D5:D11)</f>
        <v>8.5509999999999989E-2</v>
      </c>
      <c r="E12" s="315">
        <f>D12-C12</f>
        <v>-5.2000000000000102E-3</v>
      </c>
      <c r="M12" s="320"/>
    </row>
    <row r="13" spans="1:15" x14ac:dyDescent="0.3">
      <c r="A13" s="3"/>
      <c r="B13" s="231" t="s">
        <v>9</v>
      </c>
      <c r="C13" s="226">
        <f>SUM(C5:C8)</f>
        <v>8.3500000000000005E-2</v>
      </c>
      <c r="D13" s="226">
        <f>SUM(D5:D8)</f>
        <v>7.8299999999999995E-2</v>
      </c>
      <c r="E13" s="313">
        <f t="shared" si="0"/>
        <v>-5.2000000000000102E-3</v>
      </c>
      <c r="F13" s="8"/>
    </row>
    <row r="14" spans="1:15" x14ac:dyDescent="0.3">
      <c r="A14" s="230"/>
      <c r="B14" s="232" t="s">
        <v>102</v>
      </c>
      <c r="C14" s="226">
        <f>SUM(C5:C6,C8:C9)</f>
        <v>8.5809999999999997E-2</v>
      </c>
      <c r="D14" s="226">
        <f>SUM(D5:D6,D8:D9)</f>
        <v>8.5509999999999989E-2</v>
      </c>
      <c r="E14" s="313">
        <f>D14-C14</f>
        <v>-3.0000000000000859E-4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7"/>
      <c r="N1" s="40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9"/>
      <c r="N2" s="41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7"/>
      <c r="N3" s="40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2023</v>
      </c>
      <c r="N4" s="40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9"/>
      <c r="J5" s="411"/>
      <c r="K5" s="411"/>
      <c r="L5" s="41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2" t="s">
        <v>22</v>
      </c>
      <c r="D8" s="41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105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5" t="s">
        <v>27</v>
      </c>
      <c r="D10" s="40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5" t="s">
        <v>28</v>
      </c>
      <c r="D11" s="40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5" t="s">
        <v>29</v>
      </c>
      <c r="D12" s="41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5" t="s">
        <v>30</v>
      </c>
      <c r="D13" s="40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3" t="s">
        <v>32</v>
      </c>
      <c r="D16" s="42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107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5" t="s">
        <v>38</v>
      </c>
      <c r="D41" s="41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7" t="s">
        <v>39</v>
      </c>
      <c r="D43" s="43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8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108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9"/>
      <c r="D44" s="44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8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8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1" t="s">
        <v>100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7" t="s">
        <v>51</v>
      </c>
      <c r="D57" s="461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3" t="s">
        <v>52</v>
      </c>
      <c r="D58" s="43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9" t="s">
        <v>66</v>
      </c>
      <c r="D59" s="460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7" t="s">
        <v>54</v>
      </c>
      <c r="D61" s="461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3" t="s">
        <v>67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2" t="s">
        <v>56</v>
      </c>
      <c r="D64" s="463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4"/>
      <c r="D65" s="46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6"/>
      <c r="D66" s="467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0"/>
      <c r="D70" s="471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3" t="s">
        <v>101</v>
      </c>
      <c r="D72" s="472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3" t="s">
        <v>61</v>
      </c>
      <c r="D73" s="47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3" t="s">
        <v>64</v>
      </c>
      <c r="D76" s="47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8"/>
      <c r="D77" s="46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8"/>
      <c r="D78" s="46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8"/>
      <c r="D79" s="46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5" priority="5">
      <formula>$J$44&lt;0</formula>
    </cfRule>
  </conditionalFormatting>
  <conditionalFormatting sqref="K43">
    <cfRule type="expression" dxfId="4" priority="4">
      <formula>$J$43&lt;0</formula>
    </cfRule>
  </conditionalFormatting>
  <conditionalFormatting sqref="L16">
    <cfRule type="expression" dxfId="3" priority="3">
      <formula>$J$16&lt;0</formula>
    </cfRule>
  </conditionalFormatting>
  <conditionalFormatting sqref="K45">
    <cfRule type="expression" dxfId="2" priority="2">
      <formula>$J$44&lt;0</formula>
    </cfRule>
  </conditionalFormatting>
  <conditionalFormatting sqref="K43:N45">
    <cfRule type="containsText" dxfId="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405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12" t="s">
        <v>22</v>
      </c>
      <c r="B2" s="413"/>
      <c r="C2" s="370" t="s">
        <v>23</v>
      </c>
      <c r="D2" s="49" t="s">
        <v>24</v>
      </c>
      <c r="E2" s="50" t="str">
        <f>"FY "&amp;'SSAA|0001-00'!FiscalYear-1&amp;" SALARY"</f>
        <v>FY 2022 SALARY</v>
      </c>
      <c r="F2" s="50" t="str">
        <f>"FY "&amp;'SSAA|0001-00'!FiscalYear-1&amp;" HEALTH BENEFITS"</f>
        <v>FY 2022 HEALTH BENEFITS</v>
      </c>
      <c r="G2" s="50" t="str">
        <f>"FY "&amp;'SSAA|0001-00'!FiscalYear-1&amp;" VAR BENEFITS"</f>
        <v>FY 2022 VAR BENEFITS</v>
      </c>
      <c r="H2" s="50" t="str">
        <f>"FY "&amp;'SSAA|0001-00'!FiscalYear-1&amp;" TOTAL"</f>
        <v>FY 2022 TOTAL</v>
      </c>
      <c r="I2" s="50" t="str">
        <f>"FY "&amp;'SSAA|0001-00'!FiscalYear&amp;" SALARY CHANGE"</f>
        <v>FY 2023 SALARY CHANGE</v>
      </c>
      <c r="J2" s="50" t="str">
        <f>"FY "&amp;'SSAA|0001-00'!FiscalYear&amp;" CHG HEALTH BENEFITS"</f>
        <v>FY 2023 CHG HEALTH BENEFITS</v>
      </c>
      <c r="K2" s="50" t="str">
        <f>"FY "&amp;'SSAA|0001-00'!FiscalYear&amp;" CHG VAR BENEFITS"</f>
        <v>FY 2023 CHG VAR BENEFITS</v>
      </c>
      <c r="L2" s="50" t="s">
        <v>25</v>
      </c>
    </row>
    <row r="3" spans="1:12" x14ac:dyDescent="0.25">
      <c r="A3" s="415" t="s">
        <v>26</v>
      </c>
      <c r="B3" s="41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5" t="s">
        <v>27</v>
      </c>
      <c r="B4" s="406"/>
      <c r="C4" s="217">
        <v>1</v>
      </c>
      <c r="D4" s="288">
        <f>[0]!SSAA000100col_INC_FTI</f>
        <v>24.237500000000001</v>
      </c>
      <c r="E4" s="218">
        <f>[0]!SSAA000100col_FTI_SALARY_PERM</f>
        <v>1422933.2000000002</v>
      </c>
      <c r="F4" s="218">
        <f>[0]!SSAA000100col_HEALTH_PERM</f>
        <v>279600</v>
      </c>
      <c r="G4" s="218">
        <f>[0]!SSAA000100col_TOT_VB_PERM</f>
        <v>296533.22639200004</v>
      </c>
      <c r="H4" s="219">
        <f>SUM(E4:G4)</f>
        <v>1999066.4263920002</v>
      </c>
      <c r="I4" s="219">
        <f>[0]!SSAA000100col_1_27TH_PP</f>
        <v>0</v>
      </c>
      <c r="J4" s="218">
        <f>[0]!SSAA000100col_HEALTH_PERM_CHG</f>
        <v>0</v>
      </c>
      <c r="K4" s="218">
        <f>[0]!SSAA000100col_TOT_VB_PERM_CHG</f>
        <v>-7399.2526399999997</v>
      </c>
      <c r="L4" s="218">
        <f>SUM(J4:K4)</f>
        <v>-7399.2526399999997</v>
      </c>
    </row>
    <row r="5" spans="1:12" x14ac:dyDescent="0.25">
      <c r="A5" s="405" t="s">
        <v>28</v>
      </c>
      <c r="B5" s="406"/>
      <c r="C5" s="217">
        <v>2</v>
      </c>
      <c r="D5" s="288"/>
      <c r="E5" s="218">
        <f>[0]!SSAA000100col_Group_Salary</f>
        <v>0</v>
      </c>
      <c r="F5" s="218">
        <v>0</v>
      </c>
      <c r="G5" s="218">
        <f>[0]!SSAA000100col_Group_Ben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05" t="s">
        <v>29</v>
      </c>
      <c r="B6" s="417"/>
      <c r="C6" s="217">
        <v>3</v>
      </c>
      <c r="D6" s="288">
        <f>[0]!SSAA000100col_TOTAL_ELECT_PCN_FTI</f>
        <v>1</v>
      </c>
      <c r="E6" s="218">
        <f>[0]!SSAA000100col_FTI_SALARY_ELECT</f>
        <v>117556.7</v>
      </c>
      <c r="F6" s="218">
        <f>[0]!SSAA000100col_HEALTH_ELECT</f>
        <v>11650</v>
      </c>
      <c r="G6" s="218">
        <f>[0]!SSAA000100col_TOT_VB_ELECT</f>
        <v>24123.810407000001</v>
      </c>
      <c r="H6" s="219">
        <f>SUM(E6:G6)</f>
        <v>153330.51040699999</v>
      </c>
      <c r="I6" s="268"/>
      <c r="J6" s="218">
        <f>[0]!SSAA000100col_HEALTH_ELECT_CHG</f>
        <v>0</v>
      </c>
      <c r="K6" s="218">
        <f>[0]!SSAA000100col_TOT_VB_ELECT_CHG</f>
        <v>-35.267009999999992</v>
      </c>
      <c r="L6" s="219">
        <f>SUM(J6:K6)</f>
        <v>-35.267009999999992</v>
      </c>
    </row>
    <row r="7" spans="1:12" x14ac:dyDescent="0.25">
      <c r="A7" s="405" t="s">
        <v>30</v>
      </c>
      <c r="B7" s="406"/>
      <c r="C7" s="217"/>
      <c r="D7" s="220">
        <f>SUM(D4:D6)</f>
        <v>25.237500000000001</v>
      </c>
      <c r="E7" s="221">
        <f>SUM(E4:E6)</f>
        <v>1540489.9000000001</v>
      </c>
      <c r="F7" s="221">
        <f>SUM(F4:F6)</f>
        <v>291250</v>
      </c>
      <c r="G7" s="221">
        <f>SUM(G4:G6)</f>
        <v>320657.03679900005</v>
      </c>
      <c r="H7" s="219">
        <f>SUM(E7:G7)</f>
        <v>2152396.936799</v>
      </c>
      <c r="I7" s="268"/>
      <c r="J7" s="219">
        <f>SUM(J4:J6)</f>
        <v>0</v>
      </c>
      <c r="K7" s="219">
        <f>SUM(K4:K6)</f>
        <v>-7434.5196499999993</v>
      </c>
      <c r="L7" s="219">
        <f>SUM(L4:L6)</f>
        <v>-7434.5196499999993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"&amp;'SSAA|0001-00'!FiscalYear-1</f>
        <v>FY 2022</v>
      </c>
      <c r="B9" s="158" t="s">
        <v>31</v>
      </c>
      <c r="C9" s="355">
        <v>2422600</v>
      </c>
      <c r="D9" s="55">
        <v>30</v>
      </c>
      <c r="E9" s="223">
        <f>IF('SSAA|0001-00'!OrigApprop=0,0,(E7/H7)*'SSAA|0001-00'!OrigApprop)</f>
        <v>1733876.6692774333</v>
      </c>
      <c r="F9" s="223">
        <f>IF('SSAA|0001-00'!OrigApprop=0,0,(F7/H7)*'SSAA|0001-00'!OrigApprop)</f>
        <v>327812.32770630461</v>
      </c>
      <c r="G9" s="223">
        <f>IF(E9=0,0,(G7/H7)*'SSAA|0001-00'!OrigApprop)</f>
        <v>360911.00301626226</v>
      </c>
      <c r="H9" s="223">
        <f>SUM(E9:G9)</f>
        <v>2422600</v>
      </c>
      <c r="I9" s="268"/>
      <c r="J9" s="224"/>
      <c r="K9" s="224"/>
      <c r="L9" s="224"/>
    </row>
    <row r="10" spans="1:12" x14ac:dyDescent="0.25">
      <c r="A10" s="423" t="s">
        <v>32</v>
      </c>
      <c r="B10" s="424"/>
      <c r="C10" s="160" t="s">
        <v>33</v>
      </c>
      <c r="D10" s="161">
        <f>D9-D7</f>
        <v>4.7624999999999993</v>
      </c>
      <c r="E10" s="162">
        <f>E9-E7</f>
        <v>193386.76927743317</v>
      </c>
      <c r="F10" s="162">
        <f>F9-F7</f>
        <v>36562.327706304612</v>
      </c>
      <c r="G10" s="162">
        <f>G9-G7</f>
        <v>40253.966217262205</v>
      </c>
      <c r="H10" s="162">
        <f>H9-H7</f>
        <v>270203.06320099998</v>
      </c>
      <c r="I10" s="269"/>
      <c r="J10" s="56" t="str">
        <f>IF('SSAA|0001-00'!OrigApprop=0,"ERROR! Enter Original Appropriation amount in DU 3.00!","Calculated "&amp;IF('SSAA|0001-00'!AdjustedTotal&gt;0,"overfunding ","underfunding ")&amp;"is "&amp;TEXT('SSAA|0001-00'!AdjustedTotal/'SSAA|0001-00'!AppropTotal,"#.0%;(#.0% );0% ;")&amp;" of Original Appropriation")</f>
        <v>Calculated overfunding is 11.2%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Secretary of State&amp;R&amp;"Arial"&amp;10 Agency 130</oddHeader>
    <oddFooter>&amp;L&amp;"Arial"&amp;10 B6:Summary by Program, by Fund&amp;R&amp;"Arial"&amp;10 FY 2022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7"/>
  <sheetViews>
    <sheetView workbookViewId="0">
      <selection activeCell="E8" sqref="E8:M17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409</v>
      </c>
      <c r="G5" s="475"/>
      <c r="H5" s="476" t="s">
        <v>407</v>
      </c>
      <c r="I5" s="475" t="s">
        <v>410</v>
      </c>
      <c r="J5" s="475"/>
      <c r="K5" s="476" t="s">
        <v>408</v>
      </c>
      <c r="L5" s="475" t="s">
        <v>411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412</v>
      </c>
      <c r="D7" s="250"/>
    </row>
    <row r="8" spans="1:13" x14ac:dyDescent="0.25">
      <c r="C8" t="s">
        <v>403</v>
      </c>
      <c r="D8" s="250"/>
      <c r="E8" s="402">
        <f>Data!AS46</f>
        <v>25.237500000000001</v>
      </c>
      <c r="F8" s="402">
        <f>Data!AT46</f>
        <v>1697851.9799999997</v>
      </c>
      <c r="G8" s="402">
        <f>Data!AU46</f>
        <v>672238.56999999983</v>
      </c>
      <c r="H8" s="402">
        <f>Data!AV46</f>
        <v>1540489.9000000001</v>
      </c>
      <c r="I8" s="402">
        <f>Data!AW46</f>
        <v>291250</v>
      </c>
      <c r="J8" s="402">
        <f>Data!AX46</f>
        <v>320657.03679900005</v>
      </c>
      <c r="K8" s="402">
        <f>Data!AY46</f>
        <v>1540489.9000000001</v>
      </c>
      <c r="L8" s="402">
        <f>Data!AZ46</f>
        <v>291250</v>
      </c>
      <c r="M8" s="402">
        <f>Data!BA46</f>
        <v>313222.51714900002</v>
      </c>
    </row>
    <row r="9" spans="1:13" x14ac:dyDescent="0.25">
      <c r="B9" t="s">
        <v>413</v>
      </c>
      <c r="D9" s="250"/>
      <c r="E9" s="403">
        <f>Data!AS47</f>
        <v>25.237500000000001</v>
      </c>
      <c r="F9" s="403">
        <f>Data!AT47</f>
        <v>1697851.9799999997</v>
      </c>
      <c r="G9" s="403">
        <f>Data!AU47</f>
        <v>672238.56999999983</v>
      </c>
      <c r="H9" s="403">
        <f>Data!AV47</f>
        <v>1540489.9000000001</v>
      </c>
      <c r="I9" s="403">
        <f>Data!AW47</f>
        <v>291250</v>
      </c>
      <c r="J9" s="403">
        <f>Data!AX47</f>
        <v>320657.03679900005</v>
      </c>
      <c r="K9" s="403">
        <f>Data!AY47</f>
        <v>1540489.9000000001</v>
      </c>
      <c r="L9" s="403">
        <f>Data!AZ47</f>
        <v>291250</v>
      </c>
      <c r="M9" s="403">
        <f>Data!BA47</f>
        <v>313222.51714900002</v>
      </c>
    </row>
    <row r="10" spans="1:13" x14ac:dyDescent="0.25">
      <c r="D10" s="250"/>
      <c r="E10" s="402">
        <f>Data!AS48</f>
        <v>0</v>
      </c>
      <c r="F10" s="402">
        <f>Data!AT48</f>
        <v>0</v>
      </c>
      <c r="G10" s="402">
        <f>Data!AU48</f>
        <v>0</v>
      </c>
      <c r="H10" s="402">
        <f>Data!AV48</f>
        <v>0</v>
      </c>
      <c r="I10" s="402">
        <f>Data!AW48</f>
        <v>0</v>
      </c>
      <c r="J10" s="402">
        <f>Data!AX48</f>
        <v>0</v>
      </c>
      <c r="K10" s="402">
        <f>Data!AY48</f>
        <v>0</v>
      </c>
      <c r="L10" s="402">
        <f>Data!AZ48</f>
        <v>0</v>
      </c>
      <c r="M10" s="402">
        <f>Data!BA48</f>
        <v>0</v>
      </c>
    </row>
    <row r="11" spans="1:13" x14ac:dyDescent="0.25">
      <c r="A11" s="396" t="s">
        <v>414</v>
      </c>
      <c r="D11" s="250"/>
      <c r="E11" s="404">
        <f>Data!AS49</f>
        <v>25.237500000000001</v>
      </c>
      <c r="F11" s="404">
        <f>Data!AT49</f>
        <v>1697851.9799999997</v>
      </c>
      <c r="G11" s="404">
        <f>Data!AU49</f>
        <v>672238.56999999983</v>
      </c>
      <c r="H11" s="404">
        <f>Data!AV49</f>
        <v>1540489.9000000001</v>
      </c>
      <c r="I11" s="404">
        <f>Data!AW49</f>
        <v>291250</v>
      </c>
      <c r="J11" s="404">
        <f>Data!AX49</f>
        <v>320657.03679900005</v>
      </c>
      <c r="K11" s="404">
        <f>Data!AY49</f>
        <v>1540489.9000000001</v>
      </c>
      <c r="L11" s="404">
        <f>Data!AZ49</f>
        <v>291250</v>
      </c>
      <c r="M11" s="404">
        <f>Data!BA49</f>
        <v>313222.51714900002</v>
      </c>
    </row>
    <row r="12" spans="1:13" x14ac:dyDescent="0.25">
      <c r="D12" s="250"/>
      <c r="E12" s="402">
        <f>Data!AS50</f>
        <v>0</v>
      </c>
      <c r="F12" s="402">
        <f>Data!AT50</f>
        <v>0</v>
      </c>
      <c r="G12" s="402">
        <f>Data!AU50</f>
        <v>0</v>
      </c>
      <c r="H12" s="402">
        <f>Data!AV50</f>
        <v>0</v>
      </c>
      <c r="I12" s="402">
        <f>Data!AW50</f>
        <v>0</v>
      </c>
      <c r="J12" s="402">
        <f>Data!AX50</f>
        <v>0</v>
      </c>
      <c r="K12" s="402">
        <f>Data!AY50</f>
        <v>0</v>
      </c>
      <c r="L12" s="402">
        <f>Data!AZ50</f>
        <v>0</v>
      </c>
      <c r="M12" s="402">
        <f>Data!BA50</f>
        <v>0</v>
      </c>
    </row>
    <row r="13" spans="1:13" x14ac:dyDescent="0.25">
      <c r="A13" s="392" t="s">
        <v>415</v>
      </c>
      <c r="D13" s="250"/>
      <c r="E13" s="402">
        <f>Data!AS51</f>
        <v>0</v>
      </c>
      <c r="F13" s="402">
        <f>Data!AT51</f>
        <v>0</v>
      </c>
      <c r="G13" s="402">
        <f>Data!AU51</f>
        <v>0</v>
      </c>
      <c r="H13" s="402">
        <f>Data!AV51</f>
        <v>0</v>
      </c>
      <c r="I13" s="402">
        <f>Data!AW51</f>
        <v>0</v>
      </c>
      <c r="J13" s="402">
        <f>Data!AX51</f>
        <v>0</v>
      </c>
      <c r="K13" s="402">
        <f>Data!AY51</f>
        <v>0</v>
      </c>
      <c r="L13" s="402">
        <f>Data!AZ51</f>
        <v>0</v>
      </c>
      <c r="M13" s="402">
        <f>Data!BA51</f>
        <v>0</v>
      </c>
    </row>
    <row r="14" spans="1:13" x14ac:dyDescent="0.25">
      <c r="E14" s="402">
        <f>Data!AS52</f>
        <v>0</v>
      </c>
      <c r="F14" s="402">
        <f>Data!AT52</f>
        <v>0</v>
      </c>
      <c r="G14" s="402">
        <f>Data!AU52</f>
        <v>0</v>
      </c>
      <c r="H14" s="402">
        <f>Data!AV52</f>
        <v>0</v>
      </c>
      <c r="I14" s="402">
        <f>Data!AW52</f>
        <v>0</v>
      </c>
      <c r="J14" s="402">
        <f>Data!AX52</f>
        <v>0</v>
      </c>
      <c r="K14" s="402">
        <f>Data!AY52</f>
        <v>0</v>
      </c>
      <c r="L14" s="402">
        <f>Data!AZ52</f>
        <v>0</v>
      </c>
      <c r="M14" s="402">
        <f>Data!BA52</f>
        <v>0</v>
      </c>
    </row>
    <row r="15" spans="1:13" x14ac:dyDescent="0.25">
      <c r="A15" s="396" t="s">
        <v>416</v>
      </c>
      <c r="E15" s="402">
        <f>Data!AS53</f>
        <v>0</v>
      </c>
      <c r="F15" s="402">
        <f>Data!AT53</f>
        <v>0</v>
      </c>
      <c r="G15" s="402">
        <f>Data!AU53</f>
        <v>0</v>
      </c>
      <c r="H15" s="402">
        <f>Data!AV53</f>
        <v>0</v>
      </c>
      <c r="I15" s="402">
        <f>Data!AW53</f>
        <v>0</v>
      </c>
      <c r="J15" s="402">
        <f>Data!AX53</f>
        <v>0</v>
      </c>
      <c r="K15" s="402">
        <f>Data!AY53</f>
        <v>0</v>
      </c>
      <c r="L15" s="402">
        <f>Data!AZ53</f>
        <v>0</v>
      </c>
      <c r="M15" s="402">
        <f>Data!BA53</f>
        <v>0</v>
      </c>
    </row>
    <row r="16" spans="1:13" x14ac:dyDescent="0.25">
      <c r="E16" s="402">
        <f>Data!AS54</f>
        <v>0</v>
      </c>
      <c r="F16" s="402">
        <f>Data!AT54</f>
        <v>0</v>
      </c>
      <c r="G16" s="402">
        <f>Data!AU54</f>
        <v>0</v>
      </c>
      <c r="H16" s="402">
        <f>Data!AV54</f>
        <v>0</v>
      </c>
      <c r="I16" s="402">
        <f>Data!AW54</f>
        <v>0</v>
      </c>
      <c r="J16" s="402">
        <f>Data!AX54</f>
        <v>0</v>
      </c>
      <c r="K16" s="402">
        <f>Data!AY54</f>
        <v>0</v>
      </c>
      <c r="L16" s="402">
        <f>Data!AZ54</f>
        <v>0</v>
      </c>
      <c r="M16" s="402">
        <f>Data!BA54</f>
        <v>0</v>
      </c>
    </row>
    <row r="17" spans="1:13" x14ac:dyDescent="0.25">
      <c r="A17" s="397" t="s">
        <v>417</v>
      </c>
      <c r="E17" s="400">
        <f>Data!AS55</f>
        <v>25.237500000000001</v>
      </c>
      <c r="F17" s="401">
        <f>Data!AT55</f>
        <v>1697851.9799999997</v>
      </c>
      <c r="G17" s="401">
        <f>Data!AU55</f>
        <v>672238.56999999983</v>
      </c>
      <c r="H17" s="401">
        <f>Data!AV55</f>
        <v>1540489.9000000001</v>
      </c>
      <c r="I17" s="401">
        <f>Data!AW55</f>
        <v>291250</v>
      </c>
      <c r="J17" s="401">
        <f>Data!AX55</f>
        <v>320657.03679900005</v>
      </c>
      <c r="K17" s="401">
        <f>Data!AY55</f>
        <v>1540489.9000000001</v>
      </c>
      <c r="L17" s="401">
        <f>Data!AZ55</f>
        <v>291250</v>
      </c>
      <c r="M17" s="401">
        <f>Data!BA55</f>
        <v>313222.51714900002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Secretary of State&amp;R&amp;"Arial"&amp;10 Agency 130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SSAA|0001-00</vt:lpstr>
      <vt:lpstr>Data</vt:lpstr>
      <vt:lpstr>Benefits</vt:lpstr>
      <vt:lpstr>B6</vt:lpstr>
      <vt:lpstr>Summary</vt:lpstr>
      <vt:lpstr>FundSummary</vt:lpstr>
      <vt:lpstr>'SSAA|0001-00'!AdjGroupHlth</vt:lpstr>
      <vt:lpstr>AdjGroupHlth</vt:lpstr>
      <vt:lpstr>'SSAA|0001-00'!AdjGroupSalary</vt:lpstr>
      <vt:lpstr>AdjGroupSalary</vt:lpstr>
      <vt:lpstr>'SSAA|0001-00'!AdjGroupVB</vt:lpstr>
      <vt:lpstr>AdjGroupVB</vt:lpstr>
      <vt:lpstr>'SSAA|0001-00'!AdjGroupVBBY</vt:lpstr>
      <vt:lpstr>AdjGroupVBBY</vt:lpstr>
      <vt:lpstr>'SSAA|0001-00'!AdjPermHlth</vt:lpstr>
      <vt:lpstr>AdjPermHlth</vt:lpstr>
      <vt:lpstr>'SSAA|0001-00'!AdjPermHlthBY</vt:lpstr>
      <vt:lpstr>AdjPermHlthBY</vt:lpstr>
      <vt:lpstr>'SSAA|0001-00'!AdjPermSalary</vt:lpstr>
      <vt:lpstr>AdjPermSalary</vt:lpstr>
      <vt:lpstr>'SSAA|0001-00'!AdjPermVB</vt:lpstr>
      <vt:lpstr>AdjPermVB</vt:lpstr>
      <vt:lpstr>'SSAA|0001-00'!AdjPermVBBY</vt:lpstr>
      <vt:lpstr>AdjPermVBBY</vt:lpstr>
      <vt:lpstr>'SSAA|0001-00'!AdjustedTotal</vt:lpstr>
      <vt:lpstr>AdjustedTotal</vt:lpstr>
      <vt:lpstr>'SSAA|0001-00'!AgencyNum</vt:lpstr>
      <vt:lpstr>AgencyNum</vt:lpstr>
      <vt:lpstr>'SSAA|0001-00'!AppropFTP</vt:lpstr>
      <vt:lpstr>AppropFTP</vt:lpstr>
      <vt:lpstr>'SSAA|0001-00'!AppropTotal</vt:lpstr>
      <vt:lpstr>AppropTotal</vt:lpstr>
      <vt:lpstr>'SSAA|0001-00'!AtZHealth</vt:lpstr>
      <vt:lpstr>AtZHealth</vt:lpstr>
      <vt:lpstr>'SSAA|0001-00'!AtZSalary</vt:lpstr>
      <vt:lpstr>AtZSalary</vt:lpstr>
      <vt:lpstr>'SSAA|0001-00'!AtZTotal</vt:lpstr>
      <vt:lpstr>AtZTotal</vt:lpstr>
      <vt:lpstr>'SSAA|0001-00'!AtZVarBen</vt:lpstr>
      <vt:lpstr>AtZVarBen</vt:lpstr>
      <vt:lpstr>'SSAA|0001-00'!BudgetUnit</vt:lpstr>
      <vt:lpstr>BudgetUnit</vt:lpstr>
      <vt:lpstr>BudgetYear</vt:lpstr>
      <vt:lpstr>CECGroup</vt:lpstr>
      <vt:lpstr>'SSAA|0001-00'!CECOrigElectSalary</vt:lpstr>
      <vt:lpstr>CECOrigElectSalary</vt:lpstr>
      <vt:lpstr>'SSAA|0001-00'!CECOrigElectVB</vt:lpstr>
      <vt:lpstr>CECOrigElectVB</vt:lpstr>
      <vt:lpstr>'SSAA|0001-00'!CECOrigGroupSalary</vt:lpstr>
      <vt:lpstr>CECOrigGroupSalary</vt:lpstr>
      <vt:lpstr>'SSAA|0001-00'!CECOrigGroupVB</vt:lpstr>
      <vt:lpstr>CECOrigGroupVB</vt:lpstr>
      <vt:lpstr>'SSAA|0001-00'!CECOrigPermSalary</vt:lpstr>
      <vt:lpstr>CECOrigPermSalary</vt:lpstr>
      <vt:lpstr>'SSAA|0001-00'!CECOrigPermVB</vt:lpstr>
      <vt:lpstr>CECOrigPermVB</vt:lpstr>
      <vt:lpstr>CECPerm</vt:lpstr>
      <vt:lpstr>'SSAA|0001-00'!CECpermCalc</vt:lpstr>
      <vt:lpstr>CECpermCalc</vt:lpstr>
      <vt:lpstr>'SSAA|0001-00'!Department</vt:lpstr>
      <vt:lpstr>Department</vt:lpstr>
      <vt:lpstr>DHR</vt:lpstr>
      <vt:lpstr>DHRBY</vt:lpstr>
      <vt:lpstr>DHRCHG</vt:lpstr>
      <vt:lpstr>'SSAA|0001-00'!Division</vt:lpstr>
      <vt:lpstr>Division</vt:lpstr>
      <vt:lpstr>'SSAA|0001-00'!DUCECElect</vt:lpstr>
      <vt:lpstr>DUCECElect</vt:lpstr>
      <vt:lpstr>'SSAA|0001-00'!DUCECGroup</vt:lpstr>
      <vt:lpstr>DUCECGroup</vt:lpstr>
      <vt:lpstr>'SSAA|0001-00'!DUCECPerm</vt:lpstr>
      <vt:lpstr>DUCECPerm</vt:lpstr>
      <vt:lpstr>'SSAA|0001-00'!DUEleven</vt:lpstr>
      <vt:lpstr>DUEleven</vt:lpstr>
      <vt:lpstr>'SSAA|0001-00'!DUHealthBen</vt:lpstr>
      <vt:lpstr>DUHealthBen</vt:lpstr>
      <vt:lpstr>'SSAA|0001-00'!DUNine</vt:lpstr>
      <vt:lpstr>DUNine</vt:lpstr>
      <vt:lpstr>'SSAA|0001-00'!DUThirteen</vt:lpstr>
      <vt:lpstr>DUThirteen</vt:lpstr>
      <vt:lpstr>'SSAA|0001-00'!DUVariableBen</vt:lpstr>
      <vt:lpstr>DUVariableBen</vt:lpstr>
      <vt:lpstr>'SSAA|0001-00'!Elect_chg_health</vt:lpstr>
      <vt:lpstr>Elect_chg_health</vt:lpstr>
      <vt:lpstr>'SSAA|0001-00'!Elect_chg_Var</vt:lpstr>
      <vt:lpstr>Elect_chg_Var</vt:lpstr>
      <vt:lpstr>'SSAA|0001-00'!elect_FTP</vt:lpstr>
      <vt:lpstr>elect_FTP</vt:lpstr>
      <vt:lpstr>'SSAA|0001-00'!Elect_health</vt:lpstr>
      <vt:lpstr>Elect_health</vt:lpstr>
      <vt:lpstr>'SSAA|0001-00'!Elect_name</vt:lpstr>
      <vt:lpstr>Elect_name</vt:lpstr>
      <vt:lpstr>'SSAA|0001-00'!Elect_salary</vt:lpstr>
      <vt:lpstr>Elect_salary</vt:lpstr>
      <vt:lpstr>'SSAA|0001-00'!Elect_Var</vt:lpstr>
      <vt:lpstr>Elect_Var</vt:lpstr>
      <vt:lpstr>'SSAA|0001-00'!Elect_VarBen</vt:lpstr>
      <vt:lpstr>Elect_VarBen</vt:lpstr>
      <vt:lpstr>ElectVB</vt:lpstr>
      <vt:lpstr>ElectVBBY</vt:lpstr>
      <vt:lpstr>ElectVBCHG</vt:lpstr>
      <vt:lpstr>FillRate_Avg</vt:lpstr>
      <vt:lpstr>'SSAA|0001-00'!FiscalYear</vt:lpstr>
      <vt:lpstr>FiscalYear</vt:lpstr>
      <vt:lpstr>'SSAA|0001-00'!FundName</vt:lpstr>
      <vt:lpstr>FundName</vt:lpstr>
      <vt:lpstr>'SSAA|0001-00'!FundNum</vt:lpstr>
      <vt:lpstr>FundNum</vt:lpstr>
      <vt:lpstr>'SSAA|0001-00'!FundNumber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'SSAA|0001-00'!Group_name</vt:lpstr>
      <vt:lpstr>Group_name</vt:lpstr>
      <vt:lpstr>'SSAA|0001-00'!GroupFxdBen</vt:lpstr>
      <vt:lpstr>GroupFxdBen</vt:lpstr>
      <vt:lpstr>'SSAA|0001-00'!GroupSalary</vt:lpstr>
      <vt:lpstr>GroupSalary</vt:lpstr>
      <vt:lpstr>'SSAA|0001-00'!GroupVarBen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'SSAA|0001-00'!LUMAFund</vt:lpstr>
      <vt:lpstr>LUMAFund</vt:lpstr>
      <vt:lpstr>MAXSSDI</vt:lpstr>
      <vt:lpstr>MAXSSDIBY</vt:lpstr>
      <vt:lpstr>'SSAA|0001-00'!NEW_AdjGroup</vt:lpstr>
      <vt:lpstr>NEW_AdjGroup</vt:lpstr>
      <vt:lpstr>'SSAA|0001-00'!NEW_AdjGroupSalary</vt:lpstr>
      <vt:lpstr>NEW_AdjGroupSalary</vt:lpstr>
      <vt:lpstr>'SSAA|0001-00'!NEW_AdjGroupVB</vt:lpstr>
      <vt:lpstr>NEW_AdjGroupVB</vt:lpstr>
      <vt:lpstr>'SSAA|0001-00'!NEW_AdjONLYGroup</vt:lpstr>
      <vt:lpstr>NEW_AdjONLYGroup</vt:lpstr>
      <vt:lpstr>'SSAA|0001-00'!NEW_AdjONLYGroupSalary</vt:lpstr>
      <vt:lpstr>NEW_AdjONLYGroupSalary</vt:lpstr>
      <vt:lpstr>'SSAA|0001-00'!NEW_AdjONLYGroupVB</vt:lpstr>
      <vt:lpstr>NEW_AdjONLYGroupVB</vt:lpstr>
      <vt:lpstr>'SSAA|0001-00'!NEW_AdjONLYPerm</vt:lpstr>
      <vt:lpstr>NEW_AdjONLYPerm</vt:lpstr>
      <vt:lpstr>'SSAA|0001-00'!NEW_AdjONLYPermSalary</vt:lpstr>
      <vt:lpstr>NEW_AdjONLYPermSalary</vt:lpstr>
      <vt:lpstr>'SSAA|0001-00'!NEW_AdjONLYPermVB</vt:lpstr>
      <vt:lpstr>NEW_AdjONLYPermVB</vt:lpstr>
      <vt:lpstr>'SSAA|0001-00'!NEW_AdjPerm</vt:lpstr>
      <vt:lpstr>NEW_AdjPerm</vt:lpstr>
      <vt:lpstr>'SSAA|0001-00'!NEW_AdjPermSalary</vt:lpstr>
      <vt:lpstr>NEW_AdjPermSalary</vt:lpstr>
      <vt:lpstr>'SSAA|0001-00'!NEW_AdjPermVB</vt:lpstr>
      <vt:lpstr>NEW_AdjPermVB</vt:lpstr>
      <vt:lpstr>'SSAA|0001-00'!NEW_GroupFilled</vt:lpstr>
      <vt:lpstr>NEW_GroupFilled</vt:lpstr>
      <vt:lpstr>'SSAA|0001-00'!NEW_GroupSalaryFilled</vt:lpstr>
      <vt:lpstr>NEW_GroupSalaryFilled</vt:lpstr>
      <vt:lpstr>'SSAA|0001-00'!NEW_GroupVBFilled</vt:lpstr>
      <vt:lpstr>NEW_GroupVBFilled</vt:lpstr>
      <vt:lpstr>'SSAA|0001-00'!NEW_PermFilled</vt:lpstr>
      <vt:lpstr>NEW_PermFilled</vt:lpstr>
      <vt:lpstr>'SSAA|0001-00'!NEW_PermSalaryFilled</vt:lpstr>
      <vt:lpstr>NEW_PermSalaryFilled</vt:lpstr>
      <vt:lpstr>'SSAA|0001-00'!NEW_PermVBFilled</vt:lpstr>
      <vt:lpstr>NEW_PermVBFilled</vt:lpstr>
      <vt:lpstr>'SSAA|0001-00'!OneTimePC_Total</vt:lpstr>
      <vt:lpstr>OneTimePC_Total</vt:lpstr>
      <vt:lpstr>'SSAA|0001-00'!OrigApprop</vt:lpstr>
      <vt:lpstr>OrigApprop</vt:lpstr>
      <vt:lpstr>'SSAA|0001-00'!perm_name</vt:lpstr>
      <vt:lpstr>perm_name</vt:lpstr>
      <vt:lpstr>'SSAA|0001-00'!PermFTP</vt:lpstr>
      <vt:lpstr>PermFTP</vt:lpstr>
      <vt:lpstr>'SSAA|0001-00'!PermFxdBen</vt:lpstr>
      <vt:lpstr>PermFxdBen</vt:lpstr>
      <vt:lpstr>'SSAA|0001-00'!PermFxdBenChg</vt:lpstr>
      <vt:lpstr>PermFxdBenChg</vt:lpstr>
      <vt:lpstr>'SSAA|0001-00'!PermFxdChg</vt:lpstr>
      <vt:lpstr>PermFxdChg</vt:lpstr>
      <vt:lpstr>'SSAA|0001-00'!PermSalary</vt:lpstr>
      <vt:lpstr>PermSalary</vt:lpstr>
      <vt:lpstr>'SSAA|0001-00'!PermVarBen</vt:lpstr>
      <vt:lpstr>PermVarBen</vt:lpstr>
      <vt:lpstr>'SSAA|0001-00'!PermVarBenChg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'SSAA|0001-00'!Print_Area</vt:lpstr>
      <vt:lpstr>'SSAA|0001-00'!Prog_Unadjusted_Total</vt:lpstr>
      <vt:lpstr>Prog_Unadjusted_Total</vt:lpstr>
      <vt:lpstr>'SSAA|0001-00'!Program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'SSAA|0001-00'!RoundedAppropSalary</vt:lpstr>
      <vt:lpstr>RoundedAppropSalary</vt:lpstr>
      <vt:lpstr>'SSAA|0001-00'!SalaryChg</vt:lpstr>
      <vt:lpstr>SalaryChg</vt:lpstr>
      <vt:lpstr>Sick</vt:lpstr>
      <vt:lpstr>SickBY</vt:lpstr>
      <vt:lpstr>SickCHG</vt:lpstr>
      <vt:lpstr>SSAA000100col_1_27TH_PP</vt:lpstr>
      <vt:lpstr>SSAA000100col_DHR</vt:lpstr>
      <vt:lpstr>SSAA000100col_DHR_BY</vt:lpstr>
      <vt:lpstr>SSAA000100col_DHR_CHG</vt:lpstr>
      <vt:lpstr>SSAA000100col_FTI_SALARY_ELECT</vt:lpstr>
      <vt:lpstr>SSAA000100col_FTI_SALARY_PERM</vt:lpstr>
      <vt:lpstr>SSAA000100col_FTI_SALARY_SSDI</vt:lpstr>
      <vt:lpstr>SSAA000100col_Group_Ben</vt:lpstr>
      <vt:lpstr>SSAA000100col_Group_Salary</vt:lpstr>
      <vt:lpstr>SSAA000100col_HEALTH_ELECT</vt:lpstr>
      <vt:lpstr>SSAA000100col_HEALTH_ELECT_BY</vt:lpstr>
      <vt:lpstr>SSAA000100col_HEALTH_ELECT_CHG</vt:lpstr>
      <vt:lpstr>SSAA000100col_HEALTH_PERM</vt:lpstr>
      <vt:lpstr>SSAA000100col_HEALTH_PERM_BY</vt:lpstr>
      <vt:lpstr>SSAA000100col_HEALTH_PERM_CHG</vt:lpstr>
      <vt:lpstr>SSAA000100col_INC_FTI</vt:lpstr>
      <vt:lpstr>SSAA000100col_LIFE_INS</vt:lpstr>
      <vt:lpstr>SSAA000100col_LIFE_INS_BY</vt:lpstr>
      <vt:lpstr>SSAA000100col_LIFE_INS_CHG</vt:lpstr>
      <vt:lpstr>SSAA000100col_RETIREMENT</vt:lpstr>
      <vt:lpstr>SSAA000100col_RETIREMENT_BY</vt:lpstr>
      <vt:lpstr>SSAA000100col_RETIREMENT_CHG</vt:lpstr>
      <vt:lpstr>SSAA000100col_ROWS_PER_PCN</vt:lpstr>
      <vt:lpstr>SSAA000100col_SICK</vt:lpstr>
      <vt:lpstr>SSAA000100col_SICK_BY</vt:lpstr>
      <vt:lpstr>SSAA000100col_SICK_CHG</vt:lpstr>
      <vt:lpstr>SSAA000100col_SSDI</vt:lpstr>
      <vt:lpstr>SSAA000100col_SSDI_BY</vt:lpstr>
      <vt:lpstr>SSAA000100col_SSDI_CHG</vt:lpstr>
      <vt:lpstr>SSAA000100col_SSHI</vt:lpstr>
      <vt:lpstr>SSAA000100col_SSHI_BY</vt:lpstr>
      <vt:lpstr>SSAA000100col_SSHI_CHGv</vt:lpstr>
      <vt:lpstr>SSAA000100col_TOT_VB_ELECT</vt:lpstr>
      <vt:lpstr>SSAA000100col_TOT_VB_ELECT_BY</vt:lpstr>
      <vt:lpstr>SSAA000100col_TOT_VB_ELECT_CHG</vt:lpstr>
      <vt:lpstr>SSAA000100col_TOT_VB_PERM</vt:lpstr>
      <vt:lpstr>SSAA000100col_TOT_VB_PERM_BY</vt:lpstr>
      <vt:lpstr>SSAA000100col_TOT_VB_PERM_CHG</vt:lpstr>
      <vt:lpstr>SSAA000100col_TOTAL_ELECT_PCN_FTI</vt:lpstr>
      <vt:lpstr>SSAA000100col_TOTAL_ELECT_PCN_FTI_ALT</vt:lpstr>
      <vt:lpstr>SSAA000100col_TOTAL_PERM_PCN_FTI</vt:lpstr>
      <vt:lpstr>SSAA000100col_UNEMP_INS</vt:lpstr>
      <vt:lpstr>SSAA000100col_UNEMP_INS_BY</vt:lpstr>
      <vt:lpstr>SSAA000100col_UNEMP_INS_CHG</vt:lpstr>
      <vt:lpstr>SSAA000100col_WORKERS_COMP</vt:lpstr>
      <vt:lpstr>SSAA000100col_WORKERS_COMP_BY</vt:lpstr>
      <vt:lpstr>SSAA000100col_WORKERS_COMP_CHG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133 B6</dc:title>
  <dc:subject>B6</dc:subject>
  <dc:creator>Shane Winslow</dc:creator>
  <cp:lastModifiedBy>Max Flom</cp:lastModifiedBy>
  <cp:lastPrinted>2019-06-21T15:46:35Z</cp:lastPrinted>
  <dcterms:created xsi:type="dcterms:W3CDTF">2013-05-01T19:55:41Z</dcterms:created>
  <dcterms:modified xsi:type="dcterms:W3CDTF">2021-07-15T21:07:59Z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