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2B600446-A156-42C7-90E7-F479BF23ACAC}" xr6:coauthVersionLast="45" xr6:coauthVersionMax="45" xr10:uidLastSave="{00000000-0000-0000-0000-000000000000}"/>
  <bookViews>
    <workbookView xWindow="-28710" yWindow="1560" windowWidth="27990" windowHeight="14025" xr2:uid="{00000000-000D-0000-FFFF-FFFF00000000}"/>
  </bookViews>
  <sheets>
    <sheet name="SCAA|0001-00" sheetId="12" r:id="rId1"/>
    <sheet name="SCBA|0001-00" sheetId="13" r:id="rId2"/>
    <sheet name="SCCA|0001-00" sheetId="14" r:id="rId3"/>
    <sheet name="SCDA|0480-00" sheetId="15" r:id="rId4"/>
    <sheet name="Data" sheetId="5" r:id="rId5"/>
    <sheet name="Benefits" sheetId="7" r:id="rId6"/>
    <sheet name="B6" sheetId="9" r:id="rId7"/>
    <sheet name="Summary" sheetId="10" r:id="rId8"/>
    <sheet name="FundSummary" sheetId="11" r:id="rId9"/>
  </sheets>
  <definedNames>
    <definedName name="AdjGroupHlth" localSheetId="0">'SCAA|0001-00'!$H$39</definedName>
    <definedName name="AdjGroupHlth" localSheetId="1">'SCBA|0001-00'!$H$39</definedName>
    <definedName name="AdjGroupHlth" localSheetId="2">'SCCA|0001-00'!$H$39</definedName>
    <definedName name="AdjGroupHlth" localSheetId="3">'SCDA|0480-00'!$H$39</definedName>
    <definedName name="AdjGroupHlth">'B6'!$H$39</definedName>
    <definedName name="AdjGroupSalary" localSheetId="0">'SCAA|0001-00'!$G$39</definedName>
    <definedName name="AdjGroupSalary" localSheetId="1">'SCBA|0001-00'!$G$39</definedName>
    <definedName name="AdjGroupSalary" localSheetId="2">'SCCA|0001-00'!$G$39</definedName>
    <definedName name="AdjGroupSalary" localSheetId="3">'SCDA|0480-00'!$G$39</definedName>
    <definedName name="AdjGroupSalary">'B6'!$G$39</definedName>
    <definedName name="AdjGroupVB" localSheetId="0">'SCAA|0001-00'!$I$39</definedName>
    <definedName name="AdjGroupVB" localSheetId="1">'SCBA|0001-00'!$I$39</definedName>
    <definedName name="AdjGroupVB" localSheetId="2">'SCCA|0001-00'!$I$39</definedName>
    <definedName name="AdjGroupVB" localSheetId="3">'SCDA|0480-00'!$I$39</definedName>
    <definedName name="AdjGroupVB">'B6'!$I$39</definedName>
    <definedName name="AdjGroupVBBY" localSheetId="0">'SCAA|0001-00'!$M$39</definedName>
    <definedName name="AdjGroupVBBY" localSheetId="1">'SCBA|0001-00'!$M$39</definedName>
    <definedName name="AdjGroupVBBY" localSheetId="2">'SCCA|0001-00'!$M$39</definedName>
    <definedName name="AdjGroupVBBY" localSheetId="3">'SCDA|0480-00'!$M$39</definedName>
    <definedName name="AdjGroupVBBY">'B6'!$M$39</definedName>
    <definedName name="AdjPermHlth" localSheetId="0">'SCAA|0001-00'!$H$38</definedName>
    <definedName name="AdjPermHlth" localSheetId="1">'SCBA|0001-00'!$H$38</definedName>
    <definedName name="AdjPermHlth" localSheetId="2">'SCCA|0001-00'!$H$38</definedName>
    <definedName name="AdjPermHlth" localSheetId="3">'SCDA|0480-00'!$H$38</definedName>
    <definedName name="AdjPermHlth">'B6'!$H$38</definedName>
    <definedName name="AdjPermHlthBY" localSheetId="0">'SCAA|0001-00'!$L$38</definedName>
    <definedName name="AdjPermHlthBY" localSheetId="1">'SCBA|0001-00'!$L$38</definedName>
    <definedName name="AdjPermHlthBY" localSheetId="2">'SCCA|0001-00'!$L$38</definedName>
    <definedName name="AdjPermHlthBY" localSheetId="3">'SCDA|0480-00'!$L$38</definedName>
    <definedName name="AdjPermHlthBY">'B6'!$L$38</definedName>
    <definedName name="AdjPermSalary" localSheetId="0">'SCAA|0001-00'!$G$38</definedName>
    <definedName name="AdjPermSalary" localSheetId="1">'SCBA|0001-00'!$G$38</definedName>
    <definedName name="AdjPermSalary" localSheetId="2">'SCCA|0001-00'!$G$38</definedName>
    <definedName name="AdjPermSalary" localSheetId="3">'SCDA|0480-00'!$G$38</definedName>
    <definedName name="AdjPermSalary">'B6'!$G$38</definedName>
    <definedName name="AdjPermVB" localSheetId="0">'SCAA|0001-00'!$I$38</definedName>
    <definedName name="AdjPermVB" localSheetId="1">'SCBA|0001-00'!$I$38</definedName>
    <definedName name="AdjPermVB" localSheetId="2">'SCCA|0001-00'!$I$38</definedName>
    <definedName name="AdjPermVB" localSheetId="3">'SCDA|0480-00'!$I$38</definedName>
    <definedName name="AdjPermVB">'B6'!$I$38</definedName>
    <definedName name="AdjPermVBBY" localSheetId="0">'SCAA|0001-00'!$M$38</definedName>
    <definedName name="AdjPermVBBY" localSheetId="1">'SCBA|0001-00'!$M$38</definedName>
    <definedName name="AdjPermVBBY" localSheetId="2">'SCCA|0001-00'!$M$38</definedName>
    <definedName name="AdjPermVBBY" localSheetId="3">'SCDA|0480-00'!$M$38</definedName>
    <definedName name="AdjPermVBBY">'B6'!$M$38</definedName>
    <definedName name="AdjustedTotal" localSheetId="0">'SCAA|0001-00'!$J$16</definedName>
    <definedName name="AdjustedTotal" localSheetId="1">'SCBA|0001-00'!$J$16</definedName>
    <definedName name="AdjustedTotal" localSheetId="2">'SCCA|0001-00'!$J$16</definedName>
    <definedName name="AdjustedTotal" localSheetId="3">'SCDA|0480-00'!$J$16</definedName>
    <definedName name="AdjustedTotal">'B6'!$J$16</definedName>
    <definedName name="AgencyNum" localSheetId="0">'SCAA|0001-00'!$M$1</definedName>
    <definedName name="AgencyNum" localSheetId="1">'SCBA|0001-00'!$M$1</definedName>
    <definedName name="AgencyNum" localSheetId="2">'SCCA|0001-00'!$M$1</definedName>
    <definedName name="AgencyNum" localSheetId="3">'SCDA|0480-00'!$M$1</definedName>
    <definedName name="AgencyNum">'B6'!$M$1</definedName>
    <definedName name="AppropFTP" localSheetId="0">'SCAA|0001-00'!$F$15</definedName>
    <definedName name="AppropFTP" localSheetId="1">'SCBA|0001-00'!$F$15</definedName>
    <definedName name="AppropFTP" localSheetId="2">'SCCA|0001-00'!$F$15</definedName>
    <definedName name="AppropFTP" localSheetId="3">'SCDA|0480-00'!$F$15</definedName>
    <definedName name="AppropFTP">'B6'!$F$15</definedName>
    <definedName name="AppropTotal" localSheetId="0">'SCAA|0001-00'!$J$15</definedName>
    <definedName name="AppropTotal" localSheetId="1">'SCBA|0001-00'!$J$15</definedName>
    <definedName name="AppropTotal" localSheetId="2">'SCCA|0001-00'!$J$15</definedName>
    <definedName name="AppropTotal" localSheetId="3">'SCDA|0480-00'!$J$15</definedName>
    <definedName name="AppropTotal">'B6'!$J$15</definedName>
    <definedName name="AtZHealth" localSheetId="0">'SCAA|0001-00'!$H$45</definedName>
    <definedName name="AtZHealth" localSheetId="1">'SCBA|0001-00'!$H$45</definedName>
    <definedName name="AtZHealth" localSheetId="2">'SCCA|0001-00'!$H$45</definedName>
    <definedName name="AtZHealth" localSheetId="3">'SCDA|0480-00'!$H$45</definedName>
    <definedName name="AtZHealth">'B6'!$H$45</definedName>
    <definedName name="AtZSalary" localSheetId="0">'SCAA|0001-00'!$G$45</definedName>
    <definedName name="AtZSalary" localSheetId="1">'SCBA|0001-00'!$G$45</definedName>
    <definedName name="AtZSalary" localSheetId="2">'SCCA|0001-00'!$G$45</definedName>
    <definedName name="AtZSalary" localSheetId="3">'SCDA|0480-00'!$G$45</definedName>
    <definedName name="AtZSalary">'B6'!$G$45</definedName>
    <definedName name="AtZTotal" localSheetId="0">'SCAA|0001-00'!$J$45</definedName>
    <definedName name="AtZTotal" localSheetId="1">'SCBA|0001-00'!$J$45</definedName>
    <definedName name="AtZTotal" localSheetId="2">'SCCA|0001-00'!$J$45</definedName>
    <definedName name="AtZTotal" localSheetId="3">'SCDA|0480-00'!$J$45</definedName>
    <definedName name="AtZTotal">'B6'!$J$45</definedName>
    <definedName name="AtZVarBen" localSheetId="0">'SCAA|0001-00'!$I$45</definedName>
    <definedName name="AtZVarBen" localSheetId="1">'SCBA|0001-00'!$I$45</definedName>
    <definedName name="AtZVarBen" localSheetId="2">'SCCA|0001-00'!$I$45</definedName>
    <definedName name="AtZVarBen" localSheetId="3">'SCDA|0480-00'!$I$45</definedName>
    <definedName name="AtZVarBen">'B6'!$I$45</definedName>
    <definedName name="BudgetUnit" localSheetId="0">'SCAA|0001-00'!$M$3</definedName>
    <definedName name="BudgetUnit" localSheetId="1">'SCBA|0001-00'!$M$3</definedName>
    <definedName name="BudgetUnit" localSheetId="2">'SCCA|0001-00'!$M$3</definedName>
    <definedName name="BudgetUnit" localSheetId="3">'SCDA|0480-00'!$M$3</definedName>
    <definedName name="BudgetUnit">'B6'!$M$3</definedName>
    <definedName name="BudgetYear">Benefits!$D$4</definedName>
    <definedName name="CECGroup">Benefits!$C$39</definedName>
    <definedName name="CECOrigElectSalary" localSheetId="0">'SCAA|0001-00'!$G$74</definedName>
    <definedName name="CECOrigElectSalary" localSheetId="1">'SCBA|0001-00'!$G$74</definedName>
    <definedName name="CECOrigElectSalary" localSheetId="2">'SCCA|0001-00'!$G$74</definedName>
    <definedName name="CECOrigElectSalary" localSheetId="3">'SCDA|0480-00'!$G$74</definedName>
    <definedName name="CECOrigElectSalary">'B6'!$G$74</definedName>
    <definedName name="CECOrigElectVB" localSheetId="0">'SCAA|0001-00'!$I$74</definedName>
    <definedName name="CECOrigElectVB" localSheetId="1">'SCBA|0001-00'!$I$74</definedName>
    <definedName name="CECOrigElectVB" localSheetId="2">'SCCA|0001-00'!$I$74</definedName>
    <definedName name="CECOrigElectVB" localSheetId="3">'SCDA|0480-00'!$I$74</definedName>
    <definedName name="CECOrigElectVB">'B6'!$I$74</definedName>
    <definedName name="CECOrigGroupSalary" localSheetId="0">'SCAA|0001-00'!$G$73</definedName>
    <definedName name="CECOrigGroupSalary" localSheetId="1">'SCBA|0001-00'!$G$73</definedName>
    <definedName name="CECOrigGroupSalary" localSheetId="2">'SCCA|0001-00'!$G$73</definedName>
    <definedName name="CECOrigGroupSalary" localSheetId="3">'SCDA|0480-00'!$G$73</definedName>
    <definedName name="CECOrigGroupSalary">'B6'!$G$73</definedName>
    <definedName name="CECOrigGroupVB" localSheetId="0">'SCAA|0001-00'!$I$73</definedName>
    <definedName name="CECOrigGroupVB" localSheetId="1">'SCBA|0001-00'!$I$73</definedName>
    <definedName name="CECOrigGroupVB" localSheetId="2">'SCCA|0001-00'!$I$73</definedName>
    <definedName name="CECOrigGroupVB" localSheetId="3">'SCDA|0480-00'!$I$73</definedName>
    <definedName name="CECOrigGroupVB">'B6'!$I$73</definedName>
    <definedName name="CECOrigPermSalary" localSheetId="0">'SCAA|0001-00'!$G$72</definedName>
    <definedName name="CECOrigPermSalary" localSheetId="1">'SCBA|0001-00'!$G$72</definedName>
    <definedName name="CECOrigPermSalary" localSheetId="2">'SCCA|0001-00'!$G$72</definedName>
    <definedName name="CECOrigPermSalary" localSheetId="3">'SCDA|0480-00'!$G$72</definedName>
    <definedName name="CECOrigPermSalary">'B6'!$G$72</definedName>
    <definedName name="CECOrigPermVB" localSheetId="0">'SCAA|0001-00'!$I$72</definedName>
    <definedName name="CECOrigPermVB" localSheetId="1">'SCBA|0001-00'!$I$72</definedName>
    <definedName name="CECOrigPermVB" localSheetId="2">'SCCA|0001-00'!$I$72</definedName>
    <definedName name="CECOrigPermVB" localSheetId="3">'SCDA|0480-00'!$I$72</definedName>
    <definedName name="CECOrigPermVB">'B6'!$I$72</definedName>
    <definedName name="CECPerm">Benefits!$C$38</definedName>
    <definedName name="CECpermCalc" localSheetId="0">'SCAA|0001-00'!$E$72</definedName>
    <definedName name="CECpermCalc" localSheetId="1">'SCBA|0001-00'!$E$72</definedName>
    <definedName name="CECpermCalc" localSheetId="2">'SCCA|0001-00'!$E$72</definedName>
    <definedName name="CECpermCalc" localSheetId="3">'SCDA|0480-00'!$E$72</definedName>
    <definedName name="CECpermCalc">'B6'!$E$72</definedName>
    <definedName name="Department" localSheetId="0">'SCAA|0001-00'!$D$1</definedName>
    <definedName name="Department" localSheetId="1">'SCBA|0001-00'!$D$1</definedName>
    <definedName name="Department" localSheetId="2">'SCCA|0001-00'!$D$1</definedName>
    <definedName name="Department" localSheetId="3">'SCDA|0480-00'!$D$1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'SCAA|0001-00'!$D$2</definedName>
    <definedName name="Division" localSheetId="1">'SCBA|0001-00'!$D$2</definedName>
    <definedName name="Division" localSheetId="2">'SCCA|0001-00'!$D$2</definedName>
    <definedName name="Division" localSheetId="3">'SCDA|0480-00'!$D$2</definedName>
    <definedName name="Division">'B6'!$D$2</definedName>
    <definedName name="DUCECElect" localSheetId="0">'SCAA|0001-00'!$J$74</definedName>
    <definedName name="DUCECElect" localSheetId="1">'SCBA|0001-00'!$J$74</definedName>
    <definedName name="DUCECElect" localSheetId="2">'SCCA|0001-00'!$J$74</definedName>
    <definedName name="DUCECElect" localSheetId="3">'SCDA|0480-00'!$J$74</definedName>
    <definedName name="DUCECElect">'B6'!$J$74</definedName>
    <definedName name="DUCECGroup" localSheetId="0">'SCAA|0001-00'!$J$73</definedName>
    <definedName name="DUCECGroup" localSheetId="1">'SCBA|0001-00'!$J$73</definedName>
    <definedName name="DUCECGroup" localSheetId="2">'SCCA|0001-00'!$J$73</definedName>
    <definedName name="DUCECGroup" localSheetId="3">'SCDA|0480-00'!$J$73</definedName>
    <definedName name="DUCECGroup">'B6'!$J$73</definedName>
    <definedName name="DUCECPerm" localSheetId="0">'SCAA|0001-00'!$J$72</definedName>
    <definedName name="DUCECPerm" localSheetId="1">'SCBA|0001-00'!$J$72</definedName>
    <definedName name="DUCECPerm" localSheetId="2">'SCCA|0001-00'!$J$72</definedName>
    <definedName name="DUCECPerm" localSheetId="3">'SCDA|0480-00'!$J$72</definedName>
    <definedName name="DUCECPerm">'B6'!$J$72</definedName>
    <definedName name="DUEleven" localSheetId="0">'SCAA|0001-00'!$J$75</definedName>
    <definedName name="DUEleven" localSheetId="1">'SCBA|0001-00'!$J$75</definedName>
    <definedName name="DUEleven" localSheetId="2">'SCCA|0001-00'!$J$75</definedName>
    <definedName name="DUEleven" localSheetId="3">'SCDA|0480-00'!$J$75</definedName>
    <definedName name="DUEleven">'B6'!$J$75</definedName>
    <definedName name="DUHealthBen" localSheetId="0">'SCAA|0001-00'!$J$68</definedName>
    <definedName name="DUHealthBen" localSheetId="1">'SCBA|0001-00'!$J$68</definedName>
    <definedName name="DUHealthBen" localSheetId="2">'SCCA|0001-00'!$J$68</definedName>
    <definedName name="DUHealthBen" localSheetId="3">'SCDA|0480-00'!$J$68</definedName>
    <definedName name="DUHealthBen">'B6'!$J$68</definedName>
    <definedName name="DUNine" localSheetId="0">'SCAA|0001-00'!$J$67</definedName>
    <definedName name="DUNine" localSheetId="1">'SCBA|0001-00'!$J$67</definedName>
    <definedName name="DUNine" localSheetId="2">'SCCA|0001-00'!$J$67</definedName>
    <definedName name="DUNine" localSheetId="3">'SCDA|0480-00'!$J$67</definedName>
    <definedName name="DUNine">'B6'!$J$67</definedName>
    <definedName name="DUThirteen" localSheetId="0">'SCAA|0001-00'!$J$80</definedName>
    <definedName name="DUThirteen" localSheetId="1">'SCBA|0001-00'!$J$80</definedName>
    <definedName name="DUThirteen" localSheetId="2">'SCCA|0001-00'!$J$80</definedName>
    <definedName name="DUThirteen" localSheetId="3">'SCDA|0480-00'!$J$80</definedName>
    <definedName name="DUThirteen">'B6'!$J$80</definedName>
    <definedName name="DUVariableBen" localSheetId="0">'SCAA|0001-00'!$J$69</definedName>
    <definedName name="DUVariableBen" localSheetId="1">'SCBA|0001-00'!$J$69</definedName>
    <definedName name="DUVariableBen" localSheetId="2">'SCCA|0001-00'!$J$69</definedName>
    <definedName name="DUVariableBen" localSheetId="3">'SCDA|0480-00'!$J$69</definedName>
    <definedName name="DUVariableBen">'B6'!$J$69</definedName>
    <definedName name="Elect_chg_health" localSheetId="0">'SCAA|0001-00'!$L$12</definedName>
    <definedName name="Elect_chg_health" localSheetId="1">'SCBA|0001-00'!$L$12</definedName>
    <definedName name="Elect_chg_health" localSheetId="2">'SCCA|0001-00'!$L$12</definedName>
    <definedName name="Elect_chg_health" localSheetId="3">'SCDA|0480-00'!$L$12</definedName>
    <definedName name="Elect_chg_health">'B6'!$L$12</definedName>
    <definedName name="Elect_chg_Var" localSheetId="0">'SCAA|0001-00'!$M$12</definedName>
    <definedName name="Elect_chg_Var" localSheetId="1">'SCBA|0001-00'!$M$12</definedName>
    <definedName name="Elect_chg_Var" localSheetId="2">'SCCA|0001-00'!$M$12</definedName>
    <definedName name="Elect_chg_Var" localSheetId="3">'SCDA|0480-00'!$M$12</definedName>
    <definedName name="Elect_chg_Var">'B6'!$M$12</definedName>
    <definedName name="elect_FTP" localSheetId="0">'SCAA|0001-00'!$F$12</definedName>
    <definedName name="elect_FTP" localSheetId="1">'SCBA|0001-00'!$F$12</definedName>
    <definedName name="elect_FTP" localSheetId="2">'SCCA|0001-00'!$F$12</definedName>
    <definedName name="elect_FTP" localSheetId="3">'SCDA|0480-00'!$F$12</definedName>
    <definedName name="elect_FTP">'B6'!$F$12</definedName>
    <definedName name="Elect_health" localSheetId="0">'SCAA|0001-00'!$H$12</definedName>
    <definedName name="Elect_health" localSheetId="1">'SCBA|0001-00'!$H$12</definedName>
    <definedName name="Elect_health" localSheetId="2">'SCCA|0001-00'!$H$12</definedName>
    <definedName name="Elect_health" localSheetId="3">'SCDA|0480-00'!$H$12</definedName>
    <definedName name="Elect_health">'B6'!$H$12</definedName>
    <definedName name="Elect_name" localSheetId="0">'SCAA|0001-00'!$C$12</definedName>
    <definedName name="Elect_name" localSheetId="1">'SCBA|0001-00'!$C$12</definedName>
    <definedName name="Elect_name" localSheetId="2">'SCCA|0001-00'!$C$12</definedName>
    <definedName name="Elect_name" localSheetId="3">'SCDA|0480-00'!$C$12</definedName>
    <definedName name="Elect_name">'B6'!$C$12</definedName>
    <definedName name="Elect_salary" localSheetId="0">'SCAA|0001-00'!$G$12</definedName>
    <definedName name="Elect_salary" localSheetId="1">'SCBA|0001-00'!$G$12</definedName>
    <definedName name="Elect_salary" localSheetId="2">'SCCA|0001-00'!$G$12</definedName>
    <definedName name="Elect_salary" localSheetId="3">'SCDA|0480-00'!$G$12</definedName>
    <definedName name="Elect_salary">'B6'!$G$12</definedName>
    <definedName name="Elect_Var" localSheetId="0">'SCAA|0001-00'!$I$12</definedName>
    <definedName name="Elect_Var" localSheetId="1">'SCBA|0001-00'!$I$12</definedName>
    <definedName name="Elect_Var" localSheetId="2">'SCCA|0001-00'!$I$12</definedName>
    <definedName name="Elect_Var" localSheetId="3">'SCDA|0480-00'!$I$12</definedName>
    <definedName name="Elect_Var">'B6'!$I$12</definedName>
    <definedName name="Elect_VarBen" localSheetId="0">'SCAA|0001-00'!$I$12</definedName>
    <definedName name="Elect_VarBen" localSheetId="1">'SCBA|0001-00'!$I$12</definedName>
    <definedName name="Elect_VarBen" localSheetId="2">'SCCA|0001-00'!$I$12</definedName>
    <definedName name="Elect_VarBen" localSheetId="3">'SCDA|0480-00'!$I$12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'SCAA|0001-00'!#REF!</definedName>
    <definedName name="FillRateAvg_B6" localSheetId="1">'SCBA|0001-00'!#REF!</definedName>
    <definedName name="FillRateAvg_B6" localSheetId="2">'SCCA|0001-00'!#REF!</definedName>
    <definedName name="FillRateAvg_B6" localSheetId="3">'SCDA|0480-00'!#REF!</definedName>
    <definedName name="FillRateAvg_B6">'B6'!#REF!</definedName>
    <definedName name="FiscalYear" localSheetId="0">'SCAA|0001-00'!$M$4</definedName>
    <definedName name="FiscalYear" localSheetId="1">'SCBA|0001-00'!$M$4</definedName>
    <definedName name="FiscalYear" localSheetId="2">'SCCA|0001-00'!$M$4</definedName>
    <definedName name="FiscalYear" localSheetId="3">'SCDA|0480-00'!$M$4</definedName>
    <definedName name="FiscalYear">'B6'!$M$4</definedName>
    <definedName name="FundName" localSheetId="0">'SCAA|0001-00'!$I$5</definedName>
    <definedName name="FundName" localSheetId="1">'SCBA|0001-00'!$I$5</definedName>
    <definedName name="FundName" localSheetId="2">'SCCA|0001-00'!$I$5</definedName>
    <definedName name="FundName" localSheetId="3">'SCDA|0480-00'!$I$5</definedName>
    <definedName name="FundName">'B6'!$I$5</definedName>
    <definedName name="FundNum" localSheetId="0">'SCAA|0001-00'!$N$5</definedName>
    <definedName name="FundNum" localSheetId="1">'SCBA|0001-00'!$N$5</definedName>
    <definedName name="FundNum" localSheetId="2">'SCCA|0001-00'!$N$5</definedName>
    <definedName name="FundNum" localSheetId="3">'SCDA|0480-00'!$N$5</definedName>
    <definedName name="FundNum">'B6'!$N$5</definedName>
    <definedName name="FundNumber" localSheetId="0">'SCAA|0001-00'!$N$5</definedName>
    <definedName name="FundNumber" localSheetId="1">'SCBA|0001-00'!$N$5</definedName>
    <definedName name="FundNumber" localSheetId="2">'SCCA|0001-00'!$N$5</definedName>
    <definedName name="FundNumber" localSheetId="3">'SCDA|0480-00'!$N$5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'SCAA|0001-00'!$C$11</definedName>
    <definedName name="Group_name" localSheetId="1">'SCBA|0001-00'!$C$11</definedName>
    <definedName name="Group_name" localSheetId="2">'SCCA|0001-00'!$C$11</definedName>
    <definedName name="Group_name" localSheetId="3">'SCDA|0480-00'!$C$11</definedName>
    <definedName name="Group_name">'B6'!$C$11</definedName>
    <definedName name="GroupFxdBen" localSheetId="0">'SCAA|0001-00'!$H$11</definedName>
    <definedName name="GroupFxdBen" localSheetId="1">'SCBA|0001-00'!$H$11</definedName>
    <definedName name="GroupFxdBen" localSheetId="2">'SCCA|0001-00'!$H$11</definedName>
    <definedName name="GroupFxdBen" localSheetId="3">'SCDA|0480-00'!$H$11</definedName>
    <definedName name="GroupFxdBen">'B6'!$H$11</definedName>
    <definedName name="GroupSalary" localSheetId="0">'SCAA|0001-00'!$G$11</definedName>
    <definedName name="GroupSalary" localSheetId="1">'SCBA|0001-00'!$G$11</definedName>
    <definedName name="GroupSalary" localSheetId="2">'SCCA|0001-00'!$G$11</definedName>
    <definedName name="GroupSalary" localSheetId="3">'SCDA|0480-00'!$G$11</definedName>
    <definedName name="GroupSalary">'B6'!$G$11</definedName>
    <definedName name="GroupVarBen" localSheetId="0">'SCAA|0001-00'!$I$11</definedName>
    <definedName name="GroupVarBen" localSheetId="1">'SCBA|0001-00'!$I$11</definedName>
    <definedName name="GroupVarBen" localSheetId="2">'SCCA|0001-00'!$I$11</definedName>
    <definedName name="GroupVarBen" localSheetId="3">'SCDA|0480-00'!$I$11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'SCAA|0001-00'!$M$2</definedName>
    <definedName name="LUMAFund" localSheetId="1">'SCBA|0001-00'!$M$2</definedName>
    <definedName name="LUMAFund" localSheetId="2">'SCCA|0001-00'!$M$2</definedName>
    <definedName name="LUMAFund" localSheetId="3">'SCDA|0480-00'!$M$2</definedName>
    <definedName name="LUMAFund">'B6'!$M$2</definedName>
    <definedName name="MAXSSDI">Benefits!$F$5</definedName>
    <definedName name="MAXSSDIBY">Benefits!$G$5</definedName>
    <definedName name="NEW_AdjGroup" localSheetId="0">'SCAA|0001-00'!$AC$39</definedName>
    <definedName name="NEW_AdjGroup" localSheetId="1">'SCBA|0001-00'!$AC$39</definedName>
    <definedName name="NEW_AdjGroup" localSheetId="2">'SCCA|0001-00'!$AC$39</definedName>
    <definedName name="NEW_AdjGroup" localSheetId="3">'SCDA|0480-00'!$AC$39</definedName>
    <definedName name="NEW_AdjGroup">'B6'!$AC$39</definedName>
    <definedName name="NEW_AdjGroupSalary" localSheetId="0">'SCAA|0001-00'!$AA$39</definedName>
    <definedName name="NEW_AdjGroupSalary" localSheetId="1">'SCBA|0001-00'!$AA$39</definedName>
    <definedName name="NEW_AdjGroupSalary" localSheetId="2">'SCCA|0001-00'!$AA$39</definedName>
    <definedName name="NEW_AdjGroupSalary" localSheetId="3">'SCDA|0480-00'!$AA$39</definedName>
    <definedName name="NEW_AdjGroupSalary">'B6'!$AA$39</definedName>
    <definedName name="NEW_AdjGroupVB" localSheetId="0">'SCAA|0001-00'!$AB$39</definedName>
    <definedName name="NEW_AdjGroupVB" localSheetId="1">'SCBA|0001-00'!$AB$39</definedName>
    <definedName name="NEW_AdjGroupVB" localSheetId="2">'SCCA|0001-00'!$AB$39</definedName>
    <definedName name="NEW_AdjGroupVB" localSheetId="3">'SCDA|0480-00'!$AB$39</definedName>
    <definedName name="NEW_AdjGroupVB">'B6'!$AB$39</definedName>
    <definedName name="NEW_AdjONLYGroup" localSheetId="0">'SCAA|0001-00'!$AC$45</definedName>
    <definedName name="NEW_AdjONLYGroup" localSheetId="1">'SCBA|0001-00'!$AC$45</definedName>
    <definedName name="NEW_AdjONLYGroup" localSheetId="2">'SCCA|0001-00'!$AC$45</definedName>
    <definedName name="NEW_AdjONLYGroup" localSheetId="3">'SCDA|0480-00'!$AC$45</definedName>
    <definedName name="NEW_AdjONLYGroup">'B6'!$AC$45</definedName>
    <definedName name="NEW_AdjONLYGroupSalary" localSheetId="0">'SCAA|0001-00'!$AA$45</definedName>
    <definedName name="NEW_AdjONLYGroupSalary" localSheetId="1">'SCBA|0001-00'!$AA$45</definedName>
    <definedName name="NEW_AdjONLYGroupSalary" localSheetId="2">'SCCA|0001-00'!$AA$45</definedName>
    <definedName name="NEW_AdjONLYGroupSalary" localSheetId="3">'SCDA|0480-00'!$AA$45</definedName>
    <definedName name="NEW_AdjONLYGroupSalary">'B6'!$AA$45</definedName>
    <definedName name="NEW_AdjONLYGroupVB" localSheetId="0">'SCAA|0001-00'!$AB$45</definedName>
    <definedName name="NEW_AdjONLYGroupVB" localSheetId="1">'SCBA|0001-00'!$AB$45</definedName>
    <definedName name="NEW_AdjONLYGroupVB" localSheetId="2">'SCCA|0001-00'!$AB$45</definedName>
    <definedName name="NEW_AdjONLYGroupVB" localSheetId="3">'SCDA|0480-00'!$AB$45</definedName>
    <definedName name="NEW_AdjONLYGroupVB">'B6'!$AB$45</definedName>
    <definedName name="NEW_AdjONLYPerm" localSheetId="0">'SCAA|0001-00'!$AC$44</definedName>
    <definedName name="NEW_AdjONLYPerm" localSheetId="1">'SCBA|0001-00'!$AC$44</definedName>
    <definedName name="NEW_AdjONLYPerm" localSheetId="2">'SCCA|0001-00'!$AC$44</definedName>
    <definedName name="NEW_AdjONLYPerm" localSheetId="3">'SCDA|0480-00'!$AC$44</definedName>
    <definedName name="NEW_AdjONLYPerm">'B6'!$AC$44</definedName>
    <definedName name="NEW_AdjONLYPermSalary" localSheetId="0">'SCAA|0001-00'!$AA$44</definedName>
    <definedName name="NEW_AdjONLYPermSalary" localSheetId="1">'SCBA|0001-00'!$AA$44</definedName>
    <definedName name="NEW_AdjONLYPermSalary" localSheetId="2">'SCCA|0001-00'!$AA$44</definedName>
    <definedName name="NEW_AdjONLYPermSalary" localSheetId="3">'SCDA|0480-00'!$AA$44</definedName>
    <definedName name="NEW_AdjONLYPermSalary">'B6'!$AA$44</definedName>
    <definedName name="NEW_AdjONLYPermVB" localSheetId="0">'SCAA|0001-00'!$AB$44</definedName>
    <definedName name="NEW_AdjONLYPermVB" localSheetId="1">'SCBA|0001-00'!$AB$44</definedName>
    <definedName name="NEW_AdjONLYPermVB" localSheetId="2">'SCCA|0001-00'!$AB$44</definedName>
    <definedName name="NEW_AdjONLYPermVB" localSheetId="3">'SCDA|0480-00'!$AB$44</definedName>
    <definedName name="NEW_AdjONLYPermVB">'B6'!$AB$44</definedName>
    <definedName name="NEW_AdjPerm" localSheetId="0">'SCAA|0001-00'!$AC$38</definedName>
    <definedName name="NEW_AdjPerm" localSheetId="1">'SCBA|0001-00'!$AC$38</definedName>
    <definedName name="NEW_AdjPerm" localSheetId="2">'SCCA|0001-00'!$AC$38</definedName>
    <definedName name="NEW_AdjPerm" localSheetId="3">'SCDA|0480-00'!$AC$38</definedName>
    <definedName name="NEW_AdjPerm">'B6'!$AC$38</definedName>
    <definedName name="NEW_AdjPermSalary" localSheetId="0">'SCAA|0001-00'!$AA$38</definedName>
    <definedName name="NEW_AdjPermSalary" localSheetId="1">'SCBA|0001-00'!$AA$38</definedName>
    <definedName name="NEW_AdjPermSalary" localSheetId="2">'SCCA|0001-00'!$AA$38</definedName>
    <definedName name="NEW_AdjPermSalary" localSheetId="3">'SCDA|0480-00'!$AA$38</definedName>
    <definedName name="NEW_AdjPermSalary">'B6'!$AA$38</definedName>
    <definedName name="NEW_AdjPermVB" localSheetId="0">'SCAA|0001-00'!$AB$38</definedName>
    <definedName name="NEW_AdjPermVB" localSheetId="1">'SCBA|0001-00'!$AB$38</definedName>
    <definedName name="NEW_AdjPermVB" localSheetId="2">'SCCA|0001-00'!$AB$38</definedName>
    <definedName name="NEW_AdjPermVB" localSheetId="3">'SCDA|0480-00'!$AB$38</definedName>
    <definedName name="NEW_AdjPermVB">'B6'!$AB$38</definedName>
    <definedName name="NEW_GroupFilled" localSheetId="0">'SCAA|0001-00'!$AC$11</definedName>
    <definedName name="NEW_GroupFilled" localSheetId="1">'SCBA|0001-00'!$AC$11</definedName>
    <definedName name="NEW_GroupFilled" localSheetId="2">'SCCA|0001-00'!$AC$11</definedName>
    <definedName name="NEW_GroupFilled" localSheetId="3">'SCDA|0480-00'!$AC$11</definedName>
    <definedName name="NEW_GroupFilled">'B6'!$AC$11</definedName>
    <definedName name="NEW_GroupSalaryFilled" localSheetId="0">'SCAA|0001-00'!$AA$11</definedName>
    <definedName name="NEW_GroupSalaryFilled" localSheetId="1">'SCBA|0001-00'!$AA$11</definedName>
    <definedName name="NEW_GroupSalaryFilled" localSheetId="2">'SCCA|0001-00'!$AA$11</definedName>
    <definedName name="NEW_GroupSalaryFilled" localSheetId="3">'SCDA|0480-00'!$AA$11</definedName>
    <definedName name="NEW_GroupSalaryFilled">'B6'!$AA$11</definedName>
    <definedName name="NEW_GroupVBFilled" localSheetId="0">'SCAA|0001-00'!$AB$11</definedName>
    <definedName name="NEW_GroupVBFilled" localSheetId="1">'SCBA|0001-00'!$AB$11</definedName>
    <definedName name="NEW_GroupVBFilled" localSheetId="2">'SCCA|0001-00'!$AB$11</definedName>
    <definedName name="NEW_GroupVBFilled" localSheetId="3">'SCDA|0480-00'!$AB$11</definedName>
    <definedName name="NEW_GroupVBFilled">'B6'!$AB$11</definedName>
    <definedName name="NEW_PermFilled" localSheetId="0">'SCAA|0001-00'!$AC$10</definedName>
    <definedName name="NEW_PermFilled" localSheetId="1">'SCBA|0001-00'!$AC$10</definedName>
    <definedName name="NEW_PermFilled" localSheetId="2">'SCCA|0001-00'!$AC$10</definedName>
    <definedName name="NEW_PermFilled" localSheetId="3">'SCDA|0480-00'!$AC$10</definedName>
    <definedName name="NEW_PermFilled">'B6'!$AC$10</definedName>
    <definedName name="NEW_PermSalaryFilled" localSheetId="0">'SCAA|0001-00'!$AA$10</definedName>
    <definedName name="NEW_PermSalaryFilled" localSheetId="1">'SCBA|0001-00'!$AA$10</definedName>
    <definedName name="NEW_PermSalaryFilled" localSheetId="2">'SCCA|0001-00'!$AA$10</definedName>
    <definedName name="NEW_PermSalaryFilled" localSheetId="3">'SCDA|0480-00'!$AA$10</definedName>
    <definedName name="NEW_PermSalaryFilled">'B6'!$AA$10</definedName>
    <definedName name="NEW_PermVBFilled" localSheetId="0">'SCAA|0001-00'!$AB$10</definedName>
    <definedName name="NEW_PermVBFilled" localSheetId="1">'SCBA|0001-00'!$AB$10</definedName>
    <definedName name="NEW_PermVBFilled" localSheetId="2">'SCCA|0001-00'!$AB$10</definedName>
    <definedName name="NEW_PermVBFilled" localSheetId="3">'SCDA|0480-00'!$AB$10</definedName>
    <definedName name="NEW_PermVBFilled">'B6'!$AB$10</definedName>
    <definedName name="OneTimePC_Total" localSheetId="0">'SCAA|0001-00'!$J$63</definedName>
    <definedName name="OneTimePC_Total" localSheetId="1">'SCBA|0001-00'!$J$63</definedName>
    <definedName name="OneTimePC_Total" localSheetId="2">'SCCA|0001-00'!$J$63</definedName>
    <definedName name="OneTimePC_Total" localSheetId="3">'SCDA|0480-00'!$J$63</definedName>
    <definedName name="OneTimePC_Total">'B6'!$J$63</definedName>
    <definedName name="OrigApprop" localSheetId="0">'SCAA|0001-00'!$E$15</definedName>
    <definedName name="OrigApprop" localSheetId="1">'SCBA|0001-00'!$E$15</definedName>
    <definedName name="OrigApprop" localSheetId="2">'SCCA|0001-00'!$E$15</definedName>
    <definedName name="OrigApprop" localSheetId="3">'SCDA|0480-00'!$E$15</definedName>
    <definedName name="OrigApprop">'B6'!$E$15</definedName>
    <definedName name="perm_name" localSheetId="0">'SCAA|0001-00'!$C$10</definedName>
    <definedName name="perm_name" localSheetId="1">'SCBA|0001-00'!$C$10</definedName>
    <definedName name="perm_name" localSheetId="2">'SCCA|0001-00'!$C$10</definedName>
    <definedName name="perm_name" localSheetId="3">'SCDA|0480-00'!$C$10</definedName>
    <definedName name="perm_name">'B6'!$C$10</definedName>
    <definedName name="PermFTP" localSheetId="0">'SCAA|0001-00'!$F$10</definedName>
    <definedName name="PermFTP" localSheetId="1">'SCBA|0001-00'!$F$10</definedName>
    <definedName name="PermFTP" localSheetId="2">'SCCA|0001-00'!$F$10</definedName>
    <definedName name="PermFTP" localSheetId="3">'SCDA|0480-00'!$F$10</definedName>
    <definedName name="PermFTP">'B6'!$F$10</definedName>
    <definedName name="PermFxdBen" localSheetId="0">'SCAA|0001-00'!$H$10</definedName>
    <definedName name="PermFxdBen" localSheetId="1">'SCBA|0001-00'!$H$10</definedName>
    <definedName name="PermFxdBen" localSheetId="2">'SCCA|0001-00'!$H$10</definedName>
    <definedName name="PermFxdBen" localSheetId="3">'SCDA|0480-00'!$H$10</definedName>
    <definedName name="PermFxdBen">'B6'!$H$10</definedName>
    <definedName name="PermFxdBenChg" localSheetId="0">'SCAA|0001-00'!$L$10</definedName>
    <definedName name="PermFxdBenChg" localSheetId="1">'SCBA|0001-00'!$L$10</definedName>
    <definedName name="PermFxdBenChg" localSheetId="2">'SCCA|0001-00'!$L$10</definedName>
    <definedName name="PermFxdBenChg" localSheetId="3">'SCDA|0480-00'!$L$10</definedName>
    <definedName name="PermFxdBenChg">'B6'!$L$10</definedName>
    <definedName name="PermFxdChg" localSheetId="0">'SCAA|0001-00'!$L$10</definedName>
    <definedName name="PermFxdChg" localSheetId="1">'SCBA|0001-00'!$L$10</definedName>
    <definedName name="PermFxdChg" localSheetId="2">'SCCA|0001-00'!$L$10</definedName>
    <definedName name="PermFxdChg" localSheetId="3">'SCDA|0480-00'!$L$10</definedName>
    <definedName name="PermFxdChg">'B6'!$L$10</definedName>
    <definedName name="PermSalary" localSheetId="0">'SCAA|0001-00'!$G$10</definedName>
    <definedName name="PermSalary" localSheetId="1">'SCBA|0001-00'!$G$10</definedName>
    <definedName name="PermSalary" localSheetId="2">'SCCA|0001-00'!$G$10</definedName>
    <definedName name="PermSalary" localSheetId="3">'SCDA|0480-00'!$G$10</definedName>
    <definedName name="PermSalary">'B6'!$G$10</definedName>
    <definedName name="PermVarBen" localSheetId="0">'SCAA|0001-00'!$I$10</definedName>
    <definedName name="PermVarBen" localSheetId="1">'SCBA|0001-00'!$I$10</definedName>
    <definedName name="PermVarBen" localSheetId="2">'SCCA|0001-00'!$I$10</definedName>
    <definedName name="PermVarBen" localSheetId="3">'SCDA|0480-00'!$I$10</definedName>
    <definedName name="PermVarBen">'B6'!$I$10</definedName>
    <definedName name="PermVarBenChg" localSheetId="0">'SCAA|0001-00'!$M$10</definedName>
    <definedName name="PermVarBenChg" localSheetId="1">'SCBA|0001-00'!$M$10</definedName>
    <definedName name="PermVarBenChg" localSheetId="2">'SCCA|0001-00'!$M$10</definedName>
    <definedName name="PermVarBenChg" localSheetId="3">'SCDA|0480-00'!$M$10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6">'B6'!$A$1:$N$81</definedName>
    <definedName name="_xlnm.Print_Area" localSheetId="5">Benefits!$A$1:$G$36</definedName>
    <definedName name="_xlnm.Print_Area" localSheetId="0">'SCAA|0001-00'!$A$1:$N$81</definedName>
    <definedName name="_xlnm.Print_Area" localSheetId="1">'SCBA|0001-00'!$A$1:$N$81</definedName>
    <definedName name="_xlnm.Print_Area" localSheetId="2">'SCCA|0001-00'!$A$1:$N$81</definedName>
    <definedName name="_xlnm.Print_Area" localSheetId="3">'SCDA|0480-00'!$A$1:$N$81</definedName>
    <definedName name="Prog_Unadjusted_Total" localSheetId="0">'SCAA|0001-00'!$C$8:$N$16</definedName>
    <definedName name="Prog_Unadjusted_Total" localSheetId="1">'SCBA|0001-00'!$C$8:$N$16</definedName>
    <definedName name="Prog_Unadjusted_Total" localSheetId="2">'SCCA|0001-00'!$C$8:$N$16</definedName>
    <definedName name="Prog_Unadjusted_Total" localSheetId="3">'SCDA|0480-00'!$C$8:$N$16</definedName>
    <definedName name="Prog_Unadjusted_Total">'B6'!$C$8:$N$16</definedName>
    <definedName name="Program" localSheetId="0">'SCAA|0001-00'!$D$3</definedName>
    <definedName name="Program" localSheetId="1">'SCBA|0001-00'!$D$3</definedName>
    <definedName name="Program" localSheetId="2">'SCCA|0001-00'!$D$3</definedName>
    <definedName name="Program" localSheetId="3">'SCDA|0480-00'!$D$3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'SCAA|0001-00'!$G$52</definedName>
    <definedName name="RoundedAppropSalary" localSheetId="1">'SCBA|0001-00'!$G$52</definedName>
    <definedName name="RoundedAppropSalary" localSheetId="2">'SCCA|0001-00'!$G$52</definedName>
    <definedName name="RoundedAppropSalary" localSheetId="3">'SCDA|0480-00'!$G$52</definedName>
    <definedName name="RoundedAppropSalary">'B6'!$G$52</definedName>
    <definedName name="SalaryChg" localSheetId="0">'SCAA|0001-00'!$K$10</definedName>
    <definedName name="SalaryChg" localSheetId="1">'SCBA|0001-00'!$K$10</definedName>
    <definedName name="SalaryChg" localSheetId="2">'SCCA|0001-00'!$K$10</definedName>
    <definedName name="SalaryChg" localSheetId="3">'SCDA|0480-00'!$K$10</definedName>
    <definedName name="SalaryChg">'B6'!$K$10</definedName>
    <definedName name="SCAA000100col_1_27TH_PP">Data!$BA$171</definedName>
    <definedName name="SCAA000100col_DHR">Data!$BI$171</definedName>
    <definedName name="SCAA000100col_DHR_BY">Data!$BU$171</definedName>
    <definedName name="SCAA000100col_DHR_CHG">Data!$CG$171</definedName>
    <definedName name="SCAA000100col_FTI_SALARY_ELECT">Data!$AZ$171</definedName>
    <definedName name="SCAA000100col_FTI_SALARY_PERM">Data!$AY$171</definedName>
    <definedName name="SCAA000100col_FTI_SALARY_SSDI">Data!$AX$171</definedName>
    <definedName name="SCAA000100col_Group_Ben">Data!$CM$171</definedName>
    <definedName name="SCAA000100col_Group_Salary">Data!$CL$171</definedName>
    <definedName name="SCAA000100col_HEALTH_ELECT">Data!$BC$171</definedName>
    <definedName name="SCAA000100col_HEALTH_ELECT_BY">Data!$BO$171</definedName>
    <definedName name="SCAA000100col_HEALTH_ELECT_CHG">Data!$CA$171</definedName>
    <definedName name="SCAA000100col_HEALTH_PERM">Data!$BB$171</definedName>
    <definedName name="SCAA000100col_HEALTH_PERM_BY">Data!$BN$171</definedName>
    <definedName name="SCAA000100col_HEALTH_PERM_CHG">Data!$BZ$171</definedName>
    <definedName name="SCAA000100col_INC_FTI">Data!$AS$171</definedName>
    <definedName name="SCAA000100col_LIFE_INS">Data!$BG$171</definedName>
    <definedName name="SCAA000100col_LIFE_INS_BY">Data!$BS$171</definedName>
    <definedName name="SCAA000100col_LIFE_INS_CHG">Data!$CE$171</definedName>
    <definedName name="SCAA000100col_RETIREMENT">Data!$BF$171</definedName>
    <definedName name="SCAA000100col_RETIREMENT_BY">Data!$BR$171</definedName>
    <definedName name="SCAA000100col_RETIREMENT_CHG">Data!$CD$171</definedName>
    <definedName name="SCAA000100col_ROWS_PER_PCN">Data!$AW$171</definedName>
    <definedName name="SCAA000100col_SICK">Data!$BK$171</definedName>
    <definedName name="SCAA000100col_SICK_BY">Data!$BW$171</definedName>
    <definedName name="SCAA000100col_SICK_CHG">Data!$CI$171</definedName>
    <definedName name="SCAA000100col_SSDI">Data!$BD$171</definedName>
    <definedName name="SCAA000100col_SSDI_BY">Data!$BP$171</definedName>
    <definedName name="SCAA000100col_SSDI_CHG">Data!$CB$171</definedName>
    <definedName name="SCAA000100col_SSHI">Data!$BE$171</definedName>
    <definedName name="SCAA000100col_SSHI_BY">Data!$BQ$171</definedName>
    <definedName name="SCAA000100col_SSHI_CHGv">Data!$CC$171</definedName>
    <definedName name="SCAA000100col_TOT_VB_ELECT">Data!$BM$171</definedName>
    <definedName name="SCAA000100col_TOT_VB_ELECT_BY">Data!$BY$171</definedName>
    <definedName name="SCAA000100col_TOT_VB_ELECT_CHG">Data!$CK$171</definedName>
    <definedName name="SCAA000100col_TOT_VB_PERM">Data!$BL$171</definedName>
    <definedName name="SCAA000100col_TOT_VB_PERM_BY">Data!$BX$171</definedName>
    <definedName name="SCAA000100col_TOT_VB_PERM_CHG">Data!$CJ$171</definedName>
    <definedName name="SCAA000100col_TOTAL_ELECT_PCN_FTI">Data!$AT$171</definedName>
    <definedName name="SCAA000100col_TOTAL_ELECT_PCN_FTI_ALT">Data!$AV$171</definedName>
    <definedName name="SCAA000100col_TOTAL_PERM_PCN_FTI">Data!$AU$171</definedName>
    <definedName name="SCAA000100col_UNEMP_INS">Data!$BH$171</definedName>
    <definedName name="SCAA000100col_UNEMP_INS_BY">Data!$BT$171</definedName>
    <definedName name="SCAA000100col_UNEMP_INS_CHG">Data!$CF$171</definedName>
    <definedName name="SCAA000100col_WORKERS_COMP">Data!$BJ$171</definedName>
    <definedName name="SCAA000100col_WORKERS_COMP_BY">Data!$BV$171</definedName>
    <definedName name="SCAA000100col_WORKERS_COMP_CHG">Data!$CH$171</definedName>
    <definedName name="SCBA000100col_1_27TH_PP">Data!$BA$173</definedName>
    <definedName name="SCBA000100col_DHR">Data!$BI$173</definedName>
    <definedName name="SCBA000100col_DHR_BY">Data!$BU$173</definedName>
    <definedName name="SCBA000100col_DHR_CHG">Data!$CG$173</definedName>
    <definedName name="SCBA000100col_FTI_SALARY_ELECT">Data!$AZ$173</definedName>
    <definedName name="SCBA000100col_FTI_SALARY_PERM">Data!$AY$173</definedName>
    <definedName name="SCBA000100col_FTI_SALARY_SSDI">Data!$AX$173</definedName>
    <definedName name="SCBA000100col_Group_Ben">Data!$CM$173</definedName>
    <definedName name="SCBA000100col_Group_Salary">Data!$CL$173</definedName>
    <definedName name="SCBA000100col_HEALTH_ELECT">Data!$BC$173</definedName>
    <definedName name="SCBA000100col_HEALTH_ELECT_BY">Data!$BO$173</definedName>
    <definedName name="SCBA000100col_HEALTH_ELECT_CHG">Data!$CA$173</definedName>
    <definedName name="SCBA000100col_HEALTH_PERM">Data!$BB$173</definedName>
    <definedName name="SCBA000100col_HEALTH_PERM_BY">Data!$BN$173</definedName>
    <definedName name="SCBA000100col_HEALTH_PERM_CHG">Data!$BZ$173</definedName>
    <definedName name="SCBA000100col_INC_FTI">Data!$AS$173</definedName>
    <definedName name="SCBA000100col_LIFE_INS">Data!$BG$173</definedName>
    <definedName name="SCBA000100col_LIFE_INS_BY">Data!$BS$173</definedName>
    <definedName name="SCBA000100col_LIFE_INS_CHG">Data!$CE$173</definedName>
    <definedName name="SCBA000100col_RETIREMENT">Data!$BF$173</definedName>
    <definedName name="SCBA000100col_RETIREMENT_BY">Data!$BR$173</definedName>
    <definedName name="SCBA000100col_RETIREMENT_CHG">Data!$CD$173</definedName>
    <definedName name="SCBA000100col_ROWS_PER_PCN">Data!$AW$173</definedName>
    <definedName name="SCBA000100col_SICK">Data!$BK$173</definedName>
    <definedName name="SCBA000100col_SICK_BY">Data!$BW$173</definedName>
    <definedName name="SCBA000100col_SICK_CHG">Data!$CI$173</definedName>
    <definedName name="SCBA000100col_SSDI">Data!$BD$173</definedName>
    <definedName name="SCBA000100col_SSDI_BY">Data!$BP$173</definedName>
    <definedName name="SCBA000100col_SSDI_CHG">Data!$CB$173</definedName>
    <definedName name="SCBA000100col_SSHI">Data!$BE$173</definedName>
    <definedName name="SCBA000100col_SSHI_BY">Data!$BQ$173</definedName>
    <definedName name="SCBA000100col_SSHI_CHGv">Data!$CC$173</definedName>
    <definedName name="SCBA000100col_TOT_VB_ELECT">Data!$BM$173</definedName>
    <definedName name="SCBA000100col_TOT_VB_ELECT_BY">Data!$BY$173</definedName>
    <definedName name="SCBA000100col_TOT_VB_ELECT_CHG">Data!$CK$173</definedName>
    <definedName name="SCBA000100col_TOT_VB_PERM">Data!$BL$173</definedName>
    <definedName name="SCBA000100col_TOT_VB_PERM_BY">Data!$BX$173</definedName>
    <definedName name="SCBA000100col_TOT_VB_PERM_CHG">Data!$CJ$173</definedName>
    <definedName name="SCBA000100col_TOTAL_ELECT_PCN_FTI">Data!$AT$173</definedName>
    <definedName name="SCBA000100col_TOTAL_ELECT_PCN_FTI_ALT">Data!$AV$173</definedName>
    <definedName name="SCBA000100col_TOTAL_PERM_PCN_FTI">Data!$AU$173</definedName>
    <definedName name="SCBA000100col_UNEMP_INS">Data!$BH$173</definedName>
    <definedName name="SCBA000100col_UNEMP_INS_BY">Data!$BT$173</definedName>
    <definedName name="SCBA000100col_UNEMP_INS_CHG">Data!$CF$173</definedName>
    <definedName name="SCBA000100col_WORKERS_COMP">Data!$BJ$173</definedName>
    <definedName name="SCBA000100col_WORKERS_COMP_BY">Data!$BV$173</definedName>
    <definedName name="SCBA000100col_WORKERS_COMP_CHG">Data!$CH$173</definedName>
    <definedName name="SCBI012600col_1_27TH_PP">Data!$BA$175</definedName>
    <definedName name="SCBI012600col_DHR">Data!$BI$175</definedName>
    <definedName name="SCBI012600col_DHR_BY">Data!$BU$175</definedName>
    <definedName name="SCBI012600col_DHR_CHG">Data!$CG$175</definedName>
    <definedName name="SCBI012600col_FTI_SALARY_ELECT">Data!$AZ$175</definedName>
    <definedName name="SCBI012600col_FTI_SALARY_PERM">Data!$AY$175</definedName>
    <definedName name="SCBI012600col_FTI_SALARY_SSDI">Data!$AX$175</definedName>
    <definedName name="SCBI012600col_Group_Ben">Data!$CM$175</definedName>
    <definedName name="SCBI012600col_Group_Salary">Data!$CL$175</definedName>
    <definedName name="SCBI012600col_HEALTH_ELECT">Data!$BC$175</definedName>
    <definedName name="SCBI012600col_HEALTH_ELECT_BY">Data!$BO$175</definedName>
    <definedName name="SCBI012600col_HEALTH_ELECT_CHG">Data!$CA$175</definedName>
    <definedName name="SCBI012600col_HEALTH_PERM">Data!$BB$175</definedName>
    <definedName name="SCBI012600col_HEALTH_PERM_BY">Data!$BN$175</definedName>
    <definedName name="SCBI012600col_HEALTH_PERM_CHG">Data!$BZ$175</definedName>
    <definedName name="SCBI012600col_INC_FTI">Data!$AS$175</definedName>
    <definedName name="SCBI012600col_LIFE_INS">Data!$BG$175</definedName>
    <definedName name="SCBI012600col_LIFE_INS_BY">Data!$BS$175</definedName>
    <definedName name="SCBI012600col_LIFE_INS_CHG">Data!$CE$175</definedName>
    <definedName name="SCBI012600col_RETIREMENT">Data!$BF$175</definedName>
    <definedName name="SCBI012600col_RETIREMENT_BY">Data!$BR$175</definedName>
    <definedName name="SCBI012600col_RETIREMENT_CHG">Data!$CD$175</definedName>
    <definedName name="SCBI012600col_ROWS_PER_PCN">Data!$AW$175</definedName>
    <definedName name="SCBI012600col_SICK">Data!$BK$175</definedName>
    <definedName name="SCBI012600col_SICK_BY">Data!$BW$175</definedName>
    <definedName name="SCBI012600col_SICK_CHG">Data!$CI$175</definedName>
    <definedName name="SCBI012600col_SSDI">Data!$BD$175</definedName>
    <definedName name="SCBI012600col_SSDI_BY">Data!$BP$175</definedName>
    <definedName name="SCBI012600col_SSDI_CHG">Data!$CB$175</definedName>
    <definedName name="SCBI012600col_SSHI">Data!$BE$175</definedName>
    <definedName name="SCBI012600col_SSHI_BY">Data!$BQ$175</definedName>
    <definedName name="SCBI012600col_SSHI_CHGv">Data!$CC$175</definedName>
    <definedName name="SCBI012600col_TOT_VB_ELECT">Data!$BM$175</definedName>
    <definedName name="SCBI012600col_TOT_VB_ELECT_BY">Data!$BY$175</definedName>
    <definedName name="SCBI012600col_TOT_VB_ELECT_CHG">Data!$CK$175</definedName>
    <definedName name="SCBI012600col_TOT_VB_PERM">Data!$BL$175</definedName>
    <definedName name="SCBI012600col_TOT_VB_PERM_BY">Data!$BX$175</definedName>
    <definedName name="SCBI012600col_TOT_VB_PERM_CHG">Data!$CJ$175</definedName>
    <definedName name="SCBI012600col_TOTAL_ELECT_PCN_FTI">Data!$AT$175</definedName>
    <definedName name="SCBI012600col_TOTAL_ELECT_PCN_FTI_ALT">Data!$AV$175</definedName>
    <definedName name="SCBI012600col_TOTAL_PERM_PCN_FTI">Data!$AU$175</definedName>
    <definedName name="SCBI012600col_UNEMP_INS">Data!$BH$175</definedName>
    <definedName name="SCBI012600col_UNEMP_INS_BY">Data!$BT$175</definedName>
    <definedName name="SCBI012600col_UNEMP_INS_CHG">Data!$CF$175</definedName>
    <definedName name="SCBI012600col_WORKERS_COMP">Data!$BJ$175</definedName>
    <definedName name="SCBI012600col_WORKERS_COMP_BY">Data!$BV$175</definedName>
    <definedName name="SCBI012600col_WORKERS_COMP_CHG">Data!$CH$175</definedName>
    <definedName name="SCCA000100col_1_27TH_PP">Data!$BA$177</definedName>
    <definedName name="SCCA000100col_DHR">Data!$BI$177</definedName>
    <definedName name="SCCA000100col_DHR_BY">Data!$BU$177</definedName>
    <definedName name="SCCA000100col_DHR_CHG">Data!$CG$177</definedName>
    <definedName name="SCCA000100col_FTI_SALARY_ELECT">Data!$AZ$177</definedName>
    <definedName name="SCCA000100col_FTI_SALARY_PERM">Data!$AY$177</definedName>
    <definedName name="SCCA000100col_FTI_SALARY_SSDI">Data!$AX$177</definedName>
    <definedName name="SCCA000100col_Group_Ben">Data!$CM$177</definedName>
    <definedName name="SCCA000100col_Group_Salary">Data!$CL$177</definedName>
    <definedName name="SCCA000100col_HEALTH_ELECT">Data!$BC$177</definedName>
    <definedName name="SCCA000100col_HEALTH_ELECT_BY">Data!$BO$177</definedName>
    <definedName name="SCCA000100col_HEALTH_ELECT_CHG">Data!$CA$177</definedName>
    <definedName name="SCCA000100col_HEALTH_PERM">Data!$BB$177</definedName>
    <definedName name="SCCA000100col_HEALTH_PERM_BY">Data!$BN$177</definedName>
    <definedName name="SCCA000100col_HEALTH_PERM_CHG">Data!$BZ$177</definedName>
    <definedName name="SCCA000100col_INC_FTI">Data!$AS$177</definedName>
    <definedName name="SCCA000100col_LIFE_INS">Data!$BG$177</definedName>
    <definedName name="SCCA000100col_LIFE_INS_BY">Data!$BS$177</definedName>
    <definedName name="SCCA000100col_LIFE_INS_CHG">Data!$CE$177</definedName>
    <definedName name="SCCA000100col_RETIREMENT">Data!$BF$177</definedName>
    <definedName name="SCCA000100col_RETIREMENT_BY">Data!$BR$177</definedName>
    <definedName name="SCCA000100col_RETIREMENT_CHG">Data!$CD$177</definedName>
    <definedName name="SCCA000100col_ROWS_PER_PCN">Data!$AW$177</definedName>
    <definedName name="SCCA000100col_SICK">Data!$BK$177</definedName>
    <definedName name="SCCA000100col_SICK_BY">Data!$BW$177</definedName>
    <definedName name="SCCA000100col_SICK_CHG">Data!$CI$177</definedName>
    <definedName name="SCCA000100col_SSDI">Data!$BD$177</definedName>
    <definedName name="SCCA000100col_SSDI_BY">Data!$BP$177</definedName>
    <definedName name="SCCA000100col_SSDI_CHG">Data!$CB$177</definedName>
    <definedName name="SCCA000100col_SSHI">Data!$BE$177</definedName>
    <definedName name="SCCA000100col_SSHI_BY">Data!$BQ$177</definedName>
    <definedName name="SCCA000100col_SSHI_CHGv">Data!$CC$177</definedName>
    <definedName name="SCCA000100col_TOT_VB_ELECT">Data!$BM$177</definedName>
    <definedName name="SCCA000100col_TOT_VB_ELECT_BY">Data!$BY$177</definedName>
    <definedName name="SCCA000100col_TOT_VB_ELECT_CHG">Data!$CK$177</definedName>
    <definedName name="SCCA000100col_TOT_VB_PERM">Data!$BL$177</definedName>
    <definedName name="SCCA000100col_TOT_VB_PERM_BY">Data!$BX$177</definedName>
    <definedName name="SCCA000100col_TOT_VB_PERM_CHG">Data!$CJ$177</definedName>
    <definedName name="SCCA000100col_TOTAL_ELECT_PCN_FTI">Data!$AT$177</definedName>
    <definedName name="SCCA000100col_TOTAL_ELECT_PCN_FTI_ALT">Data!$AV$177</definedName>
    <definedName name="SCCA000100col_TOTAL_PERM_PCN_FTI">Data!$AU$177</definedName>
    <definedName name="SCCA000100col_UNEMP_INS">Data!$BH$177</definedName>
    <definedName name="SCCA000100col_UNEMP_INS_BY">Data!$BT$177</definedName>
    <definedName name="SCCA000100col_UNEMP_INS_CHG">Data!$CF$177</definedName>
    <definedName name="SCCA000100col_WORKERS_COMP">Data!$BJ$177</definedName>
    <definedName name="SCCA000100col_WORKERS_COMP_BY">Data!$BV$177</definedName>
    <definedName name="SCCA000100col_WORKERS_COMP_CHG">Data!$CH$177</definedName>
    <definedName name="SCDA048000col_1_27TH_PP">Data!$BA$179</definedName>
    <definedName name="SCDA048000col_DHR">Data!$BI$179</definedName>
    <definedName name="SCDA048000col_DHR_BY">Data!$BU$179</definedName>
    <definedName name="SCDA048000col_DHR_CHG">Data!$CG$179</definedName>
    <definedName name="SCDA048000col_FTI_SALARY_ELECT">Data!$AZ$179</definedName>
    <definedName name="SCDA048000col_FTI_SALARY_PERM">Data!$AY$179</definedName>
    <definedName name="SCDA048000col_FTI_SALARY_SSDI">Data!$AX$179</definedName>
    <definedName name="SCDA048000col_Group_Ben">Data!$CM$179</definedName>
    <definedName name="SCDA048000col_Group_Salary">Data!$CL$179</definedName>
    <definedName name="SCDA048000col_HEALTH_ELECT">Data!$BC$179</definedName>
    <definedName name="SCDA048000col_HEALTH_ELECT_BY">Data!$BO$179</definedName>
    <definedName name="SCDA048000col_HEALTH_ELECT_CHG">Data!$CA$179</definedName>
    <definedName name="SCDA048000col_HEALTH_PERM">Data!$BB$179</definedName>
    <definedName name="SCDA048000col_HEALTH_PERM_BY">Data!$BN$179</definedName>
    <definedName name="SCDA048000col_HEALTH_PERM_CHG">Data!$BZ$179</definedName>
    <definedName name="SCDA048000col_INC_FTI">Data!$AS$179</definedName>
    <definedName name="SCDA048000col_LIFE_INS">Data!$BG$179</definedName>
    <definedName name="SCDA048000col_LIFE_INS_BY">Data!$BS$179</definedName>
    <definedName name="SCDA048000col_LIFE_INS_CHG">Data!$CE$179</definedName>
    <definedName name="SCDA048000col_RETIREMENT">Data!$BF$179</definedName>
    <definedName name="SCDA048000col_RETIREMENT_BY">Data!$BR$179</definedName>
    <definedName name="SCDA048000col_RETIREMENT_CHG">Data!$CD$179</definedName>
    <definedName name="SCDA048000col_ROWS_PER_PCN">Data!$AW$179</definedName>
    <definedName name="SCDA048000col_SICK">Data!$BK$179</definedName>
    <definedName name="SCDA048000col_SICK_BY">Data!$BW$179</definedName>
    <definedName name="SCDA048000col_SICK_CHG">Data!$CI$179</definedName>
    <definedName name="SCDA048000col_SSDI">Data!$BD$179</definedName>
    <definedName name="SCDA048000col_SSDI_BY">Data!$BP$179</definedName>
    <definedName name="SCDA048000col_SSDI_CHG">Data!$CB$179</definedName>
    <definedName name="SCDA048000col_SSHI">Data!$BE$179</definedName>
    <definedName name="SCDA048000col_SSHI_BY">Data!$BQ$179</definedName>
    <definedName name="SCDA048000col_SSHI_CHGv">Data!$CC$179</definedName>
    <definedName name="SCDA048000col_TOT_VB_ELECT">Data!$BM$179</definedName>
    <definedName name="SCDA048000col_TOT_VB_ELECT_BY">Data!$BY$179</definedName>
    <definedName name="SCDA048000col_TOT_VB_ELECT_CHG">Data!$CK$179</definedName>
    <definedName name="SCDA048000col_TOT_VB_PERM">Data!$BL$179</definedName>
    <definedName name="SCDA048000col_TOT_VB_PERM_BY">Data!$BX$179</definedName>
    <definedName name="SCDA048000col_TOT_VB_PERM_CHG">Data!$CJ$179</definedName>
    <definedName name="SCDA048000col_TOTAL_ELECT_PCN_FTI">Data!$AT$179</definedName>
    <definedName name="SCDA048000col_TOTAL_ELECT_PCN_FTI_ALT">Data!$AV$179</definedName>
    <definedName name="SCDA048000col_TOTAL_PERM_PCN_FTI">Data!$AU$179</definedName>
    <definedName name="SCDA048000col_UNEMP_INS">Data!$BH$179</definedName>
    <definedName name="SCDA048000col_UNEMP_INS_BY">Data!$BT$179</definedName>
    <definedName name="SCDA048000col_UNEMP_INS_CHG">Data!$CF$179</definedName>
    <definedName name="SCDA048000col_WORKERS_COMP">Data!$BJ$179</definedName>
    <definedName name="SCDA048000col_WORKERS_COMP_BY">Data!$BV$179</definedName>
    <definedName name="SCDA048000col_WORKERS_COMP_CHG">Data!$CH$179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'SCAA|0001-00'!#REF!</definedName>
    <definedName name="SubCECBase" localSheetId="1">'SCBA|0001-00'!#REF!</definedName>
    <definedName name="SubCECBase" localSheetId="2">'SCCA|0001-00'!#REF!</definedName>
    <definedName name="SubCECBase" localSheetId="3">'SCDA|0480-00'!#REF!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K23" i="11"/>
  <c r="L23" i="11"/>
  <c r="AZ202" i="5"/>
  <c r="AY202" i="5"/>
  <c r="AW202" i="5"/>
  <c r="AV202" i="5"/>
  <c r="AU202" i="5"/>
  <c r="AT202" i="5"/>
  <c r="AS202" i="5"/>
  <c r="BA200" i="5"/>
  <c r="AZ200" i="5"/>
  <c r="AY200" i="5"/>
  <c r="AX200" i="5"/>
  <c r="AW200" i="5"/>
  <c r="AV200" i="5"/>
  <c r="AU200" i="5"/>
  <c r="AT200" i="5"/>
  <c r="AS200" i="5"/>
  <c r="AZ192" i="5"/>
  <c r="AY192" i="5"/>
  <c r="AW192" i="5"/>
  <c r="AV192" i="5"/>
  <c r="AU192" i="5"/>
  <c r="AT192" i="5"/>
  <c r="AS192" i="5"/>
  <c r="AZ198" i="5"/>
  <c r="AW198" i="5"/>
  <c r="AZ196" i="5"/>
  <c r="AW196" i="5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N34" i="15" s="1"/>
  <c r="J34" i="15"/>
  <c r="I34" i="15"/>
  <c r="H34" i="15"/>
  <c r="M33" i="15"/>
  <c r="N33" i="15" s="1"/>
  <c r="L33" i="15"/>
  <c r="J33" i="15"/>
  <c r="I33" i="15"/>
  <c r="H33" i="15"/>
  <c r="M32" i="15"/>
  <c r="N32" i="15" s="1"/>
  <c r="L32" i="15"/>
  <c r="J32" i="15"/>
  <c r="I32" i="15"/>
  <c r="H32" i="15"/>
  <c r="M30" i="15"/>
  <c r="L30" i="15"/>
  <c r="N30" i="15" s="1"/>
  <c r="J30" i="15"/>
  <c r="I30" i="15"/>
  <c r="H30" i="15"/>
  <c r="M29" i="15"/>
  <c r="L29" i="15"/>
  <c r="J29" i="15"/>
  <c r="I29" i="15"/>
  <c r="H29" i="15"/>
  <c r="M28" i="15"/>
  <c r="N28" i="15" s="1"/>
  <c r="L28" i="15"/>
  <c r="J28" i="15"/>
  <c r="I28" i="15"/>
  <c r="H28" i="15"/>
  <c r="M27" i="15"/>
  <c r="N27" i="15" s="1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N24" i="15" s="1"/>
  <c r="L24" i="15"/>
  <c r="J24" i="15"/>
  <c r="I24" i="15"/>
  <c r="H24" i="15"/>
  <c r="M23" i="15"/>
  <c r="N23" i="15" s="1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N20" i="15" s="1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N35" i="14" s="1"/>
  <c r="J35" i="14"/>
  <c r="I35" i="14"/>
  <c r="H35" i="14"/>
  <c r="M34" i="14"/>
  <c r="N34" i="14" s="1"/>
  <c r="L34" i="14"/>
  <c r="J34" i="14"/>
  <c r="I34" i="14"/>
  <c r="H34" i="14"/>
  <c r="M33" i="14"/>
  <c r="N33" i="14" s="1"/>
  <c r="L33" i="14"/>
  <c r="J33" i="14"/>
  <c r="I33" i="14"/>
  <c r="H33" i="14"/>
  <c r="M32" i="14"/>
  <c r="N32" i="14" s="1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N28" i="14" s="1"/>
  <c r="L28" i="14"/>
  <c r="J28" i="14"/>
  <c r="I28" i="14"/>
  <c r="H28" i="14"/>
  <c r="M27" i="14"/>
  <c r="L27" i="14"/>
  <c r="N27" i="14" s="1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N24" i="14" s="1"/>
  <c r="L24" i="14"/>
  <c r="J24" i="14"/>
  <c r="I24" i="14"/>
  <c r="H24" i="14"/>
  <c r="M23" i="14"/>
  <c r="N23" i="14" s="1"/>
  <c r="L23" i="14"/>
  <c r="J23" i="14"/>
  <c r="I23" i="14"/>
  <c r="H23" i="14"/>
  <c r="M22" i="14"/>
  <c r="L22" i="14"/>
  <c r="J22" i="14"/>
  <c r="I22" i="14"/>
  <c r="H22" i="14"/>
  <c r="M21" i="14"/>
  <c r="N21" i="14" s="1"/>
  <c r="L21" i="14"/>
  <c r="J21" i="14"/>
  <c r="I21" i="14"/>
  <c r="H21" i="14"/>
  <c r="M20" i="14"/>
  <c r="N20" i="14" s="1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N32" i="13" s="1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N28" i="13" s="1"/>
  <c r="L28" i="13"/>
  <c r="J28" i="13"/>
  <c r="I28" i="13"/>
  <c r="H28" i="13"/>
  <c r="M27" i="13"/>
  <c r="L27" i="13"/>
  <c r="N27" i="13" s="1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2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T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T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T29" i="5" s="1"/>
  <c r="AS30" i="5"/>
  <c r="AX30" i="5" s="1"/>
  <c r="AS31" i="5"/>
  <c r="AX31" i="5" s="1"/>
  <c r="AS32" i="5"/>
  <c r="AX32" i="5" s="1"/>
  <c r="AS33" i="5"/>
  <c r="AX33" i="5" s="1"/>
  <c r="AS34" i="5"/>
  <c r="AT34" i="5" s="1"/>
  <c r="AS35" i="5"/>
  <c r="AX35" i="5" s="1"/>
  <c r="AS36" i="5"/>
  <c r="AX36" i="5" s="1"/>
  <c r="AS37" i="5"/>
  <c r="AX37" i="5" s="1"/>
  <c r="AS38" i="5"/>
  <c r="AX38" i="5" s="1"/>
  <c r="AS39" i="5"/>
  <c r="AT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T50" i="5" s="1"/>
  <c r="AS51" i="5"/>
  <c r="AX51" i="5" s="1"/>
  <c r="AS52" i="5"/>
  <c r="AX52" i="5" s="1"/>
  <c r="AS53" i="5"/>
  <c r="AX53" i="5" s="1"/>
  <c r="AS54" i="5"/>
  <c r="AX54" i="5" s="1"/>
  <c r="AS55" i="5"/>
  <c r="AT55" i="5" s="1"/>
  <c r="AS56" i="5"/>
  <c r="AX56" i="5" s="1"/>
  <c r="AS57" i="5"/>
  <c r="AX57" i="5" s="1"/>
  <c r="AS58" i="5"/>
  <c r="AX58" i="5" s="1"/>
  <c r="AS59" i="5"/>
  <c r="AX59" i="5" s="1"/>
  <c r="AS60" i="5"/>
  <c r="AX60" i="5" s="1"/>
  <c r="AS61" i="5"/>
  <c r="AX61" i="5" s="1"/>
  <c r="AS62" i="5"/>
  <c r="AX62" i="5" s="1"/>
  <c r="AS63" i="5"/>
  <c r="AX63" i="5" s="1"/>
  <c r="AS64" i="5"/>
  <c r="AX64" i="5" s="1"/>
  <c r="AS65" i="5"/>
  <c r="AX65" i="5" s="1"/>
  <c r="AS66" i="5"/>
  <c r="AX66" i="5" s="1"/>
  <c r="AS67" i="5"/>
  <c r="AX67" i="5" s="1"/>
  <c r="AS68" i="5"/>
  <c r="AX68" i="5" s="1"/>
  <c r="AS69" i="5"/>
  <c r="AX69" i="5" s="1"/>
  <c r="AS70" i="5"/>
  <c r="AX70" i="5" s="1"/>
  <c r="AS71" i="5"/>
  <c r="AT71" i="5" s="1"/>
  <c r="AS72" i="5"/>
  <c r="AX72" i="5" s="1"/>
  <c r="AS73" i="5"/>
  <c r="AX73" i="5" s="1"/>
  <c r="AS74" i="5"/>
  <c r="AX74" i="5" s="1"/>
  <c r="AS75" i="5"/>
  <c r="AX75" i="5" s="1"/>
  <c r="AS76" i="5"/>
  <c r="AX76" i="5" s="1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X83" i="5" s="1"/>
  <c r="AS84" i="5"/>
  <c r="AX84" i="5" s="1"/>
  <c r="AS85" i="5"/>
  <c r="AX85" i="5" s="1"/>
  <c r="AS86" i="5"/>
  <c r="AX86" i="5" s="1"/>
  <c r="AS87" i="5"/>
  <c r="AT87" i="5" s="1"/>
  <c r="AS88" i="5"/>
  <c r="AX88" i="5" s="1"/>
  <c r="AS89" i="5"/>
  <c r="AX89" i="5" s="1"/>
  <c r="AS90" i="5"/>
  <c r="AX90" i="5" s="1"/>
  <c r="AS91" i="5"/>
  <c r="AX91" i="5" s="1"/>
  <c r="AS92" i="5"/>
  <c r="AX92" i="5" s="1"/>
  <c r="AS93" i="5"/>
  <c r="AT93" i="5" s="1"/>
  <c r="AS94" i="5"/>
  <c r="AX94" i="5" s="1"/>
  <c r="AS95" i="5"/>
  <c r="AX95" i="5" s="1"/>
  <c r="AS96" i="5"/>
  <c r="AX96" i="5" s="1"/>
  <c r="AS97" i="5"/>
  <c r="AX97" i="5" s="1"/>
  <c r="AS98" i="5"/>
  <c r="AT98" i="5" s="1"/>
  <c r="AS99" i="5"/>
  <c r="AX99" i="5" s="1"/>
  <c r="AS100" i="5"/>
  <c r="AX100" i="5" s="1"/>
  <c r="AS101" i="5"/>
  <c r="AX101" i="5" s="1"/>
  <c r="AS102" i="5"/>
  <c r="AX102" i="5" s="1"/>
  <c r="AS103" i="5"/>
  <c r="AT103" i="5" s="1"/>
  <c r="AS104" i="5"/>
  <c r="AX104" i="5" s="1"/>
  <c r="AS105" i="5"/>
  <c r="AX105" i="5" s="1"/>
  <c r="AS106" i="5"/>
  <c r="AX106" i="5" s="1"/>
  <c r="AS107" i="5"/>
  <c r="AX107" i="5" s="1"/>
  <c r="AS108" i="5"/>
  <c r="AX108" i="5" s="1"/>
  <c r="AS109" i="5"/>
  <c r="AX109" i="5" s="1"/>
  <c r="AS110" i="5"/>
  <c r="AX110" i="5" s="1"/>
  <c r="AS111" i="5"/>
  <c r="AX111" i="5" s="1"/>
  <c r="AS112" i="5"/>
  <c r="AX112" i="5" s="1"/>
  <c r="AS113" i="5"/>
  <c r="AX113" i="5" s="1"/>
  <c r="AS114" i="5"/>
  <c r="AT114" i="5" s="1"/>
  <c r="AS115" i="5"/>
  <c r="AX115" i="5" s="1"/>
  <c r="AS116" i="5"/>
  <c r="AX116" i="5" s="1"/>
  <c r="AS117" i="5"/>
  <c r="AX117" i="5" s="1"/>
  <c r="AS118" i="5"/>
  <c r="AX118" i="5" s="1"/>
  <c r="AS119" i="5"/>
  <c r="AT119" i="5" s="1"/>
  <c r="AS120" i="5"/>
  <c r="AX120" i="5" s="1"/>
  <c r="AS121" i="5"/>
  <c r="AT121" i="5" s="1"/>
  <c r="AS122" i="5"/>
  <c r="AX122" i="5" s="1"/>
  <c r="AS123" i="5"/>
  <c r="AX123" i="5" s="1"/>
  <c r="AS124" i="5"/>
  <c r="AX124" i="5" s="1"/>
  <c r="AS125" i="5"/>
  <c r="AX125" i="5" s="1"/>
  <c r="AS126" i="5"/>
  <c r="AX126" i="5" s="1"/>
  <c r="AS127" i="5"/>
  <c r="AX127" i="5" s="1"/>
  <c r="AS128" i="5"/>
  <c r="AX128" i="5" s="1"/>
  <c r="AS129" i="5"/>
  <c r="AX129" i="5" s="1"/>
  <c r="AS130" i="5"/>
  <c r="AX130" i="5" s="1"/>
  <c r="AS131" i="5"/>
  <c r="AX131" i="5" s="1"/>
  <c r="AS132" i="5"/>
  <c r="AX132" i="5" s="1"/>
  <c r="AS133" i="5"/>
  <c r="AX133" i="5" s="1"/>
  <c r="AS134" i="5"/>
  <c r="AX134" i="5" s="1"/>
  <c r="AS135" i="5"/>
  <c r="AT135" i="5" s="1"/>
  <c r="AS136" i="5"/>
  <c r="AX136" i="5" s="1"/>
  <c r="AS137" i="5"/>
  <c r="AT137" i="5" s="1"/>
  <c r="AS138" i="5"/>
  <c r="AX138" i="5" s="1"/>
  <c r="AS139" i="5"/>
  <c r="AX139" i="5" s="1"/>
  <c r="AS140" i="5"/>
  <c r="AX140" i="5" s="1"/>
  <c r="AS141" i="5"/>
  <c r="AX141" i="5" s="1"/>
  <c r="AS142" i="5"/>
  <c r="AX142" i="5" s="1"/>
  <c r="AS143" i="5"/>
  <c r="AX143" i="5" s="1"/>
  <c r="AS144" i="5"/>
  <c r="AX144" i="5" s="1"/>
  <c r="AS145" i="5"/>
  <c r="AX145" i="5" s="1"/>
  <c r="AS146" i="5"/>
  <c r="AX146" i="5" s="1"/>
  <c r="AS147" i="5"/>
  <c r="AX147" i="5" s="1"/>
  <c r="AS148" i="5"/>
  <c r="AX148" i="5" s="1"/>
  <c r="AS149" i="5"/>
  <c r="AX149" i="5" s="1"/>
  <c r="AS150" i="5"/>
  <c r="AX150" i="5" s="1"/>
  <c r="AS151" i="5"/>
  <c r="AT151" i="5" s="1"/>
  <c r="AS152" i="5"/>
  <c r="AX152" i="5" s="1"/>
  <c r="AS153" i="5"/>
  <c r="AX153" i="5" s="1"/>
  <c r="AS154" i="5"/>
  <c r="AX154" i="5" s="1"/>
  <c r="AS155" i="5"/>
  <c r="AX155" i="5" s="1"/>
  <c r="AS156" i="5"/>
  <c r="AX156" i="5" s="1"/>
  <c r="AS157" i="5"/>
  <c r="AT157" i="5" s="1"/>
  <c r="AS158" i="5"/>
  <c r="AX158" i="5" s="1"/>
  <c r="AS159" i="5"/>
  <c r="AX159" i="5" s="1"/>
  <c r="AS160" i="5"/>
  <c r="AX160" i="5" s="1"/>
  <c r="AS161" i="5"/>
  <c r="AX161" i="5" s="1"/>
  <c r="AS162" i="5"/>
  <c r="AT162" i="5" s="1"/>
  <c r="AS163" i="5"/>
  <c r="AX163" i="5" s="1"/>
  <c r="AS164" i="5"/>
  <c r="AX164" i="5" s="1"/>
  <c r="AS165" i="5"/>
  <c r="AX165" i="5" s="1"/>
  <c r="AS166" i="5"/>
  <c r="AX166" i="5" s="1"/>
  <c r="AS167" i="5"/>
  <c r="AT167" i="5" s="1"/>
  <c r="AS2" i="5"/>
  <c r="AX2" i="5" s="1"/>
  <c r="N22" i="15" l="1"/>
  <c r="N25" i="15"/>
  <c r="N27" i="12"/>
  <c r="N20" i="13"/>
  <c r="N29" i="13"/>
  <c r="N25" i="14"/>
  <c r="N29" i="14"/>
  <c r="N26" i="15"/>
  <c r="N35" i="15"/>
  <c r="N26" i="13"/>
  <c r="N22" i="14"/>
  <c r="N26" i="14"/>
  <c r="N30" i="14"/>
  <c r="N21" i="15"/>
  <c r="N29" i="15"/>
  <c r="AT187" i="5"/>
  <c r="AT188" i="5" s="1"/>
  <c r="AT195" i="5"/>
  <c r="AY197" i="5"/>
  <c r="AU187" i="5"/>
  <c r="AU188" i="5" s="1"/>
  <c r="AU195" i="5"/>
  <c r="BA197" i="5"/>
  <c r="BA198" i="5" s="1"/>
  <c r="AT189" i="5"/>
  <c r="AT190" i="5" s="1"/>
  <c r="AV195" i="5"/>
  <c r="AV196" i="5" s="1"/>
  <c r="AW178" i="5"/>
  <c r="AW179" i="5" s="1"/>
  <c r="AU189" i="5"/>
  <c r="AU190" i="5" s="1"/>
  <c r="AX195" i="5"/>
  <c r="AY195" i="5"/>
  <c r="AY196" i="5" s="1"/>
  <c r="AT197" i="5"/>
  <c r="AT198" i="5" s="1"/>
  <c r="CM178" i="5"/>
  <c r="CM179" i="5" s="1"/>
  <c r="BA195" i="5"/>
  <c r="BA196" i="5" s="1"/>
  <c r="AU197" i="5"/>
  <c r="AU198" i="5" s="1"/>
  <c r="AT196" i="5"/>
  <c r="AV197" i="5"/>
  <c r="AY198" i="5"/>
  <c r="CL178" i="5"/>
  <c r="CL179" i="5" s="1"/>
  <c r="AX197" i="5"/>
  <c r="AX196" i="5"/>
  <c r="AU196" i="5"/>
  <c r="N39" i="15"/>
  <c r="N20" i="12"/>
  <c r="N28" i="12"/>
  <c r="N32" i="12"/>
  <c r="N24" i="13"/>
  <c r="N22" i="12"/>
  <c r="N23" i="13"/>
  <c r="N24" i="12"/>
  <c r="N33" i="12"/>
  <c r="F52" i="15"/>
  <c r="F56" i="15" s="1"/>
  <c r="F60" i="15" s="1"/>
  <c r="N26" i="12"/>
  <c r="N30" i="13"/>
  <c r="N34" i="13"/>
  <c r="AW174" i="5"/>
  <c r="AW175" i="5" s="1"/>
  <c r="AW176" i="5"/>
  <c r="AW177" i="5" s="1"/>
  <c r="CL174" i="5"/>
  <c r="CL175" i="5" s="1"/>
  <c r="CM176" i="5"/>
  <c r="CM177" i="5" s="1"/>
  <c r="CM174" i="5"/>
  <c r="CM175" i="5" s="1"/>
  <c r="CL176" i="5"/>
  <c r="CL177" i="5" s="1"/>
  <c r="N39" i="14"/>
  <c r="N25" i="12"/>
  <c r="N21" i="13"/>
  <c r="N33" i="13"/>
  <c r="N21" i="12"/>
  <c r="N29" i="12"/>
  <c r="N35" i="13"/>
  <c r="F52" i="14"/>
  <c r="F56" i="14" s="1"/>
  <c r="F60" i="14" s="1"/>
  <c r="N22" i="13"/>
  <c r="N25" i="13"/>
  <c r="N23" i="12"/>
  <c r="CL172" i="5"/>
  <c r="CL173" i="5" s="1"/>
  <c r="AW172" i="5"/>
  <c r="AW173" i="5" s="1"/>
  <c r="CM172" i="5"/>
  <c r="CM173" i="5" s="1"/>
  <c r="N39" i="13"/>
  <c r="N30" i="12"/>
  <c r="N34" i="12"/>
  <c r="F52" i="13"/>
  <c r="F56" i="13" s="1"/>
  <c r="F60" i="13" s="1"/>
  <c r="N35" i="12"/>
  <c r="CL170" i="5"/>
  <c r="CL171" i="5" s="1"/>
  <c r="E5" i="10" s="1"/>
  <c r="AT27" i="5"/>
  <c r="CI27" i="5" s="1"/>
  <c r="AT11" i="5"/>
  <c r="AT36" i="5"/>
  <c r="AT4" i="5"/>
  <c r="AT28" i="5"/>
  <c r="AT3" i="5"/>
  <c r="AT20" i="5"/>
  <c r="AT19" i="5"/>
  <c r="AT12" i="5"/>
  <c r="CC12" i="5" s="1"/>
  <c r="AT8" i="5"/>
  <c r="AV8" i="5" s="1"/>
  <c r="AT139" i="5"/>
  <c r="AT89" i="5"/>
  <c r="AV89" i="5" s="1"/>
  <c r="AT57" i="5"/>
  <c r="AT33" i="5"/>
  <c r="AT16" i="5"/>
  <c r="AV16" i="5" s="1"/>
  <c r="AT131" i="5"/>
  <c r="AT83" i="5"/>
  <c r="CD83" i="5" s="1"/>
  <c r="AT51" i="5"/>
  <c r="AT123" i="5"/>
  <c r="AT81" i="5"/>
  <c r="AT49" i="5"/>
  <c r="AT115" i="5"/>
  <c r="AT75" i="5"/>
  <c r="AT44" i="5"/>
  <c r="AT25" i="5"/>
  <c r="CE25" i="5" s="1"/>
  <c r="AT9" i="5"/>
  <c r="AV9" i="5" s="1"/>
  <c r="AT107" i="5"/>
  <c r="AT73" i="5"/>
  <c r="AT43" i="5"/>
  <c r="AT24" i="5"/>
  <c r="AV24" i="5" s="1"/>
  <c r="AT163" i="5"/>
  <c r="AT99" i="5"/>
  <c r="AT67" i="5"/>
  <c r="CH67" i="5" s="1"/>
  <c r="AT41" i="5"/>
  <c r="AV41" i="5" s="1"/>
  <c r="AT155" i="5"/>
  <c r="AT97" i="5"/>
  <c r="AT65" i="5"/>
  <c r="AT147" i="5"/>
  <c r="AY147" i="5" s="1"/>
  <c r="AT91" i="5"/>
  <c r="AT59" i="5"/>
  <c r="AT35" i="5"/>
  <c r="CE35" i="5" s="1"/>
  <c r="AT17" i="5"/>
  <c r="N39" i="12"/>
  <c r="F67" i="12"/>
  <c r="CG93" i="5"/>
  <c r="CI93" i="5"/>
  <c r="CF93" i="5"/>
  <c r="CD93" i="5"/>
  <c r="CC93" i="5"/>
  <c r="CK93" i="5"/>
  <c r="CA93" i="5"/>
  <c r="BV93" i="5"/>
  <c r="BW93" i="5"/>
  <c r="BY93" i="5"/>
  <c r="BR93" i="5"/>
  <c r="BM93" i="5"/>
  <c r="BQ93" i="5"/>
  <c r="BK93" i="5"/>
  <c r="BS93" i="5"/>
  <c r="BJ93" i="5"/>
  <c r="CE93" i="5"/>
  <c r="BT93" i="5"/>
  <c r="BH93" i="5"/>
  <c r="BG93" i="5"/>
  <c r="BU93" i="5"/>
  <c r="BI93" i="5"/>
  <c r="BE93" i="5"/>
  <c r="BA93" i="5"/>
  <c r="AY93" i="5"/>
  <c r="AZ93" i="5"/>
  <c r="BF93" i="5"/>
  <c r="AU93" i="5"/>
  <c r="BN93" i="5" s="1"/>
  <c r="AV93" i="5"/>
  <c r="BO93" i="5" s="1"/>
  <c r="CG29" i="5"/>
  <c r="CK29" i="5"/>
  <c r="CF29" i="5"/>
  <c r="CD29" i="5"/>
  <c r="CI29" i="5"/>
  <c r="CA29" i="5"/>
  <c r="BV29" i="5"/>
  <c r="CC29" i="5"/>
  <c r="BW29" i="5"/>
  <c r="BR29" i="5"/>
  <c r="BM29" i="5"/>
  <c r="BQ29" i="5"/>
  <c r="CE29" i="5"/>
  <c r="BS29" i="5"/>
  <c r="BK29" i="5"/>
  <c r="BJ29" i="5"/>
  <c r="BT29" i="5"/>
  <c r="BU29" i="5"/>
  <c r="BH29" i="5"/>
  <c r="BY29" i="5"/>
  <c r="BI29" i="5"/>
  <c r="BF29" i="5"/>
  <c r="BE29" i="5"/>
  <c r="AY29" i="5"/>
  <c r="BG29" i="5"/>
  <c r="BA29" i="5"/>
  <c r="AZ29" i="5"/>
  <c r="AU29" i="5"/>
  <c r="BB29" i="5" s="1"/>
  <c r="AV29" i="5"/>
  <c r="BC29" i="5" s="1"/>
  <c r="CH157" i="5"/>
  <c r="CG157" i="5"/>
  <c r="CJ157" i="5"/>
  <c r="CK157" i="5"/>
  <c r="CF157" i="5"/>
  <c r="CD157" i="5"/>
  <c r="CC157" i="5"/>
  <c r="CA157" i="5"/>
  <c r="CI157" i="5"/>
  <c r="BV157" i="5"/>
  <c r="CE157" i="5"/>
  <c r="BW157" i="5"/>
  <c r="BR157" i="5"/>
  <c r="BM157" i="5"/>
  <c r="BQ157" i="5"/>
  <c r="BS157" i="5"/>
  <c r="BK157" i="5"/>
  <c r="BJ157" i="5"/>
  <c r="BT157" i="5"/>
  <c r="BU157" i="5"/>
  <c r="BX157" i="5"/>
  <c r="BH157" i="5"/>
  <c r="BZ157" i="5"/>
  <c r="BY157" i="5"/>
  <c r="BL157" i="5"/>
  <c r="BG157" i="5"/>
  <c r="BE157" i="5"/>
  <c r="BI157" i="5"/>
  <c r="BA157" i="5"/>
  <c r="AY157" i="5"/>
  <c r="AZ157" i="5"/>
  <c r="BF157" i="5"/>
  <c r="AU157" i="5"/>
  <c r="BN157" i="5" s="1"/>
  <c r="AV157" i="5"/>
  <c r="BC157" i="5" s="1"/>
  <c r="CK162" i="5"/>
  <c r="CI162" i="5"/>
  <c r="CF162" i="5"/>
  <c r="BY162" i="5"/>
  <c r="CD162" i="5"/>
  <c r="CA162" i="5"/>
  <c r="BW162" i="5"/>
  <c r="BT162" i="5"/>
  <c r="CG162" i="5"/>
  <c r="CC162" i="5"/>
  <c r="BV162" i="5"/>
  <c r="BR162" i="5"/>
  <c r="BQ162" i="5"/>
  <c r="BK162" i="5"/>
  <c r="BG162" i="5"/>
  <c r="CE162" i="5"/>
  <c r="BI162" i="5"/>
  <c r="BU162" i="5"/>
  <c r="BJ162" i="5"/>
  <c r="BF162" i="5"/>
  <c r="BS162" i="5"/>
  <c r="AZ162" i="5"/>
  <c r="BM162" i="5"/>
  <c r="BH162" i="5"/>
  <c r="BA162" i="5"/>
  <c r="BE162" i="5"/>
  <c r="AY162" i="5"/>
  <c r="AU162" i="5"/>
  <c r="BB162" i="5" s="1"/>
  <c r="AV162" i="5"/>
  <c r="BO162" i="5" s="1"/>
  <c r="CK114" i="5"/>
  <c r="CI114" i="5"/>
  <c r="CD114" i="5"/>
  <c r="BY114" i="5"/>
  <c r="CF114" i="5"/>
  <c r="CA114" i="5"/>
  <c r="CE114" i="5"/>
  <c r="CG114" i="5"/>
  <c r="BV114" i="5"/>
  <c r="BT114" i="5"/>
  <c r="BW114" i="5"/>
  <c r="BR114" i="5"/>
  <c r="BK114" i="5"/>
  <c r="BG114" i="5"/>
  <c r="BQ114" i="5"/>
  <c r="BI114" i="5"/>
  <c r="BS114" i="5"/>
  <c r="BJ114" i="5"/>
  <c r="CC114" i="5"/>
  <c r="BH114" i="5"/>
  <c r="AZ114" i="5"/>
  <c r="BU114" i="5"/>
  <c r="BE114" i="5"/>
  <c r="BM114" i="5"/>
  <c r="BF114" i="5"/>
  <c r="BA114" i="5"/>
  <c r="AY114" i="5"/>
  <c r="AU114" i="5"/>
  <c r="BN114" i="5" s="1"/>
  <c r="AV114" i="5"/>
  <c r="BO114" i="5" s="1"/>
  <c r="CK98" i="5"/>
  <c r="CI98" i="5"/>
  <c r="CG98" i="5"/>
  <c r="CF98" i="5"/>
  <c r="BY98" i="5"/>
  <c r="CA98" i="5"/>
  <c r="CC98" i="5"/>
  <c r="CE98" i="5"/>
  <c r="CD98" i="5"/>
  <c r="BW98" i="5"/>
  <c r="BT98" i="5"/>
  <c r="BV98" i="5"/>
  <c r="BR98" i="5"/>
  <c r="BQ98" i="5"/>
  <c r="BK98" i="5"/>
  <c r="BG98" i="5"/>
  <c r="BI98" i="5"/>
  <c r="BJ98" i="5"/>
  <c r="BU98" i="5"/>
  <c r="BM98" i="5"/>
  <c r="AZ98" i="5"/>
  <c r="BS98" i="5"/>
  <c r="BF98" i="5"/>
  <c r="BH98" i="5"/>
  <c r="BE98" i="5"/>
  <c r="BA98" i="5"/>
  <c r="AY98" i="5"/>
  <c r="AU98" i="5"/>
  <c r="BB98" i="5" s="1"/>
  <c r="AV98" i="5"/>
  <c r="BC98" i="5" s="1"/>
  <c r="CK50" i="5"/>
  <c r="CH50" i="5"/>
  <c r="CJ50" i="5"/>
  <c r="CI50" i="5"/>
  <c r="CE50" i="5"/>
  <c r="CG50" i="5"/>
  <c r="CD50" i="5"/>
  <c r="BY50" i="5"/>
  <c r="CA50" i="5"/>
  <c r="BV50" i="5"/>
  <c r="BT50" i="5"/>
  <c r="CF50" i="5"/>
  <c r="BW50" i="5"/>
  <c r="BR50" i="5"/>
  <c r="CC50" i="5"/>
  <c r="BK50" i="5"/>
  <c r="BG50" i="5"/>
  <c r="BZ50" i="5"/>
  <c r="BQ50" i="5"/>
  <c r="BI50" i="5"/>
  <c r="BL50" i="5"/>
  <c r="BX50" i="5"/>
  <c r="BS50" i="5"/>
  <c r="BJ50" i="5"/>
  <c r="AZ50" i="5"/>
  <c r="BU50" i="5"/>
  <c r="BH50" i="5"/>
  <c r="BM50" i="5"/>
  <c r="BF50" i="5"/>
  <c r="BE50" i="5"/>
  <c r="BA50" i="5"/>
  <c r="AY50" i="5"/>
  <c r="AU50" i="5"/>
  <c r="BN50" i="5" s="1"/>
  <c r="AV50" i="5"/>
  <c r="BC50" i="5" s="1"/>
  <c r="CK34" i="5"/>
  <c r="CI34" i="5"/>
  <c r="CF34" i="5"/>
  <c r="CE34" i="5"/>
  <c r="BY34" i="5"/>
  <c r="CA34" i="5"/>
  <c r="CD34" i="5"/>
  <c r="BW34" i="5"/>
  <c r="BT34" i="5"/>
  <c r="BV34" i="5"/>
  <c r="BR34" i="5"/>
  <c r="CG34" i="5"/>
  <c r="BQ34" i="5"/>
  <c r="BK34" i="5"/>
  <c r="BG34" i="5"/>
  <c r="CC34" i="5"/>
  <c r="BI34" i="5"/>
  <c r="BU34" i="5"/>
  <c r="BJ34" i="5"/>
  <c r="BS34" i="5"/>
  <c r="AZ34" i="5"/>
  <c r="BM34" i="5"/>
  <c r="BH34" i="5"/>
  <c r="BE34" i="5"/>
  <c r="BF34" i="5"/>
  <c r="AY34" i="5"/>
  <c r="BA34" i="5"/>
  <c r="AU34" i="5"/>
  <c r="BN34" i="5" s="1"/>
  <c r="AV34" i="5"/>
  <c r="BO34" i="5" s="1"/>
  <c r="CG137" i="5"/>
  <c r="CI137" i="5"/>
  <c r="CJ137" i="5"/>
  <c r="CE137" i="5"/>
  <c r="CD137" i="5"/>
  <c r="CA137" i="5"/>
  <c r="CC137" i="5"/>
  <c r="CK137" i="5"/>
  <c r="BV137" i="5"/>
  <c r="CH137" i="5"/>
  <c r="BY137" i="5"/>
  <c r="CF137" i="5"/>
  <c r="BX137" i="5"/>
  <c r="BT137" i="5"/>
  <c r="BW137" i="5"/>
  <c r="BS137" i="5"/>
  <c r="BM137" i="5"/>
  <c r="BU137" i="5"/>
  <c r="BZ137" i="5"/>
  <c r="BR137" i="5"/>
  <c r="BI137" i="5"/>
  <c r="BJ137" i="5"/>
  <c r="BE137" i="5"/>
  <c r="BQ137" i="5"/>
  <c r="BG137" i="5"/>
  <c r="BF137" i="5"/>
  <c r="BH137" i="5"/>
  <c r="BL137" i="5"/>
  <c r="BK137" i="5"/>
  <c r="BA137" i="5"/>
  <c r="AZ137" i="5"/>
  <c r="AY137" i="5"/>
  <c r="AU137" i="5"/>
  <c r="BN137" i="5" s="1"/>
  <c r="AV137" i="5"/>
  <c r="BO137" i="5" s="1"/>
  <c r="CG121" i="5"/>
  <c r="CF121" i="5"/>
  <c r="CK121" i="5"/>
  <c r="CE121" i="5"/>
  <c r="CA121" i="5"/>
  <c r="CC121" i="5"/>
  <c r="BV121" i="5"/>
  <c r="BS121" i="5"/>
  <c r="BY121" i="5"/>
  <c r="BT121" i="5"/>
  <c r="BM121" i="5"/>
  <c r="CI121" i="5"/>
  <c r="BW121" i="5"/>
  <c r="CD121" i="5"/>
  <c r="BU121" i="5"/>
  <c r="BQ121" i="5"/>
  <c r="BR121" i="5"/>
  <c r="BK121" i="5"/>
  <c r="BH121" i="5"/>
  <c r="BI121" i="5"/>
  <c r="BJ121" i="5"/>
  <c r="BG121" i="5"/>
  <c r="BE121" i="5"/>
  <c r="AZ121" i="5"/>
  <c r="BF121" i="5"/>
  <c r="BA121" i="5"/>
  <c r="AY121" i="5"/>
  <c r="AU121" i="5"/>
  <c r="BB121" i="5" s="1"/>
  <c r="AV121" i="5"/>
  <c r="BO121" i="5" s="1"/>
  <c r="CI167" i="5"/>
  <c r="CF167" i="5"/>
  <c r="CE167" i="5"/>
  <c r="CK167" i="5"/>
  <c r="BW167" i="5"/>
  <c r="CA167" i="5"/>
  <c r="BY167" i="5"/>
  <c r="BV167" i="5"/>
  <c r="CC167" i="5"/>
  <c r="CG167" i="5"/>
  <c r="CD167" i="5"/>
  <c r="BQ167" i="5"/>
  <c r="BT167" i="5"/>
  <c r="BI167" i="5"/>
  <c r="BJ167" i="5"/>
  <c r="BR167" i="5"/>
  <c r="BS167" i="5"/>
  <c r="BH167" i="5"/>
  <c r="BF167" i="5"/>
  <c r="BU167" i="5"/>
  <c r="BM167" i="5"/>
  <c r="BK167" i="5"/>
  <c r="BG167" i="5"/>
  <c r="BA167" i="5"/>
  <c r="AZ167" i="5"/>
  <c r="BE167" i="5"/>
  <c r="AV167" i="5"/>
  <c r="BC167" i="5" s="1"/>
  <c r="AY167" i="5"/>
  <c r="AU167" i="5"/>
  <c r="BN167" i="5" s="1"/>
  <c r="CI151" i="5"/>
  <c r="CE151" i="5"/>
  <c r="CG151" i="5"/>
  <c r="CD151" i="5"/>
  <c r="CA151" i="5"/>
  <c r="BY151" i="5"/>
  <c r="BW151" i="5"/>
  <c r="CF151" i="5"/>
  <c r="BV151" i="5"/>
  <c r="BQ151" i="5"/>
  <c r="CK151" i="5"/>
  <c r="BJ151" i="5"/>
  <c r="BI151" i="5"/>
  <c r="BS151" i="5"/>
  <c r="BT151" i="5"/>
  <c r="CC151" i="5"/>
  <c r="BU151" i="5"/>
  <c r="BK151" i="5"/>
  <c r="BG151" i="5"/>
  <c r="BE151" i="5"/>
  <c r="BR151" i="5"/>
  <c r="BM151" i="5"/>
  <c r="AZ151" i="5"/>
  <c r="BF151" i="5"/>
  <c r="BA151" i="5"/>
  <c r="BH151" i="5"/>
  <c r="AV151" i="5"/>
  <c r="BC151" i="5" s="1"/>
  <c r="AY151" i="5"/>
  <c r="AU151" i="5"/>
  <c r="BN151" i="5" s="1"/>
  <c r="CI135" i="5"/>
  <c r="CK135" i="5"/>
  <c r="CE135" i="5"/>
  <c r="CG135" i="5"/>
  <c r="CF135" i="5"/>
  <c r="BW135" i="5"/>
  <c r="CA135" i="5"/>
  <c r="BY135" i="5"/>
  <c r="BV135" i="5"/>
  <c r="CC135" i="5"/>
  <c r="CD135" i="5"/>
  <c r="BQ135" i="5"/>
  <c r="BI135" i="5"/>
  <c r="BS135" i="5"/>
  <c r="BJ135" i="5"/>
  <c r="BU135" i="5"/>
  <c r="BR135" i="5"/>
  <c r="BK135" i="5"/>
  <c r="BH135" i="5"/>
  <c r="BM135" i="5"/>
  <c r="BG135" i="5"/>
  <c r="BT135" i="5"/>
  <c r="BE135" i="5"/>
  <c r="BA135" i="5"/>
  <c r="AY135" i="5"/>
  <c r="AZ135" i="5"/>
  <c r="BF135" i="5"/>
  <c r="AV135" i="5"/>
  <c r="BO135" i="5" s="1"/>
  <c r="AU135" i="5"/>
  <c r="BN135" i="5" s="1"/>
  <c r="CI119" i="5"/>
  <c r="CE119" i="5"/>
  <c r="CD119" i="5"/>
  <c r="CK119" i="5"/>
  <c r="CA119" i="5"/>
  <c r="BY119" i="5"/>
  <c r="BW119" i="5"/>
  <c r="CC119" i="5"/>
  <c r="CF119" i="5"/>
  <c r="BV119" i="5"/>
  <c r="CG119" i="5"/>
  <c r="BQ119" i="5"/>
  <c r="BU119" i="5"/>
  <c r="BR119" i="5"/>
  <c r="BJ119" i="5"/>
  <c r="BI119" i="5"/>
  <c r="BG119" i="5"/>
  <c r="BT119" i="5"/>
  <c r="BM119" i="5"/>
  <c r="BK119" i="5"/>
  <c r="BS119" i="5"/>
  <c r="AZ119" i="5"/>
  <c r="BE119" i="5"/>
  <c r="BH119" i="5"/>
  <c r="BF119" i="5"/>
  <c r="BA119" i="5"/>
  <c r="AY119" i="5"/>
  <c r="AV119" i="5"/>
  <c r="BO119" i="5" s="1"/>
  <c r="AU119" i="5"/>
  <c r="BB119" i="5" s="1"/>
  <c r="CI103" i="5"/>
  <c r="CF103" i="5"/>
  <c r="CK103" i="5"/>
  <c r="CE103" i="5"/>
  <c r="CG103" i="5"/>
  <c r="BW103" i="5"/>
  <c r="CA103" i="5"/>
  <c r="BY103" i="5"/>
  <c r="CC103" i="5"/>
  <c r="BV103" i="5"/>
  <c r="CD103" i="5"/>
  <c r="BQ103" i="5"/>
  <c r="BI103" i="5"/>
  <c r="BT103" i="5"/>
  <c r="BJ103" i="5"/>
  <c r="BU103" i="5"/>
  <c r="BR103" i="5"/>
  <c r="BS103" i="5"/>
  <c r="BM103" i="5"/>
  <c r="BK103" i="5"/>
  <c r="BG103" i="5"/>
  <c r="BH103" i="5"/>
  <c r="BF103" i="5"/>
  <c r="BA103" i="5"/>
  <c r="AY103" i="5"/>
  <c r="AZ103" i="5"/>
  <c r="BE103" i="5"/>
  <c r="AV103" i="5"/>
  <c r="BO103" i="5" s="1"/>
  <c r="AU103" i="5"/>
  <c r="BN103" i="5" s="1"/>
  <c r="CI87" i="5"/>
  <c r="CK87" i="5"/>
  <c r="CE87" i="5"/>
  <c r="CG87" i="5"/>
  <c r="CD87" i="5"/>
  <c r="CA87" i="5"/>
  <c r="BY87" i="5"/>
  <c r="BW87" i="5"/>
  <c r="CF87" i="5"/>
  <c r="BV87" i="5"/>
  <c r="BQ87" i="5"/>
  <c r="BJ87" i="5"/>
  <c r="CC87" i="5"/>
  <c r="BI87" i="5"/>
  <c r="BS87" i="5"/>
  <c r="BT87" i="5"/>
  <c r="BU87" i="5"/>
  <c r="BF87" i="5"/>
  <c r="BR87" i="5"/>
  <c r="BM87" i="5"/>
  <c r="BE87" i="5"/>
  <c r="BH87" i="5"/>
  <c r="AZ87" i="5"/>
  <c r="BG87" i="5"/>
  <c r="BK87" i="5"/>
  <c r="BA87" i="5"/>
  <c r="AY87" i="5"/>
  <c r="AV87" i="5"/>
  <c r="BC87" i="5" s="1"/>
  <c r="AU87" i="5"/>
  <c r="BN87" i="5" s="1"/>
  <c r="CJ71" i="5"/>
  <c r="CI71" i="5"/>
  <c r="CF71" i="5"/>
  <c r="CE71" i="5"/>
  <c r="BZ71" i="5"/>
  <c r="BX71" i="5"/>
  <c r="BW71" i="5"/>
  <c r="CD71" i="5"/>
  <c r="CA71" i="5"/>
  <c r="BY71" i="5"/>
  <c r="CH71" i="5"/>
  <c r="BV71" i="5"/>
  <c r="CG71" i="5"/>
  <c r="BQ71" i="5"/>
  <c r="CC71" i="5"/>
  <c r="BS71" i="5"/>
  <c r="BI71" i="5"/>
  <c r="BJ71" i="5"/>
  <c r="CK71" i="5"/>
  <c r="BT71" i="5"/>
  <c r="BK71" i="5"/>
  <c r="BH71" i="5"/>
  <c r="BU71" i="5"/>
  <c r="BR71" i="5"/>
  <c r="BL71" i="5"/>
  <c r="BE71" i="5"/>
  <c r="BM71" i="5"/>
  <c r="BG71" i="5"/>
  <c r="BA71" i="5"/>
  <c r="BF71" i="5"/>
  <c r="AY71" i="5"/>
  <c r="AZ71" i="5"/>
  <c r="AV71" i="5"/>
  <c r="BC71" i="5" s="1"/>
  <c r="AU71" i="5"/>
  <c r="BB71" i="5" s="1"/>
  <c r="CI55" i="5"/>
  <c r="CG55" i="5"/>
  <c r="CK55" i="5"/>
  <c r="CH55" i="5"/>
  <c r="CE55" i="5"/>
  <c r="CJ55" i="5"/>
  <c r="CD55" i="5"/>
  <c r="BZ55" i="5"/>
  <c r="CA55" i="5"/>
  <c r="BY55" i="5"/>
  <c r="BW55" i="5"/>
  <c r="CF55" i="5"/>
  <c r="CC55" i="5"/>
  <c r="BV55" i="5"/>
  <c r="BQ55" i="5"/>
  <c r="BX55" i="5"/>
  <c r="BJ55" i="5"/>
  <c r="BU55" i="5"/>
  <c r="BR55" i="5"/>
  <c r="BI55" i="5"/>
  <c r="BS55" i="5"/>
  <c r="BM55" i="5"/>
  <c r="BT55" i="5"/>
  <c r="BG55" i="5"/>
  <c r="BK55" i="5"/>
  <c r="BL55" i="5"/>
  <c r="BF55" i="5"/>
  <c r="BE55" i="5"/>
  <c r="AZ55" i="5"/>
  <c r="BH55" i="5"/>
  <c r="BA55" i="5"/>
  <c r="AY55" i="5"/>
  <c r="AV55" i="5"/>
  <c r="BO55" i="5" s="1"/>
  <c r="AU55" i="5"/>
  <c r="BN55" i="5" s="1"/>
  <c r="CI39" i="5"/>
  <c r="CF39" i="5"/>
  <c r="CC39" i="5"/>
  <c r="CG39" i="5"/>
  <c r="BW39" i="5"/>
  <c r="CA39" i="5"/>
  <c r="BY39" i="5"/>
  <c r="CK39" i="5"/>
  <c r="BV39" i="5"/>
  <c r="CE39" i="5"/>
  <c r="BQ39" i="5"/>
  <c r="BT39" i="5"/>
  <c r="BI39" i="5"/>
  <c r="BJ39" i="5"/>
  <c r="BU39" i="5"/>
  <c r="CD39" i="5"/>
  <c r="BR39" i="5"/>
  <c r="BS39" i="5"/>
  <c r="BM39" i="5"/>
  <c r="BK39" i="5"/>
  <c r="BG39" i="5"/>
  <c r="BH39" i="5"/>
  <c r="BF39" i="5"/>
  <c r="AY39" i="5"/>
  <c r="BA39" i="5"/>
  <c r="BE39" i="5"/>
  <c r="AZ39" i="5"/>
  <c r="AV39" i="5"/>
  <c r="BC39" i="5" s="1"/>
  <c r="AU39" i="5"/>
  <c r="BB39" i="5" s="1"/>
  <c r="CI23" i="5"/>
  <c r="CF23" i="5"/>
  <c r="CG23" i="5"/>
  <c r="CE23" i="5"/>
  <c r="CC23" i="5"/>
  <c r="CA23" i="5"/>
  <c r="BY23" i="5"/>
  <c r="BW23" i="5"/>
  <c r="BU23" i="5"/>
  <c r="CD23" i="5"/>
  <c r="BV23" i="5"/>
  <c r="CK23" i="5"/>
  <c r="BQ23" i="5"/>
  <c r="BJ23" i="5"/>
  <c r="BI23" i="5"/>
  <c r="BR23" i="5"/>
  <c r="BF23" i="5"/>
  <c r="BS23" i="5"/>
  <c r="BT23" i="5"/>
  <c r="BE23" i="5"/>
  <c r="BM23" i="5"/>
  <c r="BH23" i="5"/>
  <c r="AZ23" i="5"/>
  <c r="BA23" i="5"/>
  <c r="BG23" i="5"/>
  <c r="BK23" i="5"/>
  <c r="AY23" i="5"/>
  <c r="AV23" i="5"/>
  <c r="BC23" i="5" s="1"/>
  <c r="AU23" i="5"/>
  <c r="BB23" i="5" s="1"/>
  <c r="CI7" i="5"/>
  <c r="CF7" i="5"/>
  <c r="CG7" i="5"/>
  <c r="CC7" i="5"/>
  <c r="CK7" i="5"/>
  <c r="CE7" i="5"/>
  <c r="BW7" i="5"/>
  <c r="CA7" i="5"/>
  <c r="BU7" i="5"/>
  <c r="CD7" i="5"/>
  <c r="BV7" i="5"/>
  <c r="BQ7" i="5"/>
  <c r="BI7" i="5"/>
  <c r="BS7" i="5"/>
  <c r="BM7" i="5"/>
  <c r="BJ7" i="5"/>
  <c r="BT7" i="5"/>
  <c r="BY7" i="5"/>
  <c r="BR7" i="5"/>
  <c r="BK7" i="5"/>
  <c r="BH7" i="5"/>
  <c r="BG7" i="5"/>
  <c r="BE7" i="5"/>
  <c r="BA7" i="5"/>
  <c r="AY7" i="5"/>
  <c r="BF7" i="5"/>
  <c r="AZ7" i="5"/>
  <c r="AV7" i="5"/>
  <c r="BC7" i="5" s="1"/>
  <c r="AU7" i="5"/>
  <c r="BB7" i="5" s="1"/>
  <c r="AT166" i="5"/>
  <c r="AT158" i="5"/>
  <c r="AT150" i="5"/>
  <c r="AT142" i="5"/>
  <c r="AT134" i="5"/>
  <c r="AT126" i="5"/>
  <c r="AT118" i="5"/>
  <c r="AT110" i="5"/>
  <c r="AT102" i="5"/>
  <c r="AT94" i="5"/>
  <c r="AT86" i="5"/>
  <c r="AT78" i="5"/>
  <c r="AT70" i="5"/>
  <c r="AT62" i="5"/>
  <c r="AT54" i="5"/>
  <c r="AT46" i="5"/>
  <c r="AT38" i="5"/>
  <c r="AT30" i="5"/>
  <c r="AT22" i="5"/>
  <c r="AT14" i="5"/>
  <c r="AT6" i="5"/>
  <c r="AW170" i="5"/>
  <c r="AW171" i="5" s="1"/>
  <c r="AX7" i="5"/>
  <c r="AX29" i="5"/>
  <c r="BP29" i="5" s="1"/>
  <c r="AX50" i="5"/>
  <c r="BD50" i="5" s="1"/>
  <c r="AX71" i="5"/>
  <c r="BP71" i="5" s="1"/>
  <c r="AX93" i="5"/>
  <c r="BP93" i="5" s="1"/>
  <c r="AX114" i="5"/>
  <c r="BP114" i="5" s="1"/>
  <c r="AX135" i="5"/>
  <c r="AX157" i="5"/>
  <c r="BP157" i="5" s="1"/>
  <c r="AT165" i="5"/>
  <c r="AT149" i="5"/>
  <c r="AT141" i="5"/>
  <c r="AT133" i="5"/>
  <c r="AT125" i="5"/>
  <c r="AT117" i="5"/>
  <c r="AT109" i="5"/>
  <c r="AT101" i="5"/>
  <c r="AT85" i="5"/>
  <c r="AT77" i="5"/>
  <c r="AT69" i="5"/>
  <c r="AT61" i="5"/>
  <c r="AT53" i="5"/>
  <c r="AT45" i="5"/>
  <c r="AT37" i="5"/>
  <c r="AT21" i="5"/>
  <c r="AT13" i="5"/>
  <c r="AT5" i="5"/>
  <c r="AX137" i="5"/>
  <c r="BD137" i="5" s="1"/>
  <c r="AT164" i="5"/>
  <c r="AT156" i="5"/>
  <c r="AT148" i="5"/>
  <c r="AT140" i="5"/>
  <c r="AT132" i="5"/>
  <c r="AT124" i="5"/>
  <c r="AT116" i="5"/>
  <c r="AT108" i="5"/>
  <c r="AT100" i="5"/>
  <c r="AT92" i="5"/>
  <c r="AT84" i="5"/>
  <c r="AT76" i="5"/>
  <c r="AT68" i="5"/>
  <c r="AT60" i="5"/>
  <c r="AT52" i="5"/>
  <c r="CK44" i="5"/>
  <c r="CI44" i="5"/>
  <c r="CC44" i="5"/>
  <c r="CF44" i="5"/>
  <c r="CG44" i="5"/>
  <c r="CA44" i="5"/>
  <c r="BY44" i="5"/>
  <c r="BS44" i="5"/>
  <c r="BV44" i="5"/>
  <c r="BU44" i="5"/>
  <c r="BQ44" i="5"/>
  <c r="BW44" i="5"/>
  <c r="BJ44" i="5"/>
  <c r="BF44" i="5"/>
  <c r="BH44" i="5"/>
  <c r="CD44" i="5"/>
  <c r="BI44" i="5"/>
  <c r="BE44" i="5"/>
  <c r="CE44" i="5"/>
  <c r="BT44" i="5"/>
  <c r="AY44" i="5"/>
  <c r="BR44" i="5"/>
  <c r="BA44" i="5"/>
  <c r="BP44" i="5" s="1"/>
  <c r="BM44" i="5"/>
  <c r="BK44" i="5"/>
  <c r="BG44" i="5"/>
  <c r="AZ44" i="5"/>
  <c r="BD44" i="5"/>
  <c r="CF36" i="5"/>
  <c r="CG36" i="5"/>
  <c r="CK36" i="5"/>
  <c r="CE36" i="5"/>
  <c r="CD36" i="5"/>
  <c r="CA36" i="5"/>
  <c r="BS36" i="5"/>
  <c r="BU36" i="5"/>
  <c r="BQ36" i="5"/>
  <c r="BJ36" i="5"/>
  <c r="BF36" i="5"/>
  <c r="BT36" i="5"/>
  <c r="BH36" i="5"/>
  <c r="CI36" i="5"/>
  <c r="BW36" i="5"/>
  <c r="BE36" i="5"/>
  <c r="BR36" i="5"/>
  <c r="BV36" i="5"/>
  <c r="BD36" i="5"/>
  <c r="AY36" i="5"/>
  <c r="CC36" i="5"/>
  <c r="BY36" i="5"/>
  <c r="BK36" i="5"/>
  <c r="BA36" i="5"/>
  <c r="BP36" i="5" s="1"/>
  <c r="BG36" i="5"/>
  <c r="BI36" i="5"/>
  <c r="BM36" i="5"/>
  <c r="AZ36" i="5"/>
  <c r="CE28" i="5"/>
  <c r="CH28" i="5"/>
  <c r="CF28" i="5"/>
  <c r="CI28" i="5"/>
  <c r="CJ28" i="5"/>
  <c r="BZ28" i="5"/>
  <c r="CG28" i="5"/>
  <c r="CA28" i="5"/>
  <c r="BY28" i="5"/>
  <c r="BV28" i="5"/>
  <c r="BS28" i="5"/>
  <c r="BX28" i="5"/>
  <c r="BU28" i="5"/>
  <c r="BQ28" i="5"/>
  <c r="BL28" i="5"/>
  <c r="BJ28" i="5"/>
  <c r="BF28" i="5"/>
  <c r="BH28" i="5"/>
  <c r="CK28" i="5"/>
  <c r="CC28" i="5"/>
  <c r="BI28" i="5"/>
  <c r="BE28" i="5"/>
  <c r="CD28" i="5"/>
  <c r="BT28" i="5"/>
  <c r="BW28" i="5"/>
  <c r="BK28" i="5"/>
  <c r="AY28" i="5"/>
  <c r="BR28" i="5"/>
  <c r="BA28" i="5"/>
  <c r="BP28" i="5" s="1"/>
  <c r="BD28" i="5"/>
  <c r="BM28" i="5"/>
  <c r="BG28" i="5"/>
  <c r="AZ28" i="5"/>
  <c r="CI20" i="5"/>
  <c r="CK20" i="5"/>
  <c r="CD20" i="5"/>
  <c r="CC20" i="5"/>
  <c r="CE20" i="5"/>
  <c r="BS20" i="5"/>
  <c r="CA20" i="5"/>
  <c r="BQ20" i="5"/>
  <c r="BV20" i="5"/>
  <c r="BT20" i="5"/>
  <c r="BM20" i="5"/>
  <c r="BJ20" i="5"/>
  <c r="BF20" i="5"/>
  <c r="BH20" i="5"/>
  <c r="CF20" i="5"/>
  <c r="BR20" i="5"/>
  <c r="BE20" i="5"/>
  <c r="BU20" i="5"/>
  <c r="CG20" i="5"/>
  <c r="BY20" i="5"/>
  <c r="AY20" i="5"/>
  <c r="BW20" i="5"/>
  <c r="BD20" i="5"/>
  <c r="BA20" i="5"/>
  <c r="BP20" i="5" s="1"/>
  <c r="BK20" i="5"/>
  <c r="BG20" i="5"/>
  <c r="AZ20" i="5"/>
  <c r="BI20" i="5"/>
  <c r="BL20" i="5" s="1"/>
  <c r="CF12" i="5"/>
  <c r="CA12" i="5"/>
  <c r="BV12" i="5"/>
  <c r="BJ12" i="5"/>
  <c r="BI12" i="5"/>
  <c r="CI12" i="5"/>
  <c r="BK12" i="5"/>
  <c r="CK4" i="5"/>
  <c r="CF4" i="5"/>
  <c r="CE4" i="5"/>
  <c r="CI4" i="5"/>
  <c r="CG4" i="5"/>
  <c r="BW4" i="5"/>
  <c r="CD4" i="5"/>
  <c r="BS4" i="5"/>
  <c r="BQ4" i="5"/>
  <c r="BM4" i="5"/>
  <c r="BJ4" i="5"/>
  <c r="BF4" i="5"/>
  <c r="BU4" i="5"/>
  <c r="BT4" i="5"/>
  <c r="BH4" i="5"/>
  <c r="CA4" i="5"/>
  <c r="BE4" i="5"/>
  <c r="CC4" i="5"/>
  <c r="BY4" i="5"/>
  <c r="BR4" i="5"/>
  <c r="BG4" i="5"/>
  <c r="BD4" i="5"/>
  <c r="AY4" i="5"/>
  <c r="BV4" i="5"/>
  <c r="BA4" i="5"/>
  <c r="BP4" i="5" s="1"/>
  <c r="BI4" i="5"/>
  <c r="BK4" i="5"/>
  <c r="AZ4" i="5"/>
  <c r="AU8" i="5"/>
  <c r="BN8" i="5" s="1"/>
  <c r="AU16" i="5"/>
  <c r="BN16" i="5" s="1"/>
  <c r="AU24" i="5"/>
  <c r="BN24" i="5" s="1"/>
  <c r="AX34" i="5"/>
  <c r="BP34" i="5" s="1"/>
  <c r="AX55" i="5"/>
  <c r="AX98" i="5"/>
  <c r="BP98" i="5" s="1"/>
  <c r="AX119" i="5"/>
  <c r="BD119" i="5" s="1"/>
  <c r="AX162" i="5"/>
  <c r="CI163" i="5"/>
  <c r="CG163" i="5"/>
  <c r="CE163" i="5"/>
  <c r="CF163" i="5"/>
  <c r="CC163" i="5"/>
  <c r="BW163" i="5"/>
  <c r="CD163" i="5"/>
  <c r="CK163" i="5"/>
  <c r="CA163" i="5"/>
  <c r="BV163" i="5"/>
  <c r="BS163" i="5"/>
  <c r="BR163" i="5"/>
  <c r="BK163" i="5"/>
  <c r="BT163" i="5"/>
  <c r="BU163" i="5"/>
  <c r="BQ163" i="5"/>
  <c r="BY163" i="5"/>
  <c r="BH163" i="5"/>
  <c r="BI163" i="5"/>
  <c r="BJ163" i="5"/>
  <c r="BM163" i="5"/>
  <c r="BD163" i="5"/>
  <c r="BE163" i="5"/>
  <c r="BG163" i="5"/>
  <c r="AZ163" i="5"/>
  <c r="BA163" i="5"/>
  <c r="BP163" i="5" s="1"/>
  <c r="BF163" i="5"/>
  <c r="CI155" i="5"/>
  <c r="CJ155" i="5"/>
  <c r="CG155" i="5"/>
  <c r="CH155" i="5"/>
  <c r="CE155" i="5"/>
  <c r="CK155" i="5"/>
  <c r="CD155" i="5"/>
  <c r="BZ155" i="5"/>
  <c r="BX155" i="5"/>
  <c r="BW155" i="5"/>
  <c r="CF155" i="5"/>
  <c r="CC155" i="5"/>
  <c r="CA155" i="5"/>
  <c r="BV155" i="5"/>
  <c r="BM155" i="5"/>
  <c r="BG155" i="5"/>
  <c r="BU155" i="5"/>
  <c r="BR155" i="5"/>
  <c r="BH155" i="5"/>
  <c r="BF155" i="5"/>
  <c r="BY155" i="5"/>
  <c r="BS155" i="5"/>
  <c r="BL155" i="5"/>
  <c r="BJ155" i="5"/>
  <c r="BQ155" i="5"/>
  <c r="BT155" i="5"/>
  <c r="BI155" i="5"/>
  <c r="BD155" i="5"/>
  <c r="AY155" i="5"/>
  <c r="BK155" i="5"/>
  <c r="AZ155" i="5"/>
  <c r="BE155" i="5"/>
  <c r="BA155" i="5"/>
  <c r="BP155" i="5" s="1"/>
  <c r="CI147" i="5"/>
  <c r="CK147" i="5"/>
  <c r="CG147" i="5"/>
  <c r="CF147" i="5"/>
  <c r="CE147" i="5"/>
  <c r="CC147" i="5"/>
  <c r="BW147" i="5"/>
  <c r="CD147" i="5"/>
  <c r="BR147" i="5"/>
  <c r="BS147" i="5"/>
  <c r="BU147" i="5"/>
  <c r="BK147" i="5"/>
  <c r="CA147" i="5"/>
  <c r="BY147" i="5"/>
  <c r="BT147" i="5"/>
  <c r="BJ147" i="5"/>
  <c r="BG147" i="5"/>
  <c r="BV147" i="5"/>
  <c r="BQ147" i="5"/>
  <c r="BM147" i="5"/>
  <c r="BF147" i="5"/>
  <c r="BH147" i="5"/>
  <c r="BD147" i="5"/>
  <c r="BA147" i="5"/>
  <c r="BP147" i="5" s="1"/>
  <c r="BE147" i="5"/>
  <c r="BI147" i="5"/>
  <c r="AZ147" i="5"/>
  <c r="CI139" i="5"/>
  <c r="CK139" i="5"/>
  <c r="CF139" i="5"/>
  <c r="CG139" i="5"/>
  <c r="CE139" i="5"/>
  <c r="BW139" i="5"/>
  <c r="CD139" i="5"/>
  <c r="CC139" i="5"/>
  <c r="BY139" i="5"/>
  <c r="BT139" i="5"/>
  <c r="BH139" i="5"/>
  <c r="BM139" i="5"/>
  <c r="BG139" i="5"/>
  <c r="CA139" i="5"/>
  <c r="BV139" i="5"/>
  <c r="BU139" i="5"/>
  <c r="BQ139" i="5"/>
  <c r="BR139" i="5"/>
  <c r="BJ139" i="5"/>
  <c r="BF139" i="5"/>
  <c r="BS139" i="5"/>
  <c r="BK139" i="5"/>
  <c r="BI139" i="5"/>
  <c r="BA139" i="5"/>
  <c r="BP139" i="5" s="1"/>
  <c r="AY139" i="5"/>
  <c r="BD139" i="5"/>
  <c r="BE139" i="5"/>
  <c r="AZ139" i="5"/>
  <c r="CI131" i="5"/>
  <c r="CE131" i="5"/>
  <c r="CK131" i="5"/>
  <c r="CC131" i="5"/>
  <c r="CD131" i="5"/>
  <c r="BW131" i="5"/>
  <c r="CG131" i="5"/>
  <c r="BY131" i="5"/>
  <c r="BS131" i="5"/>
  <c r="CA131" i="5"/>
  <c r="BR131" i="5"/>
  <c r="CF131" i="5"/>
  <c r="BT131" i="5"/>
  <c r="BQ131" i="5"/>
  <c r="BK131" i="5"/>
  <c r="BV131" i="5"/>
  <c r="BU131" i="5"/>
  <c r="BI131" i="5"/>
  <c r="BG131" i="5"/>
  <c r="BJ131" i="5"/>
  <c r="BM131" i="5"/>
  <c r="BF131" i="5"/>
  <c r="AZ131" i="5"/>
  <c r="BH131" i="5"/>
  <c r="BD131" i="5"/>
  <c r="BE131" i="5"/>
  <c r="BA131" i="5"/>
  <c r="BP131" i="5" s="1"/>
  <c r="AY131" i="5"/>
  <c r="CI123" i="5"/>
  <c r="CG123" i="5"/>
  <c r="CK123" i="5"/>
  <c r="CE123" i="5"/>
  <c r="CD123" i="5"/>
  <c r="BW123" i="5"/>
  <c r="BY123" i="5"/>
  <c r="BQ123" i="5"/>
  <c r="BM123" i="5"/>
  <c r="BG123" i="5"/>
  <c r="BH123" i="5"/>
  <c r="BT123" i="5"/>
  <c r="CC123" i="5"/>
  <c r="BU123" i="5"/>
  <c r="BI123" i="5"/>
  <c r="BF123" i="5"/>
  <c r="CF123" i="5"/>
  <c r="BV123" i="5"/>
  <c r="BR123" i="5"/>
  <c r="CA123" i="5"/>
  <c r="BS123" i="5"/>
  <c r="BE123" i="5"/>
  <c r="BJ123" i="5"/>
  <c r="BK123" i="5"/>
  <c r="AY123" i="5"/>
  <c r="BD123" i="5"/>
  <c r="AZ123" i="5"/>
  <c r="BA123" i="5"/>
  <c r="BP123" i="5" s="1"/>
  <c r="CI115" i="5"/>
  <c r="CK115" i="5"/>
  <c r="CF115" i="5"/>
  <c r="CG115" i="5"/>
  <c r="CE115" i="5"/>
  <c r="CC115" i="5"/>
  <c r="BW115" i="5"/>
  <c r="CD115" i="5"/>
  <c r="CA115" i="5"/>
  <c r="BR115" i="5"/>
  <c r="BS115" i="5"/>
  <c r="BY115" i="5"/>
  <c r="BK115" i="5"/>
  <c r="BU115" i="5"/>
  <c r="BQ115" i="5"/>
  <c r="BV115" i="5"/>
  <c r="BF115" i="5"/>
  <c r="BM115" i="5"/>
  <c r="BG115" i="5"/>
  <c r="BH115" i="5"/>
  <c r="BT115" i="5"/>
  <c r="BE115" i="5"/>
  <c r="BJ115" i="5"/>
  <c r="BI115" i="5"/>
  <c r="BA115" i="5"/>
  <c r="BP115" i="5" s="1"/>
  <c r="AY115" i="5"/>
  <c r="AZ115" i="5"/>
  <c r="BD115" i="5"/>
  <c r="CI107" i="5"/>
  <c r="CK107" i="5"/>
  <c r="CF107" i="5"/>
  <c r="CE107" i="5"/>
  <c r="CG107" i="5"/>
  <c r="CD107" i="5"/>
  <c r="BW107" i="5"/>
  <c r="CA107" i="5"/>
  <c r="CC107" i="5"/>
  <c r="BV107" i="5"/>
  <c r="BH107" i="5"/>
  <c r="BS107" i="5"/>
  <c r="BM107" i="5"/>
  <c r="BG107" i="5"/>
  <c r="BY107" i="5"/>
  <c r="BT107" i="5"/>
  <c r="BU107" i="5"/>
  <c r="BQ107" i="5"/>
  <c r="BK107" i="5"/>
  <c r="BJ107" i="5"/>
  <c r="BF107" i="5"/>
  <c r="BD107" i="5"/>
  <c r="BR107" i="5"/>
  <c r="BE107" i="5"/>
  <c r="BI107" i="5"/>
  <c r="BA107" i="5"/>
  <c r="BP107" i="5" s="1"/>
  <c r="AY107" i="5"/>
  <c r="AZ107" i="5"/>
  <c r="CI99" i="5"/>
  <c r="CK99" i="5"/>
  <c r="CH99" i="5"/>
  <c r="CE99" i="5"/>
  <c r="CG99" i="5"/>
  <c r="BZ99" i="5"/>
  <c r="CF99" i="5"/>
  <c r="CJ99" i="5"/>
  <c r="CC99" i="5"/>
  <c r="BW99" i="5"/>
  <c r="CA99" i="5"/>
  <c r="CD99" i="5"/>
  <c r="BS99" i="5"/>
  <c r="BL99" i="5"/>
  <c r="BV99" i="5"/>
  <c r="BR99" i="5"/>
  <c r="BK99" i="5"/>
  <c r="BY99" i="5"/>
  <c r="BX99" i="5"/>
  <c r="BU99" i="5"/>
  <c r="BH99" i="5"/>
  <c r="BT99" i="5"/>
  <c r="BJ99" i="5"/>
  <c r="BD99" i="5"/>
  <c r="BM99" i="5"/>
  <c r="BE99" i="5"/>
  <c r="BI99" i="5"/>
  <c r="BQ99" i="5"/>
  <c r="AZ99" i="5"/>
  <c r="BG99" i="5"/>
  <c r="BA99" i="5"/>
  <c r="BP99" i="5" s="1"/>
  <c r="AY99" i="5"/>
  <c r="BF99" i="5"/>
  <c r="CI91" i="5"/>
  <c r="CG91" i="5"/>
  <c r="CK91" i="5"/>
  <c r="CE91" i="5"/>
  <c r="CD91" i="5"/>
  <c r="CF91" i="5"/>
  <c r="BW91" i="5"/>
  <c r="CC91" i="5"/>
  <c r="CA91" i="5"/>
  <c r="BV91" i="5"/>
  <c r="BU91" i="5"/>
  <c r="BR91" i="5"/>
  <c r="BM91" i="5"/>
  <c r="BG91" i="5"/>
  <c r="BH91" i="5"/>
  <c r="BS91" i="5"/>
  <c r="BT91" i="5"/>
  <c r="BY91" i="5"/>
  <c r="BI91" i="5"/>
  <c r="BD91" i="5"/>
  <c r="BQ91" i="5"/>
  <c r="BK91" i="5"/>
  <c r="AY91" i="5"/>
  <c r="BE91" i="5"/>
  <c r="AZ91" i="5"/>
  <c r="BJ91" i="5"/>
  <c r="BF91" i="5"/>
  <c r="BA91" i="5"/>
  <c r="BP91" i="5" s="1"/>
  <c r="CB91" i="5" s="1"/>
  <c r="CE83" i="5"/>
  <c r="CF83" i="5"/>
  <c r="BW83" i="5"/>
  <c r="CK83" i="5"/>
  <c r="BS83" i="5"/>
  <c r="BK83" i="5"/>
  <c r="BV83" i="5"/>
  <c r="BT83" i="5"/>
  <c r="CG83" i="5"/>
  <c r="BJ83" i="5"/>
  <c r="BI83" i="5"/>
  <c r="BD83" i="5"/>
  <c r="AY83" i="5"/>
  <c r="BF83" i="5"/>
  <c r="CJ75" i="5"/>
  <c r="CI75" i="5"/>
  <c r="CK75" i="5"/>
  <c r="CF75" i="5"/>
  <c r="CH75" i="5"/>
  <c r="CG75" i="5"/>
  <c r="BZ75" i="5"/>
  <c r="BX75" i="5"/>
  <c r="BW75" i="5"/>
  <c r="CD75" i="5"/>
  <c r="BY75" i="5"/>
  <c r="CC75" i="5"/>
  <c r="CE75" i="5"/>
  <c r="BL75" i="5"/>
  <c r="BH75" i="5"/>
  <c r="BT75" i="5"/>
  <c r="BM75" i="5"/>
  <c r="BG75" i="5"/>
  <c r="BS75" i="5"/>
  <c r="BJ75" i="5"/>
  <c r="CA75" i="5"/>
  <c r="BU75" i="5"/>
  <c r="BQ75" i="5"/>
  <c r="BK75" i="5"/>
  <c r="BV75" i="5"/>
  <c r="BR75" i="5"/>
  <c r="BI75" i="5"/>
  <c r="BF75" i="5"/>
  <c r="BA75" i="5"/>
  <c r="BP75" i="5" s="1"/>
  <c r="BD75" i="5"/>
  <c r="AY75" i="5"/>
  <c r="BE75" i="5"/>
  <c r="AZ75" i="5"/>
  <c r="CJ67" i="5"/>
  <c r="CI67" i="5"/>
  <c r="BZ67" i="5"/>
  <c r="BX67" i="5"/>
  <c r="CC67" i="5"/>
  <c r="BW67" i="5"/>
  <c r="CD67" i="5"/>
  <c r="BS67" i="5"/>
  <c r="BQ67" i="5"/>
  <c r="BK67" i="5"/>
  <c r="BU67" i="5"/>
  <c r="CA67" i="5"/>
  <c r="BF67" i="5"/>
  <c r="BM67" i="5"/>
  <c r="BD67" i="5"/>
  <c r="BE67" i="5"/>
  <c r="BG67" i="5"/>
  <c r="CI59" i="5"/>
  <c r="CG59" i="5"/>
  <c r="CE59" i="5"/>
  <c r="CD59" i="5"/>
  <c r="CK59" i="5"/>
  <c r="BW59" i="5"/>
  <c r="BY59" i="5"/>
  <c r="CA59" i="5"/>
  <c r="BM59" i="5"/>
  <c r="BG59" i="5"/>
  <c r="BV59" i="5"/>
  <c r="BQ59" i="5"/>
  <c r="BH59" i="5"/>
  <c r="CC59" i="5"/>
  <c r="BU59" i="5"/>
  <c r="CF59" i="5"/>
  <c r="BR59" i="5"/>
  <c r="BS59" i="5"/>
  <c r="BI59" i="5"/>
  <c r="BF59" i="5"/>
  <c r="BJ59" i="5"/>
  <c r="BT59" i="5"/>
  <c r="BK59" i="5"/>
  <c r="BE59" i="5"/>
  <c r="AY59" i="5"/>
  <c r="AZ59" i="5"/>
  <c r="BD59" i="5"/>
  <c r="BA59" i="5"/>
  <c r="BP59" i="5" s="1"/>
  <c r="CI51" i="5"/>
  <c r="CF51" i="5"/>
  <c r="CJ51" i="5"/>
  <c r="CE51" i="5"/>
  <c r="CG51" i="5"/>
  <c r="BZ51" i="5"/>
  <c r="CH51" i="5"/>
  <c r="CC51" i="5"/>
  <c r="BX51" i="5"/>
  <c r="BW51" i="5"/>
  <c r="CA51" i="5"/>
  <c r="CD51" i="5"/>
  <c r="BR51" i="5"/>
  <c r="BS51" i="5"/>
  <c r="BL51" i="5"/>
  <c r="BY51" i="5"/>
  <c r="BV51" i="5"/>
  <c r="BK51" i="5"/>
  <c r="CK51" i="5"/>
  <c r="BT51" i="5"/>
  <c r="BF51" i="5"/>
  <c r="BU51" i="5"/>
  <c r="BQ51" i="5"/>
  <c r="BH51" i="5"/>
  <c r="BE51" i="5"/>
  <c r="BJ51" i="5"/>
  <c r="BM51" i="5"/>
  <c r="BG51" i="5"/>
  <c r="BA51" i="5"/>
  <c r="BP51" i="5" s="1"/>
  <c r="BI51" i="5"/>
  <c r="AY51" i="5"/>
  <c r="BD51" i="5"/>
  <c r="AZ51" i="5"/>
  <c r="CI43" i="5"/>
  <c r="CF43" i="5"/>
  <c r="CK43" i="5"/>
  <c r="CG43" i="5"/>
  <c r="CE43" i="5"/>
  <c r="BW43" i="5"/>
  <c r="CD43" i="5"/>
  <c r="CA43" i="5"/>
  <c r="BS43" i="5"/>
  <c r="BH43" i="5"/>
  <c r="BM43" i="5"/>
  <c r="BG43" i="5"/>
  <c r="BU43" i="5"/>
  <c r="BQ43" i="5"/>
  <c r="BV43" i="5"/>
  <c r="BR43" i="5"/>
  <c r="BK43" i="5"/>
  <c r="CC43" i="5"/>
  <c r="BY43" i="5"/>
  <c r="BT43" i="5"/>
  <c r="BD43" i="5"/>
  <c r="BJ43" i="5"/>
  <c r="BF43" i="5"/>
  <c r="BE43" i="5"/>
  <c r="BI43" i="5"/>
  <c r="BA43" i="5"/>
  <c r="BP43" i="5" s="1"/>
  <c r="AY43" i="5"/>
  <c r="AZ43" i="5"/>
  <c r="CG35" i="5"/>
  <c r="CC35" i="5"/>
  <c r="CD35" i="5"/>
  <c r="CK35" i="5"/>
  <c r="BS35" i="5"/>
  <c r="BR35" i="5"/>
  <c r="BT35" i="5"/>
  <c r="BH35" i="5"/>
  <c r="BD35" i="5"/>
  <c r="BM35" i="5"/>
  <c r="BG35" i="5"/>
  <c r="BE35" i="5"/>
  <c r="AY35" i="5"/>
  <c r="BJ35" i="5"/>
  <c r="CG27" i="5"/>
  <c r="CE27" i="5"/>
  <c r="CK27" i="5"/>
  <c r="CC27" i="5"/>
  <c r="BY27" i="5"/>
  <c r="BV27" i="5"/>
  <c r="BR27" i="5"/>
  <c r="BH27" i="5"/>
  <c r="BS27" i="5"/>
  <c r="BI27" i="5"/>
  <c r="BE27" i="5"/>
  <c r="AY27" i="5"/>
  <c r="BF27" i="5"/>
  <c r="BJ27" i="5"/>
  <c r="CI19" i="5"/>
  <c r="CF19" i="5"/>
  <c r="CG19" i="5"/>
  <c r="CE19" i="5"/>
  <c r="CK19" i="5"/>
  <c r="BU19" i="5"/>
  <c r="CD19" i="5"/>
  <c r="BW19" i="5"/>
  <c r="BY19" i="5"/>
  <c r="BR19" i="5"/>
  <c r="BS19" i="5"/>
  <c r="BK19" i="5"/>
  <c r="CC19" i="5"/>
  <c r="BJ19" i="5"/>
  <c r="BG19" i="5"/>
  <c r="BV19" i="5"/>
  <c r="BT19" i="5"/>
  <c r="CA19" i="5"/>
  <c r="BQ19" i="5"/>
  <c r="BM19" i="5"/>
  <c r="BH19" i="5"/>
  <c r="BD19" i="5"/>
  <c r="BI19" i="5"/>
  <c r="BF19" i="5"/>
  <c r="AY19" i="5"/>
  <c r="AZ19" i="5"/>
  <c r="BE19" i="5"/>
  <c r="BA19" i="5"/>
  <c r="CI11" i="5"/>
  <c r="CF11" i="5"/>
  <c r="CG11" i="5"/>
  <c r="CK11" i="5"/>
  <c r="BW11" i="5"/>
  <c r="BY11" i="5"/>
  <c r="BU11" i="5"/>
  <c r="CE11" i="5"/>
  <c r="CD11" i="5"/>
  <c r="BV11" i="5"/>
  <c r="BT11" i="5"/>
  <c r="BH11" i="5"/>
  <c r="BG11" i="5"/>
  <c r="BS11" i="5"/>
  <c r="CC11" i="5"/>
  <c r="BQ11" i="5"/>
  <c r="CA11" i="5"/>
  <c r="BJ11" i="5"/>
  <c r="BI11" i="5"/>
  <c r="BF11" i="5"/>
  <c r="BR11" i="5"/>
  <c r="BM11" i="5"/>
  <c r="BD11" i="5"/>
  <c r="BA11" i="5"/>
  <c r="BP11" i="5" s="1"/>
  <c r="BK11" i="5"/>
  <c r="BE11" i="5"/>
  <c r="AY11" i="5"/>
  <c r="AZ11" i="5"/>
  <c r="CI3" i="5"/>
  <c r="CF3" i="5"/>
  <c r="CD3" i="5"/>
  <c r="BW3" i="5"/>
  <c r="CC3" i="5"/>
  <c r="BU3" i="5"/>
  <c r="BY3" i="5"/>
  <c r="CE3" i="5"/>
  <c r="CG3" i="5"/>
  <c r="CA3" i="5"/>
  <c r="BS3" i="5"/>
  <c r="BR3" i="5"/>
  <c r="CK3" i="5"/>
  <c r="BV3" i="5"/>
  <c r="BT3" i="5"/>
  <c r="BQ3" i="5"/>
  <c r="BK3" i="5"/>
  <c r="BI3" i="5"/>
  <c r="BJ3" i="5"/>
  <c r="BF3" i="5"/>
  <c r="BM3" i="5"/>
  <c r="BH3" i="5"/>
  <c r="BG3" i="5"/>
  <c r="BD3" i="5"/>
  <c r="BE3" i="5"/>
  <c r="AZ3" i="5"/>
  <c r="BA3" i="5"/>
  <c r="BP3" i="5" s="1"/>
  <c r="AY3" i="5"/>
  <c r="AU9" i="5"/>
  <c r="BB9" i="5" s="1"/>
  <c r="AU41" i="5"/>
  <c r="BN41" i="5" s="1"/>
  <c r="AU89" i="5"/>
  <c r="BN89" i="5" s="1"/>
  <c r="AV3" i="5"/>
  <c r="BC3" i="5" s="1"/>
  <c r="AV11" i="5"/>
  <c r="BO11" i="5" s="1"/>
  <c r="AV19" i="5"/>
  <c r="AV27" i="5"/>
  <c r="BO27" i="5" s="1"/>
  <c r="AV35" i="5"/>
  <c r="BC35" i="5" s="1"/>
  <c r="AV43" i="5"/>
  <c r="BO43" i="5" s="1"/>
  <c r="AV51" i="5"/>
  <c r="BO51" i="5" s="1"/>
  <c r="AV59" i="5"/>
  <c r="BO59" i="5" s="1"/>
  <c r="AV67" i="5"/>
  <c r="BC67" i="5" s="1"/>
  <c r="AV75" i="5"/>
  <c r="BC75" i="5" s="1"/>
  <c r="AV91" i="5"/>
  <c r="BO91" i="5" s="1"/>
  <c r="AV99" i="5"/>
  <c r="BC99" i="5" s="1"/>
  <c r="AV107" i="5"/>
  <c r="BC107" i="5" s="1"/>
  <c r="AV115" i="5"/>
  <c r="BC115" i="5" s="1"/>
  <c r="AV123" i="5"/>
  <c r="BC123" i="5" s="1"/>
  <c r="AV131" i="5"/>
  <c r="BO131" i="5" s="1"/>
  <c r="AV139" i="5"/>
  <c r="BO139" i="5" s="1"/>
  <c r="AV147" i="5"/>
  <c r="BO147" i="5" s="1"/>
  <c r="AV155" i="5"/>
  <c r="BO155" i="5" s="1"/>
  <c r="AV163" i="5"/>
  <c r="BC163" i="5" s="1"/>
  <c r="AX121" i="5"/>
  <c r="BD121" i="5" s="1"/>
  <c r="AT154" i="5"/>
  <c r="AT146" i="5"/>
  <c r="AT138" i="5"/>
  <c r="AT130" i="5"/>
  <c r="AT122" i="5"/>
  <c r="AT106" i="5"/>
  <c r="AT90" i="5"/>
  <c r="AT82" i="5"/>
  <c r="AT74" i="5"/>
  <c r="AT66" i="5"/>
  <c r="AT58" i="5"/>
  <c r="AT42" i="5"/>
  <c r="AT26" i="5"/>
  <c r="AT18" i="5"/>
  <c r="AT10" i="5"/>
  <c r="AV4" i="5"/>
  <c r="BO4" i="5" s="1"/>
  <c r="AV20" i="5"/>
  <c r="BO20" i="5" s="1"/>
  <c r="AV28" i="5"/>
  <c r="BO28" i="5" s="1"/>
  <c r="AV36" i="5"/>
  <c r="BO36" i="5" s="1"/>
  <c r="AV44" i="5"/>
  <c r="BO44" i="5" s="1"/>
  <c r="AX39" i="5"/>
  <c r="BP39" i="5" s="1"/>
  <c r="AX103" i="5"/>
  <c r="BP103" i="5" s="1"/>
  <c r="AX167" i="5"/>
  <c r="BD167" i="5" s="1"/>
  <c r="AT161" i="5"/>
  <c r="AT153" i="5"/>
  <c r="AT145" i="5"/>
  <c r="AT129" i="5"/>
  <c r="AT113" i="5"/>
  <c r="AT105" i="5"/>
  <c r="CG97" i="5"/>
  <c r="CF97" i="5"/>
  <c r="CK97" i="5"/>
  <c r="CA97" i="5"/>
  <c r="CE97" i="5"/>
  <c r="CC97" i="5"/>
  <c r="BY97" i="5"/>
  <c r="BV97" i="5"/>
  <c r="BM97" i="5"/>
  <c r="BH97" i="5"/>
  <c r="CI97" i="5"/>
  <c r="BR97" i="5"/>
  <c r="BI97" i="5"/>
  <c r="BW97" i="5"/>
  <c r="BU97" i="5"/>
  <c r="BQ97" i="5"/>
  <c r="BS97" i="5"/>
  <c r="CD97" i="5"/>
  <c r="BJ97" i="5"/>
  <c r="BG97" i="5"/>
  <c r="BT97" i="5"/>
  <c r="BF97" i="5"/>
  <c r="BD97" i="5"/>
  <c r="AZ97" i="5"/>
  <c r="BE97" i="5"/>
  <c r="BA97" i="5"/>
  <c r="BP97" i="5" s="1"/>
  <c r="BK97" i="5"/>
  <c r="AY97" i="5"/>
  <c r="CG89" i="5"/>
  <c r="CI89" i="5"/>
  <c r="CF89" i="5"/>
  <c r="CE89" i="5"/>
  <c r="CA89" i="5"/>
  <c r="CC89" i="5"/>
  <c r="CD89" i="5"/>
  <c r="BV89" i="5"/>
  <c r="CK89" i="5"/>
  <c r="BS89" i="5"/>
  <c r="BT89" i="5"/>
  <c r="BM89" i="5"/>
  <c r="BY89" i="5"/>
  <c r="BQ89" i="5"/>
  <c r="BG89" i="5"/>
  <c r="BD89" i="5"/>
  <c r="BW89" i="5"/>
  <c r="BU89" i="5"/>
  <c r="BR89" i="5"/>
  <c r="BC89" i="5"/>
  <c r="BH89" i="5"/>
  <c r="BJ89" i="5"/>
  <c r="BF89" i="5"/>
  <c r="BO89" i="5"/>
  <c r="BK89" i="5"/>
  <c r="BE89" i="5"/>
  <c r="AZ89" i="5"/>
  <c r="BA89" i="5"/>
  <c r="BP89" i="5" s="1"/>
  <c r="BI89" i="5"/>
  <c r="AY89" i="5"/>
  <c r="CG81" i="5"/>
  <c r="CJ81" i="5"/>
  <c r="CI81" i="5"/>
  <c r="CK81" i="5"/>
  <c r="CA81" i="5"/>
  <c r="CF81" i="5"/>
  <c r="CC81" i="5"/>
  <c r="BX81" i="5"/>
  <c r="BZ81" i="5"/>
  <c r="BV81" i="5"/>
  <c r="BY81" i="5"/>
  <c r="CD81" i="5"/>
  <c r="CE81" i="5"/>
  <c r="CH81" i="5"/>
  <c r="BM81" i="5"/>
  <c r="BT81" i="5"/>
  <c r="BQ81" i="5"/>
  <c r="BI81" i="5"/>
  <c r="BH81" i="5"/>
  <c r="BU81" i="5"/>
  <c r="BW81" i="5"/>
  <c r="BF81" i="5"/>
  <c r="BR81" i="5"/>
  <c r="BS81" i="5"/>
  <c r="BE81" i="5"/>
  <c r="BJ81" i="5"/>
  <c r="BK81" i="5"/>
  <c r="BG81" i="5"/>
  <c r="BL81" i="5"/>
  <c r="AY81" i="5"/>
  <c r="AZ81" i="5"/>
  <c r="BD81" i="5"/>
  <c r="BA81" i="5"/>
  <c r="BP81" i="5" s="1"/>
  <c r="CH73" i="5"/>
  <c r="CG73" i="5"/>
  <c r="CK73" i="5"/>
  <c r="CJ73" i="5"/>
  <c r="CE73" i="5"/>
  <c r="CD73" i="5"/>
  <c r="CA73" i="5"/>
  <c r="CC73" i="5"/>
  <c r="BV73" i="5"/>
  <c r="CI73" i="5"/>
  <c r="CF73" i="5"/>
  <c r="BY73" i="5"/>
  <c r="BW73" i="5"/>
  <c r="BT73" i="5"/>
  <c r="BS73" i="5"/>
  <c r="BM73" i="5"/>
  <c r="BR73" i="5"/>
  <c r="BZ73" i="5"/>
  <c r="BL73" i="5"/>
  <c r="BX73" i="5"/>
  <c r="BI73" i="5"/>
  <c r="BF73" i="5"/>
  <c r="BD73" i="5"/>
  <c r="BG73" i="5"/>
  <c r="BU73" i="5"/>
  <c r="BH73" i="5"/>
  <c r="BQ73" i="5"/>
  <c r="BE73" i="5"/>
  <c r="BK73" i="5"/>
  <c r="BA73" i="5"/>
  <c r="BP73" i="5" s="1"/>
  <c r="AY73" i="5"/>
  <c r="BJ73" i="5"/>
  <c r="AZ73" i="5"/>
  <c r="CH65" i="5"/>
  <c r="CG65" i="5"/>
  <c r="CE65" i="5"/>
  <c r="CJ65" i="5"/>
  <c r="CF65" i="5"/>
  <c r="CI65" i="5"/>
  <c r="CA65" i="5"/>
  <c r="CC65" i="5"/>
  <c r="CD65" i="5"/>
  <c r="BY65" i="5"/>
  <c r="BV65" i="5"/>
  <c r="BZ65" i="5"/>
  <c r="BX65" i="5"/>
  <c r="CK65" i="5"/>
  <c r="BW65" i="5"/>
  <c r="BM65" i="5"/>
  <c r="BH65" i="5"/>
  <c r="BS65" i="5"/>
  <c r="BI65" i="5"/>
  <c r="BT65" i="5"/>
  <c r="BU65" i="5"/>
  <c r="BQ65" i="5"/>
  <c r="BR65" i="5"/>
  <c r="BK65" i="5"/>
  <c r="BG65" i="5"/>
  <c r="BL65" i="5"/>
  <c r="BE65" i="5"/>
  <c r="BF65" i="5"/>
  <c r="AZ65" i="5"/>
  <c r="BD65" i="5"/>
  <c r="BJ65" i="5"/>
  <c r="BA65" i="5"/>
  <c r="BP65" i="5" s="1"/>
  <c r="AY65" i="5"/>
  <c r="CG57" i="5"/>
  <c r="CJ57" i="5"/>
  <c r="CH57" i="5"/>
  <c r="CF57" i="5"/>
  <c r="CI57" i="5"/>
  <c r="CK57" i="5"/>
  <c r="CA57" i="5"/>
  <c r="CC57" i="5"/>
  <c r="BV57" i="5"/>
  <c r="CD57" i="5"/>
  <c r="BS57" i="5"/>
  <c r="BL57" i="5"/>
  <c r="BT57" i="5"/>
  <c r="BM57" i="5"/>
  <c r="CE57" i="5"/>
  <c r="BY57" i="5"/>
  <c r="BX57" i="5"/>
  <c r="BW57" i="5"/>
  <c r="BK57" i="5"/>
  <c r="BH57" i="5"/>
  <c r="BD57" i="5"/>
  <c r="BZ57" i="5"/>
  <c r="BU57" i="5"/>
  <c r="BQ57" i="5"/>
  <c r="BR57" i="5"/>
  <c r="BG57" i="5"/>
  <c r="BE57" i="5"/>
  <c r="BJ57" i="5"/>
  <c r="BF57" i="5"/>
  <c r="AZ57" i="5"/>
  <c r="BI57" i="5"/>
  <c r="BA57" i="5"/>
  <c r="BP57" i="5" s="1"/>
  <c r="AY57" i="5"/>
  <c r="CG49" i="5"/>
  <c r="CK49" i="5"/>
  <c r="CH49" i="5"/>
  <c r="CA49" i="5"/>
  <c r="CC49" i="5"/>
  <c r="BZ49" i="5"/>
  <c r="BV49" i="5"/>
  <c r="BY49" i="5"/>
  <c r="CD49" i="5"/>
  <c r="CE49" i="5"/>
  <c r="BM49" i="5"/>
  <c r="CI49" i="5"/>
  <c r="BU49" i="5"/>
  <c r="BI49" i="5"/>
  <c r="CJ49" i="5"/>
  <c r="CF49" i="5"/>
  <c r="BH49" i="5"/>
  <c r="BS49" i="5"/>
  <c r="BW49" i="5"/>
  <c r="BX49" i="5"/>
  <c r="BT49" i="5"/>
  <c r="BQ49" i="5"/>
  <c r="BL49" i="5"/>
  <c r="BK49" i="5"/>
  <c r="BR49" i="5"/>
  <c r="BJ49" i="5"/>
  <c r="BF49" i="5"/>
  <c r="BD49" i="5"/>
  <c r="AY49" i="5"/>
  <c r="AZ49" i="5"/>
  <c r="BG49" i="5"/>
  <c r="BE49" i="5"/>
  <c r="BA49" i="5"/>
  <c r="CG41" i="5"/>
  <c r="CK41" i="5"/>
  <c r="CE41" i="5"/>
  <c r="CF41" i="5"/>
  <c r="CI41" i="5"/>
  <c r="CA41" i="5"/>
  <c r="CD41" i="5"/>
  <c r="BV41" i="5"/>
  <c r="CC41" i="5"/>
  <c r="BY41" i="5"/>
  <c r="BT41" i="5"/>
  <c r="BS41" i="5"/>
  <c r="BM41" i="5"/>
  <c r="BU41" i="5"/>
  <c r="BR41" i="5"/>
  <c r="BO41" i="5"/>
  <c r="BQ41" i="5"/>
  <c r="BC41" i="5"/>
  <c r="BJ41" i="5"/>
  <c r="BD41" i="5"/>
  <c r="BF41" i="5"/>
  <c r="BW41" i="5"/>
  <c r="BH41" i="5"/>
  <c r="BI41" i="5"/>
  <c r="AY41" i="5"/>
  <c r="BA41" i="5"/>
  <c r="BP41" i="5" s="1"/>
  <c r="BG41" i="5"/>
  <c r="BE41" i="5"/>
  <c r="BK41" i="5"/>
  <c r="AZ41" i="5"/>
  <c r="CJ33" i="5"/>
  <c r="CG33" i="5"/>
  <c r="CH33" i="5"/>
  <c r="CI33" i="5"/>
  <c r="CD33" i="5"/>
  <c r="CE33" i="5"/>
  <c r="CK33" i="5"/>
  <c r="CA33" i="5"/>
  <c r="BX33" i="5"/>
  <c r="CC33" i="5"/>
  <c r="BY33" i="5"/>
  <c r="BV33" i="5"/>
  <c r="BZ33" i="5"/>
  <c r="CF33" i="5"/>
  <c r="BM33" i="5"/>
  <c r="BR33" i="5"/>
  <c r="BH33" i="5"/>
  <c r="BI33" i="5"/>
  <c r="BS33" i="5"/>
  <c r="BT33" i="5"/>
  <c r="BJ33" i="5"/>
  <c r="BG33" i="5"/>
  <c r="BW33" i="5"/>
  <c r="BU33" i="5"/>
  <c r="BQ33" i="5"/>
  <c r="BL33" i="5"/>
  <c r="BD33" i="5"/>
  <c r="BF33" i="5"/>
  <c r="BK33" i="5"/>
  <c r="AZ33" i="5"/>
  <c r="BE33" i="5"/>
  <c r="AY33" i="5"/>
  <c r="BA33" i="5"/>
  <c r="BP33" i="5" s="1"/>
  <c r="CG25" i="5"/>
  <c r="CK25" i="5"/>
  <c r="CD25" i="5"/>
  <c r="CA25" i="5"/>
  <c r="CI25" i="5"/>
  <c r="BV25" i="5"/>
  <c r="BY25" i="5"/>
  <c r="BU25" i="5"/>
  <c r="BS25" i="5"/>
  <c r="BT25" i="5"/>
  <c r="BQ25" i="5"/>
  <c r="BW25" i="5"/>
  <c r="BD25" i="5"/>
  <c r="BR25" i="5"/>
  <c r="BG25" i="5"/>
  <c r="BJ25" i="5"/>
  <c r="BK25" i="5"/>
  <c r="BI25" i="5"/>
  <c r="BA25" i="5"/>
  <c r="BP25" i="5" s="1"/>
  <c r="AZ25" i="5"/>
  <c r="AY25" i="5"/>
  <c r="BE25" i="5"/>
  <c r="CG17" i="5"/>
  <c r="CJ17" i="5"/>
  <c r="CK17" i="5"/>
  <c r="CD17" i="5"/>
  <c r="CF17" i="5"/>
  <c r="CI17" i="5"/>
  <c r="CC17" i="5"/>
  <c r="CA17" i="5"/>
  <c r="BZ17" i="5"/>
  <c r="BV17" i="5"/>
  <c r="CH17" i="5"/>
  <c r="BY17" i="5"/>
  <c r="CE17" i="5"/>
  <c r="BU17" i="5"/>
  <c r="BI17" i="5"/>
  <c r="BW17" i="5"/>
  <c r="BT17" i="5"/>
  <c r="BQ17" i="5"/>
  <c r="BL17" i="5"/>
  <c r="BH17" i="5"/>
  <c r="BX17" i="5"/>
  <c r="BS17" i="5"/>
  <c r="BF17" i="5"/>
  <c r="BK17" i="5"/>
  <c r="BG17" i="5"/>
  <c r="BE17" i="5"/>
  <c r="BR17" i="5"/>
  <c r="BJ17" i="5"/>
  <c r="BM17" i="5"/>
  <c r="AY17" i="5"/>
  <c r="BD17" i="5"/>
  <c r="AZ17" i="5"/>
  <c r="BA17" i="5"/>
  <c r="BP17" i="5" s="1"/>
  <c r="CG9" i="5"/>
  <c r="CK9" i="5"/>
  <c r="CI9" i="5"/>
  <c r="CD9" i="5"/>
  <c r="CF9" i="5"/>
  <c r="CE9" i="5"/>
  <c r="CA9" i="5"/>
  <c r="BY9" i="5"/>
  <c r="CC9" i="5"/>
  <c r="BV9" i="5"/>
  <c r="BW9" i="5"/>
  <c r="BT9" i="5"/>
  <c r="BS9" i="5"/>
  <c r="BQ9" i="5"/>
  <c r="BM9" i="5"/>
  <c r="BI9" i="5"/>
  <c r="BF9" i="5"/>
  <c r="BU9" i="5"/>
  <c r="BR9" i="5"/>
  <c r="BD9" i="5"/>
  <c r="BE9" i="5"/>
  <c r="BK9" i="5"/>
  <c r="BH9" i="5"/>
  <c r="BG9" i="5"/>
  <c r="BA9" i="5"/>
  <c r="BP9" i="5" s="1"/>
  <c r="AY9" i="5"/>
  <c r="BJ9" i="5"/>
  <c r="AZ9" i="5"/>
  <c r="AU3" i="5"/>
  <c r="BN3" i="5" s="1"/>
  <c r="AU11" i="5"/>
  <c r="BB11" i="5" s="1"/>
  <c r="AU19" i="5"/>
  <c r="AU35" i="5"/>
  <c r="BN35" i="5" s="1"/>
  <c r="AU43" i="5"/>
  <c r="BB43" i="5" s="1"/>
  <c r="AU51" i="5"/>
  <c r="BN51" i="5" s="1"/>
  <c r="AU59" i="5"/>
  <c r="BN59" i="5" s="1"/>
  <c r="AU67" i="5"/>
  <c r="BB67" i="5" s="1"/>
  <c r="AU75" i="5"/>
  <c r="BN75" i="5" s="1"/>
  <c r="AU83" i="5"/>
  <c r="BB83" i="5" s="1"/>
  <c r="AU91" i="5"/>
  <c r="BN91" i="5" s="1"/>
  <c r="AU99" i="5"/>
  <c r="BB99" i="5" s="1"/>
  <c r="AU107" i="5"/>
  <c r="BN107" i="5" s="1"/>
  <c r="AU115" i="5"/>
  <c r="BB115" i="5" s="1"/>
  <c r="AU123" i="5"/>
  <c r="BN123" i="5" s="1"/>
  <c r="AU131" i="5"/>
  <c r="BB131" i="5" s="1"/>
  <c r="AU139" i="5"/>
  <c r="BB139" i="5" s="1"/>
  <c r="AU147" i="5"/>
  <c r="BN147" i="5" s="1"/>
  <c r="AU155" i="5"/>
  <c r="BN155" i="5" s="1"/>
  <c r="AU163" i="5"/>
  <c r="BB163" i="5" s="1"/>
  <c r="AT2" i="5"/>
  <c r="AT160" i="5"/>
  <c r="AT152" i="5"/>
  <c r="AT144" i="5"/>
  <c r="AT136" i="5"/>
  <c r="AT128" i="5"/>
  <c r="AT120" i="5"/>
  <c r="AT112" i="5"/>
  <c r="AT104" i="5"/>
  <c r="AT96" i="5"/>
  <c r="AT88" i="5"/>
  <c r="AT80" i="5"/>
  <c r="AT72" i="5"/>
  <c r="AT64" i="5"/>
  <c r="AT56" i="5"/>
  <c r="AT48" i="5"/>
  <c r="AT40" i="5"/>
  <c r="AT32" i="5"/>
  <c r="CI24" i="5"/>
  <c r="CF24" i="5"/>
  <c r="CG24" i="5"/>
  <c r="CE24" i="5"/>
  <c r="CK24" i="5"/>
  <c r="CD24" i="5"/>
  <c r="CC24" i="5"/>
  <c r="BY24" i="5"/>
  <c r="BW24" i="5"/>
  <c r="BQ24" i="5"/>
  <c r="BS24" i="5"/>
  <c r="BO24" i="5"/>
  <c r="BH24" i="5"/>
  <c r="BR24" i="5"/>
  <c r="BJ24" i="5"/>
  <c r="BF24" i="5"/>
  <c r="BT24" i="5"/>
  <c r="BE24" i="5"/>
  <c r="CA24" i="5"/>
  <c r="BK24" i="5"/>
  <c r="BC24" i="5"/>
  <c r="BU24" i="5"/>
  <c r="BI24" i="5"/>
  <c r="BA24" i="5"/>
  <c r="BP24" i="5" s="1"/>
  <c r="BV24" i="5"/>
  <c r="AY24" i="5"/>
  <c r="BM24" i="5"/>
  <c r="BG24" i="5"/>
  <c r="AZ24" i="5"/>
  <c r="BD24" i="5"/>
  <c r="CG16" i="5"/>
  <c r="CF16" i="5"/>
  <c r="CI16" i="5"/>
  <c r="CE16" i="5"/>
  <c r="BQ16" i="5"/>
  <c r="CK16" i="5"/>
  <c r="CD16" i="5"/>
  <c r="CC16" i="5"/>
  <c r="BY16" i="5"/>
  <c r="BS16" i="5"/>
  <c r="BO16" i="5"/>
  <c r="BW16" i="5"/>
  <c r="BH16" i="5"/>
  <c r="CA16" i="5"/>
  <c r="BM16" i="5"/>
  <c r="BJ16" i="5"/>
  <c r="BF16" i="5"/>
  <c r="BU16" i="5"/>
  <c r="BG16" i="5"/>
  <c r="BE16" i="5"/>
  <c r="BC16" i="5"/>
  <c r="BR16" i="5"/>
  <c r="BV16" i="5"/>
  <c r="BA16" i="5"/>
  <c r="BP16" i="5" s="1"/>
  <c r="BT16" i="5"/>
  <c r="BI16" i="5"/>
  <c r="AY16" i="5"/>
  <c r="BK16" i="5"/>
  <c r="BD16" i="5"/>
  <c r="AZ16" i="5"/>
  <c r="CI8" i="5"/>
  <c r="CC8" i="5"/>
  <c r="CK8" i="5"/>
  <c r="CF8" i="5"/>
  <c r="CG8" i="5"/>
  <c r="CA8" i="5"/>
  <c r="BY8" i="5"/>
  <c r="BQ8" i="5"/>
  <c r="BM8" i="5"/>
  <c r="BS8" i="5"/>
  <c r="CE8" i="5"/>
  <c r="BR8" i="5"/>
  <c r="BH8" i="5"/>
  <c r="BJ8" i="5"/>
  <c r="BF8" i="5"/>
  <c r="BK8" i="5"/>
  <c r="BE8" i="5"/>
  <c r="BU8" i="5"/>
  <c r="BV8" i="5"/>
  <c r="BT8" i="5"/>
  <c r="BA8" i="5"/>
  <c r="BP8" i="5" s="1"/>
  <c r="BW8" i="5"/>
  <c r="CD8" i="5"/>
  <c r="BB8" i="5"/>
  <c r="AY8" i="5"/>
  <c r="BI8" i="5"/>
  <c r="BG8" i="5"/>
  <c r="BD8" i="5"/>
  <c r="AZ8" i="5"/>
  <c r="AU4" i="5"/>
  <c r="BB4" i="5" s="1"/>
  <c r="AU12" i="5"/>
  <c r="BN12" i="5" s="1"/>
  <c r="AU20" i="5"/>
  <c r="BN20" i="5" s="1"/>
  <c r="AU28" i="5"/>
  <c r="BN28" i="5" s="1"/>
  <c r="AU36" i="5"/>
  <c r="BN36" i="5" s="1"/>
  <c r="AU44" i="5"/>
  <c r="BB44" i="5" s="1"/>
  <c r="AX23" i="5"/>
  <c r="BD23" i="5" s="1"/>
  <c r="AX87" i="5"/>
  <c r="BD87" i="5" s="1"/>
  <c r="AX151" i="5"/>
  <c r="BD151" i="5" s="1"/>
  <c r="AY163" i="5"/>
  <c r="AT159" i="5"/>
  <c r="AT143" i="5"/>
  <c r="AT127" i="5"/>
  <c r="AT111" i="5"/>
  <c r="AT95" i="5"/>
  <c r="AT79" i="5"/>
  <c r="AT63" i="5"/>
  <c r="AT47" i="5"/>
  <c r="AT31" i="5"/>
  <c r="AT15" i="5"/>
  <c r="CM170" i="5"/>
  <c r="CM171" i="5" s="1"/>
  <c r="C12" i="7"/>
  <c r="G63" i="12" s="1"/>
  <c r="I63" i="12" s="1"/>
  <c r="C13" i="7"/>
  <c r="C14" i="7"/>
  <c r="E51" i="9"/>
  <c r="G63" i="13" l="1"/>
  <c r="I63" i="13" s="1"/>
  <c r="G63" i="15"/>
  <c r="I63" i="15" s="1"/>
  <c r="G63" i="14"/>
  <c r="I63" i="14" s="1"/>
  <c r="AS187" i="5"/>
  <c r="AS188" i="5" s="1"/>
  <c r="AX198" i="5"/>
  <c r="AS189" i="5"/>
  <c r="AS190" i="5" s="1"/>
  <c r="AV198" i="5"/>
  <c r="G38" i="10"/>
  <c r="I11" i="15"/>
  <c r="I39" i="15" s="1"/>
  <c r="AB39" i="15" s="1"/>
  <c r="E38" i="10"/>
  <c r="H38" i="10" s="1"/>
  <c r="G11" i="15"/>
  <c r="F67" i="15"/>
  <c r="AT178" i="5"/>
  <c r="AT179" i="5" s="1"/>
  <c r="AS178" i="5"/>
  <c r="AS179" i="5" s="1"/>
  <c r="AX178" i="5"/>
  <c r="AX179" i="5" s="1"/>
  <c r="BD12" i="5"/>
  <c r="BE12" i="5"/>
  <c r="BQ12" i="5"/>
  <c r="CG12" i="5"/>
  <c r="AV83" i="5"/>
  <c r="BC83" i="5" s="1"/>
  <c r="BD27" i="5"/>
  <c r="BG27" i="5"/>
  <c r="BU27" i="5"/>
  <c r="AZ35" i="5"/>
  <c r="BI35" i="5"/>
  <c r="BV35" i="5"/>
  <c r="CF35" i="5"/>
  <c r="AZ67" i="5"/>
  <c r="BI67" i="5"/>
  <c r="CE67" i="5"/>
  <c r="CK67" i="5"/>
  <c r="BA83" i="5"/>
  <c r="BP83" i="5" s="1"/>
  <c r="BM83" i="5"/>
  <c r="BR83" i="5"/>
  <c r="CI83" i="5"/>
  <c r="BA12" i="5"/>
  <c r="BP12" i="5" s="1"/>
  <c r="CB12" i="5" s="1"/>
  <c r="BR12" i="5"/>
  <c r="BS12" i="5"/>
  <c r="CK12" i="5"/>
  <c r="BH25" i="5"/>
  <c r="CC25" i="5"/>
  <c r="CF25" i="5"/>
  <c r="BK27" i="5"/>
  <c r="BM27" i="5"/>
  <c r="CD27" i="5"/>
  <c r="BA35" i="5"/>
  <c r="BP35" i="5" s="1"/>
  <c r="CB35" i="5" s="1"/>
  <c r="BQ35" i="5"/>
  <c r="CA35" i="5"/>
  <c r="CI35" i="5"/>
  <c r="BH67" i="5"/>
  <c r="BV67" i="5"/>
  <c r="BY67" i="5"/>
  <c r="CG67" i="5"/>
  <c r="BE83" i="5"/>
  <c r="BQ83" i="5"/>
  <c r="BY83" i="5"/>
  <c r="BP162" i="5"/>
  <c r="BG12" i="5"/>
  <c r="BH12" i="5"/>
  <c r="BU12" i="5"/>
  <c r="CE12" i="5"/>
  <c r="BF12" i="5"/>
  <c r="BW12" i="5"/>
  <c r="AU27" i="5"/>
  <c r="BN27" i="5" s="1"/>
  <c r="BF25" i="5"/>
  <c r="BM25" i="5"/>
  <c r="AV12" i="5"/>
  <c r="BO12" i="5" s="1"/>
  <c r="AZ27" i="5"/>
  <c r="BQ27" i="5"/>
  <c r="CA27" i="5"/>
  <c r="CF27" i="5"/>
  <c r="BU35" i="5"/>
  <c r="BK35" i="5"/>
  <c r="BW35" i="5"/>
  <c r="AY67" i="5"/>
  <c r="BJ67" i="5"/>
  <c r="BT67" i="5"/>
  <c r="CF67" i="5"/>
  <c r="BH83" i="5"/>
  <c r="CA83" i="5"/>
  <c r="CC83" i="5"/>
  <c r="AY12" i="5"/>
  <c r="BY12" i="5"/>
  <c r="CD12" i="5"/>
  <c r="BA27" i="5"/>
  <c r="BP27" i="5" s="1"/>
  <c r="BT27" i="5"/>
  <c r="BW27" i="5"/>
  <c r="BF35" i="5"/>
  <c r="BY35" i="5"/>
  <c r="BA67" i="5"/>
  <c r="BP67" i="5" s="1"/>
  <c r="BL67" i="5"/>
  <c r="BR67" i="5"/>
  <c r="AZ83" i="5"/>
  <c r="BG83" i="5"/>
  <c r="BU83" i="5"/>
  <c r="AZ12" i="5"/>
  <c r="BT12" i="5"/>
  <c r="BM12" i="5"/>
  <c r="G11" i="14"/>
  <c r="E27" i="10"/>
  <c r="I11" i="14"/>
  <c r="I39" i="14" s="1"/>
  <c r="AB39" i="14" s="1"/>
  <c r="G27" i="10"/>
  <c r="BP135" i="5"/>
  <c r="F67" i="14"/>
  <c r="AT174" i="5"/>
  <c r="AT175" i="5" s="1"/>
  <c r="AS174" i="5"/>
  <c r="AS175" i="5" s="1"/>
  <c r="BP49" i="5"/>
  <c r="CB49" i="5" s="1"/>
  <c r="AT176" i="5"/>
  <c r="AT177" i="5" s="1"/>
  <c r="AS176" i="5"/>
  <c r="AS177" i="5" s="1"/>
  <c r="AX174" i="5"/>
  <c r="AX175" i="5" s="1"/>
  <c r="AX176" i="5"/>
  <c r="AX177" i="5" s="1"/>
  <c r="BL36" i="5"/>
  <c r="BC9" i="5"/>
  <c r="BO9" i="5"/>
  <c r="BB16" i="5"/>
  <c r="BZ16" i="5" s="1"/>
  <c r="BO8" i="5"/>
  <c r="BC8" i="5"/>
  <c r="BL4" i="5"/>
  <c r="BL44" i="5"/>
  <c r="BB55" i="5"/>
  <c r="BN71" i="5"/>
  <c r="BP55" i="5"/>
  <c r="G16" i="10"/>
  <c r="I11" i="13"/>
  <c r="I39" i="13" s="1"/>
  <c r="AB39" i="13" s="1"/>
  <c r="E16" i="10"/>
  <c r="G11" i="13"/>
  <c r="F67" i="13"/>
  <c r="BP19" i="5"/>
  <c r="BN19" i="5"/>
  <c r="BC19" i="5"/>
  <c r="AT172" i="5"/>
  <c r="AT173" i="5" s="1"/>
  <c r="AS172" i="5"/>
  <c r="AS173" i="5" s="1"/>
  <c r="AX172" i="5"/>
  <c r="AX173" i="5" s="1"/>
  <c r="G11" i="12"/>
  <c r="G39" i="12" s="1"/>
  <c r="BB89" i="5"/>
  <c r="BZ89" i="5" s="1"/>
  <c r="BB41" i="5"/>
  <c r="BZ41" i="5" s="1"/>
  <c r="BC137" i="5"/>
  <c r="CB139" i="5"/>
  <c r="BO157" i="5"/>
  <c r="BO35" i="5"/>
  <c r="CB9" i="5"/>
  <c r="CB115" i="5"/>
  <c r="BP7" i="5"/>
  <c r="CB123" i="5"/>
  <c r="CB155" i="5"/>
  <c r="CB4" i="5"/>
  <c r="CB36" i="5"/>
  <c r="BN23" i="5"/>
  <c r="BZ23" i="5" s="1"/>
  <c r="CB83" i="5"/>
  <c r="BO99" i="5"/>
  <c r="CB17" i="5"/>
  <c r="BO67" i="5"/>
  <c r="I11" i="12"/>
  <c r="G5" i="10"/>
  <c r="H5" i="10" s="1"/>
  <c r="CB24" i="5"/>
  <c r="CB16" i="5"/>
  <c r="BO29" i="5"/>
  <c r="BN99" i="5"/>
  <c r="BN131" i="5"/>
  <c r="BZ131" i="5" s="1"/>
  <c r="BD135" i="5"/>
  <c r="BN9" i="5"/>
  <c r="BZ9" i="5" s="1"/>
  <c r="CB57" i="5"/>
  <c r="CB97" i="5"/>
  <c r="CB27" i="5"/>
  <c r="BO163" i="5"/>
  <c r="AV65" i="5"/>
  <c r="AU65" i="5"/>
  <c r="AV33" i="5"/>
  <c r="AU33" i="5"/>
  <c r="BB3" i="5"/>
  <c r="BZ3" i="5" s="1"/>
  <c r="BB35" i="5"/>
  <c r="BZ35" i="5" s="1"/>
  <c r="BB167" i="5"/>
  <c r="BZ167" i="5" s="1"/>
  <c r="AV97" i="5"/>
  <c r="AU97" i="5"/>
  <c r="AV49" i="5"/>
  <c r="AU49" i="5"/>
  <c r="AV57" i="5"/>
  <c r="AU57" i="5"/>
  <c r="CB3" i="5"/>
  <c r="CB43" i="5"/>
  <c r="CB75" i="5"/>
  <c r="BO75" i="5"/>
  <c r="CB99" i="5"/>
  <c r="BC131" i="5"/>
  <c r="CB28" i="5"/>
  <c r="BD55" i="5"/>
  <c r="CB55" i="5" s="1"/>
  <c r="BB87" i="5"/>
  <c r="BZ87" i="5" s="1"/>
  <c r="BB103" i="5"/>
  <c r="BZ103" i="5" s="1"/>
  <c r="BC119" i="5"/>
  <c r="BB135" i="5"/>
  <c r="BZ135" i="5" s="1"/>
  <c r="AV73" i="5"/>
  <c r="AU73" i="5"/>
  <c r="AV81" i="5"/>
  <c r="AU81" i="5"/>
  <c r="BC43" i="5"/>
  <c r="BP50" i="5"/>
  <c r="CB50" i="5" s="1"/>
  <c r="AU17" i="5"/>
  <c r="AV17" i="5"/>
  <c r="BC103" i="5"/>
  <c r="BD34" i="5"/>
  <c r="CB34" i="5" s="1"/>
  <c r="BO3" i="5"/>
  <c r="BB28" i="5"/>
  <c r="BN39" i="5"/>
  <c r="BZ39" i="5" s="1"/>
  <c r="AV25" i="5"/>
  <c r="AU25" i="5"/>
  <c r="CB33" i="5"/>
  <c r="CB131" i="5"/>
  <c r="BL16" i="5"/>
  <c r="BL9" i="5"/>
  <c r="BX139" i="5"/>
  <c r="CB20" i="5"/>
  <c r="BZ8" i="5"/>
  <c r="BL24" i="5"/>
  <c r="CB8" i="5"/>
  <c r="CB25" i="5"/>
  <c r="CB41" i="5"/>
  <c r="CB89" i="5"/>
  <c r="CB67" i="5"/>
  <c r="CB107" i="5"/>
  <c r="BL8" i="5"/>
  <c r="CB81" i="5"/>
  <c r="CB11" i="5"/>
  <c r="CB59" i="5"/>
  <c r="F75" i="12"/>
  <c r="F80" i="12" s="1"/>
  <c r="BX8" i="5"/>
  <c r="BX24" i="5"/>
  <c r="CK32" i="5"/>
  <c r="CF32" i="5"/>
  <c r="CE32" i="5"/>
  <c r="CI32" i="5"/>
  <c r="BY32" i="5"/>
  <c r="CD32" i="5"/>
  <c r="BU32" i="5"/>
  <c r="BQ32" i="5"/>
  <c r="CG32" i="5"/>
  <c r="CC32" i="5"/>
  <c r="BS32" i="5"/>
  <c r="BH32" i="5"/>
  <c r="BJ32" i="5"/>
  <c r="BF32" i="5"/>
  <c r="BE32" i="5"/>
  <c r="BT32" i="5"/>
  <c r="BM32" i="5"/>
  <c r="BG32" i="5"/>
  <c r="CA32" i="5"/>
  <c r="BV32" i="5"/>
  <c r="BW32" i="5"/>
  <c r="BA32" i="5"/>
  <c r="BP32" i="5" s="1"/>
  <c r="BR32" i="5"/>
  <c r="AY32" i="5"/>
  <c r="BK32" i="5"/>
  <c r="BI32" i="5"/>
  <c r="BD32" i="5"/>
  <c r="AZ32" i="5"/>
  <c r="AU32" i="5"/>
  <c r="BN32" i="5" s="1"/>
  <c r="AV32" i="5"/>
  <c r="BO32" i="5" s="1"/>
  <c r="CK96" i="5"/>
  <c r="CG96" i="5"/>
  <c r="CE96" i="5"/>
  <c r="CD96" i="5"/>
  <c r="BU96" i="5"/>
  <c r="BQ96" i="5"/>
  <c r="CC96" i="5"/>
  <c r="BS96" i="5"/>
  <c r="BH96" i="5"/>
  <c r="BJ96" i="5"/>
  <c r="BF96" i="5"/>
  <c r="CF96" i="5"/>
  <c r="BT96" i="5"/>
  <c r="BE96" i="5"/>
  <c r="CA96" i="5"/>
  <c r="BV96" i="5"/>
  <c r="BM96" i="5"/>
  <c r="BG96" i="5"/>
  <c r="BR96" i="5"/>
  <c r="BA96" i="5"/>
  <c r="BP96" i="5" s="1"/>
  <c r="CI96" i="5"/>
  <c r="BY96" i="5"/>
  <c r="BW96" i="5"/>
  <c r="AY96" i="5"/>
  <c r="BK96" i="5"/>
  <c r="BD96" i="5"/>
  <c r="BI96" i="5"/>
  <c r="AZ96" i="5"/>
  <c r="AU96" i="5"/>
  <c r="BN96" i="5" s="1"/>
  <c r="AV96" i="5"/>
  <c r="BO96" i="5" s="1"/>
  <c r="CK160" i="5"/>
  <c r="CI160" i="5"/>
  <c r="CE160" i="5"/>
  <c r="CG160" i="5"/>
  <c r="CD160" i="5"/>
  <c r="CC160" i="5"/>
  <c r="BU160" i="5"/>
  <c r="BQ160" i="5"/>
  <c r="BS160" i="5"/>
  <c r="BH160" i="5"/>
  <c r="BY160" i="5"/>
  <c r="BJ160" i="5"/>
  <c r="BW160" i="5"/>
  <c r="BE160" i="5"/>
  <c r="BT160" i="5"/>
  <c r="BM160" i="5"/>
  <c r="BG160" i="5"/>
  <c r="BV160" i="5"/>
  <c r="BA160" i="5"/>
  <c r="BP160" i="5" s="1"/>
  <c r="CA160" i="5"/>
  <c r="BR160" i="5"/>
  <c r="CF160" i="5"/>
  <c r="BF160" i="5"/>
  <c r="AY160" i="5"/>
  <c r="BI160" i="5"/>
  <c r="BK160" i="5"/>
  <c r="BD160" i="5"/>
  <c r="AZ160" i="5"/>
  <c r="AU160" i="5"/>
  <c r="BN160" i="5" s="1"/>
  <c r="AV160" i="5"/>
  <c r="BO160" i="5" s="1"/>
  <c r="BL89" i="5"/>
  <c r="CG161" i="5"/>
  <c r="CF161" i="5"/>
  <c r="CI161" i="5"/>
  <c r="CA161" i="5"/>
  <c r="CE161" i="5"/>
  <c r="CC161" i="5"/>
  <c r="BY161" i="5"/>
  <c r="BV161" i="5"/>
  <c r="BM161" i="5"/>
  <c r="BR161" i="5"/>
  <c r="BH161" i="5"/>
  <c r="CK161" i="5"/>
  <c r="BI161" i="5"/>
  <c r="BT161" i="5"/>
  <c r="BU161" i="5"/>
  <c r="BQ161" i="5"/>
  <c r="BJ161" i="5"/>
  <c r="BG161" i="5"/>
  <c r="BW161" i="5"/>
  <c r="CD161" i="5"/>
  <c r="BS161" i="5"/>
  <c r="BF161" i="5"/>
  <c r="BD161" i="5"/>
  <c r="AZ161" i="5"/>
  <c r="BK161" i="5"/>
  <c r="BA161" i="5"/>
  <c r="BP161" i="5" s="1"/>
  <c r="AY161" i="5"/>
  <c r="BE161" i="5"/>
  <c r="AU161" i="5"/>
  <c r="BN161" i="5" s="1"/>
  <c r="AV161" i="5"/>
  <c r="BO161" i="5" s="1"/>
  <c r="CK74" i="5"/>
  <c r="CE74" i="5"/>
  <c r="CI74" i="5"/>
  <c r="CG74" i="5"/>
  <c r="CF74" i="5"/>
  <c r="BY74" i="5"/>
  <c r="BZ74" i="5"/>
  <c r="BT74" i="5"/>
  <c r="CH74" i="5"/>
  <c r="CD74" i="5"/>
  <c r="BR74" i="5"/>
  <c r="CJ74" i="5"/>
  <c r="BL74" i="5"/>
  <c r="BK74" i="5"/>
  <c r="BG74" i="5"/>
  <c r="CA74" i="5"/>
  <c r="BX74" i="5"/>
  <c r="BU74" i="5"/>
  <c r="BI74" i="5"/>
  <c r="BF74" i="5"/>
  <c r="BD74" i="5"/>
  <c r="BW74" i="5"/>
  <c r="BQ74" i="5"/>
  <c r="CC74" i="5"/>
  <c r="BS74" i="5"/>
  <c r="BE74" i="5"/>
  <c r="AZ74" i="5"/>
  <c r="BV74" i="5"/>
  <c r="BJ74" i="5"/>
  <c r="BM74" i="5"/>
  <c r="BA74" i="5"/>
  <c r="BP74" i="5" s="1"/>
  <c r="AY74" i="5"/>
  <c r="BH74" i="5"/>
  <c r="AU74" i="5"/>
  <c r="BN74" i="5" s="1"/>
  <c r="AV74" i="5"/>
  <c r="BO74" i="5" s="1"/>
  <c r="CK154" i="5"/>
  <c r="CI154" i="5"/>
  <c r="CF154" i="5"/>
  <c r="BY154" i="5"/>
  <c r="CG154" i="5"/>
  <c r="CE154" i="5"/>
  <c r="BT154" i="5"/>
  <c r="CD154" i="5"/>
  <c r="CC154" i="5"/>
  <c r="BR154" i="5"/>
  <c r="BU154" i="5"/>
  <c r="BK154" i="5"/>
  <c r="BG154" i="5"/>
  <c r="BI154" i="5"/>
  <c r="CA154" i="5"/>
  <c r="BD154" i="5"/>
  <c r="BV154" i="5"/>
  <c r="BF154" i="5"/>
  <c r="BQ154" i="5"/>
  <c r="BW154" i="5"/>
  <c r="BM154" i="5"/>
  <c r="AZ154" i="5"/>
  <c r="BS154" i="5"/>
  <c r="BJ154" i="5"/>
  <c r="BE154" i="5"/>
  <c r="BH154" i="5"/>
  <c r="BA154" i="5"/>
  <c r="BP154" i="5" s="1"/>
  <c r="AY154" i="5"/>
  <c r="AU154" i="5"/>
  <c r="BN154" i="5" s="1"/>
  <c r="AV154" i="5"/>
  <c r="BO154" i="5" s="1"/>
  <c r="BB19" i="5"/>
  <c r="CB51" i="5"/>
  <c r="BC59" i="5"/>
  <c r="BL59" i="5"/>
  <c r="BX59" i="5"/>
  <c r="BL83" i="5"/>
  <c r="BC91" i="5"/>
  <c r="BB107" i="5"/>
  <c r="BZ107" i="5" s="1"/>
  <c r="BN115" i="5"/>
  <c r="BZ115" i="5" s="1"/>
  <c r="BB123" i="5"/>
  <c r="BZ123" i="5" s="1"/>
  <c r="BL123" i="5"/>
  <c r="BO123" i="5"/>
  <c r="BX131" i="5"/>
  <c r="BC155" i="5"/>
  <c r="BN163" i="5"/>
  <c r="BZ163" i="5" s="1"/>
  <c r="BN4" i="5"/>
  <c r="BZ4" i="5" s="1"/>
  <c r="CF68" i="5"/>
  <c r="CE68" i="5"/>
  <c r="CK68" i="5"/>
  <c r="CH68" i="5"/>
  <c r="CJ68" i="5"/>
  <c r="CD68" i="5"/>
  <c r="CG68" i="5"/>
  <c r="BS68" i="5"/>
  <c r="CI68" i="5"/>
  <c r="BY68" i="5"/>
  <c r="CC68" i="5"/>
  <c r="BZ68" i="5"/>
  <c r="BU68" i="5"/>
  <c r="BQ68" i="5"/>
  <c r="BJ68" i="5"/>
  <c r="BF68" i="5"/>
  <c r="BT68" i="5"/>
  <c r="BH68" i="5"/>
  <c r="BX68" i="5"/>
  <c r="BV68" i="5"/>
  <c r="BE68" i="5"/>
  <c r="BM68" i="5"/>
  <c r="BD68" i="5"/>
  <c r="AY68" i="5"/>
  <c r="CA68" i="5"/>
  <c r="BG68" i="5"/>
  <c r="BA68" i="5"/>
  <c r="BP68" i="5" s="1"/>
  <c r="BL68" i="5"/>
  <c r="BI68" i="5"/>
  <c r="BR68" i="5"/>
  <c r="BW68" i="5"/>
  <c r="BK68" i="5"/>
  <c r="AZ68" i="5"/>
  <c r="AU68" i="5"/>
  <c r="BN68" i="5" s="1"/>
  <c r="AV68" i="5"/>
  <c r="BC68" i="5" s="1"/>
  <c r="CF132" i="5"/>
  <c r="CI132" i="5"/>
  <c r="CE132" i="5"/>
  <c r="CG132" i="5"/>
  <c r="CD132" i="5"/>
  <c r="CC132" i="5"/>
  <c r="BS132" i="5"/>
  <c r="BU132" i="5"/>
  <c r="BQ132" i="5"/>
  <c r="BY132" i="5"/>
  <c r="BJ132" i="5"/>
  <c r="BT132" i="5"/>
  <c r="BH132" i="5"/>
  <c r="CK132" i="5"/>
  <c r="BW132" i="5"/>
  <c r="BE132" i="5"/>
  <c r="CA132" i="5"/>
  <c r="BV132" i="5"/>
  <c r="BG132" i="5"/>
  <c r="BD132" i="5"/>
  <c r="AY132" i="5"/>
  <c r="BM132" i="5"/>
  <c r="BA132" i="5"/>
  <c r="BP132" i="5" s="1"/>
  <c r="BK132" i="5"/>
  <c r="BF132" i="5"/>
  <c r="BR132" i="5"/>
  <c r="BI132" i="5"/>
  <c r="AZ132" i="5"/>
  <c r="AU132" i="5"/>
  <c r="BN132" i="5" s="1"/>
  <c r="AV132" i="5"/>
  <c r="BO132" i="5" s="1"/>
  <c r="CK13" i="5"/>
  <c r="CG13" i="5"/>
  <c r="CI13" i="5"/>
  <c r="CE13" i="5"/>
  <c r="CD13" i="5"/>
  <c r="BY13" i="5"/>
  <c r="CA13" i="5"/>
  <c r="BV13" i="5"/>
  <c r="CC13" i="5"/>
  <c r="CF13" i="5"/>
  <c r="BQ13" i="5"/>
  <c r="BR13" i="5"/>
  <c r="BJ13" i="5"/>
  <c r="BK13" i="5"/>
  <c r="BS13" i="5"/>
  <c r="BT13" i="5"/>
  <c r="BW13" i="5"/>
  <c r="BH13" i="5"/>
  <c r="BD13" i="5"/>
  <c r="BF13" i="5"/>
  <c r="BU13" i="5"/>
  <c r="BM13" i="5"/>
  <c r="BG13" i="5"/>
  <c r="AZ13" i="5"/>
  <c r="BA13" i="5"/>
  <c r="BP13" i="5" s="1"/>
  <c r="BE13" i="5"/>
  <c r="AY13" i="5"/>
  <c r="BI13" i="5"/>
  <c r="AU13" i="5"/>
  <c r="BB13" i="5" s="1"/>
  <c r="AV13" i="5"/>
  <c r="BO13" i="5" s="1"/>
  <c r="CG85" i="5"/>
  <c r="CK85" i="5"/>
  <c r="CF85" i="5"/>
  <c r="CD85" i="5"/>
  <c r="CC85" i="5"/>
  <c r="CA85" i="5"/>
  <c r="BV85" i="5"/>
  <c r="CI85" i="5"/>
  <c r="CE85" i="5"/>
  <c r="BM85" i="5"/>
  <c r="BU85" i="5"/>
  <c r="BF85" i="5"/>
  <c r="BG85" i="5"/>
  <c r="BT85" i="5"/>
  <c r="BQ85" i="5"/>
  <c r="BK85" i="5"/>
  <c r="BH85" i="5"/>
  <c r="BE85" i="5"/>
  <c r="BW85" i="5"/>
  <c r="BY85" i="5"/>
  <c r="BR85" i="5"/>
  <c r="BS85" i="5"/>
  <c r="BD85" i="5"/>
  <c r="BI85" i="5"/>
  <c r="BA85" i="5"/>
  <c r="BP85" i="5" s="1"/>
  <c r="AY85" i="5"/>
  <c r="BJ85" i="5"/>
  <c r="AZ85" i="5"/>
  <c r="AU85" i="5"/>
  <c r="BB85" i="5" s="1"/>
  <c r="AV85" i="5"/>
  <c r="BC85" i="5" s="1"/>
  <c r="CG165" i="5"/>
  <c r="CK165" i="5"/>
  <c r="CD165" i="5"/>
  <c r="CC165" i="5"/>
  <c r="CA165" i="5"/>
  <c r="CF165" i="5"/>
  <c r="BV165" i="5"/>
  <c r="BY165" i="5"/>
  <c r="BU165" i="5"/>
  <c r="BM165" i="5"/>
  <c r="BW165" i="5"/>
  <c r="CI165" i="5"/>
  <c r="BG165" i="5"/>
  <c r="BS165" i="5"/>
  <c r="BT165" i="5"/>
  <c r="BI165" i="5"/>
  <c r="BF165" i="5"/>
  <c r="BQ165" i="5"/>
  <c r="CE165" i="5"/>
  <c r="BR165" i="5"/>
  <c r="BE165" i="5"/>
  <c r="BH165" i="5"/>
  <c r="BJ165" i="5"/>
  <c r="BK165" i="5"/>
  <c r="AZ165" i="5"/>
  <c r="BD165" i="5"/>
  <c r="BA165" i="5"/>
  <c r="BP165" i="5" s="1"/>
  <c r="AY165" i="5"/>
  <c r="AU165" i="5"/>
  <c r="BN165" i="5" s="1"/>
  <c r="AV165" i="5"/>
  <c r="BO165" i="5" s="1"/>
  <c r="CK54" i="5"/>
  <c r="CJ54" i="5"/>
  <c r="CE54" i="5"/>
  <c r="CG54" i="5"/>
  <c r="CF54" i="5"/>
  <c r="BY54" i="5"/>
  <c r="BX54" i="5"/>
  <c r="BZ54" i="5"/>
  <c r="CH54" i="5"/>
  <c r="BR54" i="5"/>
  <c r="CC54" i="5"/>
  <c r="BT54" i="5"/>
  <c r="CD54" i="5"/>
  <c r="BI54" i="5"/>
  <c r="BK54" i="5"/>
  <c r="BG54" i="5"/>
  <c r="BH54" i="5"/>
  <c r="CI54" i="5"/>
  <c r="BW54" i="5"/>
  <c r="BM54" i="5"/>
  <c r="BD54" i="5"/>
  <c r="BS54" i="5"/>
  <c r="CA54" i="5"/>
  <c r="BV54" i="5"/>
  <c r="BJ54" i="5"/>
  <c r="AZ54" i="5"/>
  <c r="BU54" i="5"/>
  <c r="BQ54" i="5"/>
  <c r="BL54" i="5"/>
  <c r="BA54" i="5"/>
  <c r="BP54" i="5" s="1"/>
  <c r="AY54" i="5"/>
  <c r="BF54" i="5"/>
  <c r="BE54" i="5"/>
  <c r="AV54" i="5"/>
  <c r="BO54" i="5" s="1"/>
  <c r="AU54" i="5"/>
  <c r="BN54" i="5" s="1"/>
  <c r="CK118" i="5"/>
  <c r="CI118" i="5"/>
  <c r="BY118" i="5"/>
  <c r="CF118" i="5"/>
  <c r="CC118" i="5"/>
  <c r="BR118" i="5"/>
  <c r="CG118" i="5"/>
  <c r="BT118" i="5"/>
  <c r="CD118" i="5"/>
  <c r="BI118" i="5"/>
  <c r="BK118" i="5"/>
  <c r="BG118" i="5"/>
  <c r="CE118" i="5"/>
  <c r="CA118" i="5"/>
  <c r="BH118" i="5"/>
  <c r="BM118" i="5"/>
  <c r="BD118" i="5"/>
  <c r="BU118" i="5"/>
  <c r="BV118" i="5"/>
  <c r="BJ118" i="5"/>
  <c r="BS118" i="5"/>
  <c r="BW118" i="5"/>
  <c r="AZ118" i="5"/>
  <c r="BF118" i="5"/>
  <c r="BQ118" i="5"/>
  <c r="BE118" i="5"/>
  <c r="BA118" i="5"/>
  <c r="BP118" i="5" s="1"/>
  <c r="AY118" i="5"/>
  <c r="AV118" i="5"/>
  <c r="BO118" i="5" s="1"/>
  <c r="AU118" i="5"/>
  <c r="BN118" i="5" s="1"/>
  <c r="BN7" i="5"/>
  <c r="BZ7" i="5" s="1"/>
  <c r="BO23" i="5"/>
  <c r="BP23" i="5"/>
  <c r="CB23" i="5" s="1"/>
  <c r="BO39" i="5"/>
  <c r="BD71" i="5"/>
  <c r="CB71" i="5" s="1"/>
  <c r="BO87" i="5"/>
  <c r="BX103" i="5"/>
  <c r="BL151" i="5"/>
  <c r="BP167" i="5"/>
  <c r="CB167" i="5" s="1"/>
  <c r="BL121" i="5"/>
  <c r="BP137" i="5"/>
  <c r="CB137" i="5" s="1"/>
  <c r="BL34" i="5"/>
  <c r="BB50" i="5"/>
  <c r="BO98" i="5"/>
  <c r="BN98" i="5"/>
  <c r="BZ98" i="5" s="1"/>
  <c r="BX114" i="5"/>
  <c r="BD114" i="5"/>
  <c r="CB114" i="5" s="1"/>
  <c r="BD162" i="5"/>
  <c r="CB162" i="5" s="1"/>
  <c r="BN29" i="5"/>
  <c r="BZ29" i="5" s="1"/>
  <c r="BX29" i="5"/>
  <c r="BC93" i="5"/>
  <c r="BX93" i="5"/>
  <c r="CG153" i="5"/>
  <c r="CK153" i="5"/>
  <c r="CF153" i="5"/>
  <c r="CE153" i="5"/>
  <c r="CA153" i="5"/>
  <c r="CC153" i="5"/>
  <c r="BV153" i="5"/>
  <c r="CI153" i="5"/>
  <c r="BS153" i="5"/>
  <c r="BT153" i="5"/>
  <c r="BM153" i="5"/>
  <c r="CD153" i="5"/>
  <c r="BQ153" i="5"/>
  <c r="BY153" i="5"/>
  <c r="BU153" i="5"/>
  <c r="BW153" i="5"/>
  <c r="BR153" i="5"/>
  <c r="BD153" i="5"/>
  <c r="BG153" i="5"/>
  <c r="BK153" i="5"/>
  <c r="BH153" i="5"/>
  <c r="BF153" i="5"/>
  <c r="BJ153" i="5"/>
  <c r="AZ153" i="5"/>
  <c r="BE153" i="5"/>
  <c r="BI153" i="5"/>
  <c r="BA153" i="5"/>
  <c r="BP153" i="5" s="1"/>
  <c r="AY153" i="5"/>
  <c r="AU153" i="5"/>
  <c r="BN153" i="5" s="1"/>
  <c r="AV153" i="5"/>
  <c r="BC153" i="5" s="1"/>
  <c r="CI47" i="5"/>
  <c r="CF47" i="5"/>
  <c r="CE47" i="5"/>
  <c r="CG47" i="5"/>
  <c r="CC47" i="5"/>
  <c r="BW47" i="5"/>
  <c r="CD47" i="5"/>
  <c r="BY47" i="5"/>
  <c r="BU47" i="5"/>
  <c r="BT47" i="5"/>
  <c r="CK47" i="5"/>
  <c r="BF47" i="5"/>
  <c r="CA47" i="5"/>
  <c r="BQ47" i="5"/>
  <c r="BJ47" i="5"/>
  <c r="BG47" i="5"/>
  <c r="BD47" i="5"/>
  <c r="BV47" i="5"/>
  <c r="BR47" i="5"/>
  <c r="BS47" i="5"/>
  <c r="BM47" i="5"/>
  <c r="BE47" i="5"/>
  <c r="BI47" i="5"/>
  <c r="BA47" i="5"/>
  <c r="BP47" i="5" s="1"/>
  <c r="BK47" i="5"/>
  <c r="BH47" i="5"/>
  <c r="AZ47" i="5"/>
  <c r="AY47" i="5"/>
  <c r="AV47" i="5"/>
  <c r="BC47" i="5" s="1"/>
  <c r="AU47" i="5"/>
  <c r="BB47" i="5" s="1"/>
  <c r="CF40" i="5"/>
  <c r="CI40" i="5"/>
  <c r="CC40" i="5"/>
  <c r="CK40" i="5"/>
  <c r="CD40" i="5"/>
  <c r="BU40" i="5"/>
  <c r="BQ40" i="5"/>
  <c r="BY40" i="5"/>
  <c r="BW40" i="5"/>
  <c r="BS40" i="5"/>
  <c r="BR40" i="5"/>
  <c r="BH40" i="5"/>
  <c r="CE40" i="5"/>
  <c r="BJ40" i="5"/>
  <c r="BF40" i="5"/>
  <c r="CA40" i="5"/>
  <c r="BK40" i="5"/>
  <c r="BE40" i="5"/>
  <c r="BV40" i="5"/>
  <c r="CG40" i="5"/>
  <c r="BM40" i="5"/>
  <c r="BA40" i="5"/>
  <c r="BP40" i="5" s="1"/>
  <c r="BG40" i="5"/>
  <c r="AY40" i="5"/>
  <c r="BT40" i="5"/>
  <c r="BD40" i="5"/>
  <c r="BI40" i="5"/>
  <c r="AZ40" i="5"/>
  <c r="AU40" i="5"/>
  <c r="BB40" i="5" s="1"/>
  <c r="AV40" i="5"/>
  <c r="BO40" i="5" s="1"/>
  <c r="CG104" i="5"/>
  <c r="CK104" i="5"/>
  <c r="CE104" i="5"/>
  <c r="CF104" i="5"/>
  <c r="CC104" i="5"/>
  <c r="CI104" i="5"/>
  <c r="BU104" i="5"/>
  <c r="BQ104" i="5"/>
  <c r="BW104" i="5"/>
  <c r="BS104" i="5"/>
  <c r="BR104" i="5"/>
  <c r="BH104" i="5"/>
  <c r="BY104" i="5"/>
  <c r="BJ104" i="5"/>
  <c r="BF104" i="5"/>
  <c r="CD104" i="5"/>
  <c r="BK104" i="5"/>
  <c r="BE104" i="5"/>
  <c r="BT104" i="5"/>
  <c r="CA104" i="5"/>
  <c r="BG104" i="5"/>
  <c r="BA104" i="5"/>
  <c r="BP104" i="5" s="1"/>
  <c r="BV104" i="5"/>
  <c r="BM104" i="5"/>
  <c r="AY104" i="5"/>
  <c r="BI104" i="5"/>
  <c r="BD104" i="5"/>
  <c r="AZ104" i="5"/>
  <c r="AU104" i="5"/>
  <c r="BN104" i="5" s="1"/>
  <c r="AV104" i="5"/>
  <c r="BO104" i="5" s="1"/>
  <c r="AT170" i="5"/>
  <c r="AT171" i="5" s="1"/>
  <c r="AS170" i="5"/>
  <c r="AS171" i="5" s="1"/>
  <c r="CJ2" i="5"/>
  <c r="CI2" i="5"/>
  <c r="CE2" i="5"/>
  <c r="CH2" i="5"/>
  <c r="CD2" i="5"/>
  <c r="CC2" i="5"/>
  <c r="CK2" i="5"/>
  <c r="CF2" i="5"/>
  <c r="BU2" i="5"/>
  <c r="BQ2" i="5"/>
  <c r="BZ2" i="5"/>
  <c r="BW2" i="5"/>
  <c r="BS2" i="5"/>
  <c r="BR2" i="5"/>
  <c r="BL2" i="5"/>
  <c r="BH2" i="5"/>
  <c r="BJ2" i="5"/>
  <c r="CG2" i="5"/>
  <c r="BX2" i="5"/>
  <c r="BK2" i="5"/>
  <c r="BE2" i="5"/>
  <c r="BY2" i="5"/>
  <c r="BV2" i="5"/>
  <c r="BM2" i="5"/>
  <c r="BA2" i="5"/>
  <c r="BP2" i="5" s="1"/>
  <c r="BT2" i="5"/>
  <c r="CA2" i="5"/>
  <c r="BG2" i="5"/>
  <c r="AY2" i="5"/>
  <c r="BI2" i="5"/>
  <c r="BF2" i="5"/>
  <c r="BD2" i="5"/>
  <c r="AZ2" i="5"/>
  <c r="AU2" i="5"/>
  <c r="BB2" i="5" s="1"/>
  <c r="AV2" i="5"/>
  <c r="BC2" i="5" s="1"/>
  <c r="BX97" i="5"/>
  <c r="CK82" i="5"/>
  <c r="CI82" i="5"/>
  <c r="CE82" i="5"/>
  <c r="CD82" i="5"/>
  <c r="BY82" i="5"/>
  <c r="CA82" i="5"/>
  <c r="BV82" i="5"/>
  <c r="BT82" i="5"/>
  <c r="CC82" i="5"/>
  <c r="BW82" i="5"/>
  <c r="BR82" i="5"/>
  <c r="BK82" i="5"/>
  <c r="BG82" i="5"/>
  <c r="CG82" i="5"/>
  <c r="BQ82" i="5"/>
  <c r="BI82" i="5"/>
  <c r="BD82" i="5"/>
  <c r="BJ82" i="5"/>
  <c r="CF82" i="5"/>
  <c r="BU82" i="5"/>
  <c r="AZ82" i="5"/>
  <c r="BM82" i="5"/>
  <c r="BS82" i="5"/>
  <c r="BA82" i="5"/>
  <c r="AY82" i="5"/>
  <c r="BF82" i="5"/>
  <c r="BH82" i="5"/>
  <c r="BE82" i="5"/>
  <c r="AU82" i="5"/>
  <c r="AV82" i="5"/>
  <c r="BX11" i="5"/>
  <c r="BX35" i="5"/>
  <c r="BL43" i="5"/>
  <c r="BB51" i="5"/>
  <c r="BB59" i="5"/>
  <c r="BZ59" i="5" s="1"/>
  <c r="BB75" i="5"/>
  <c r="BN83" i="5"/>
  <c r="BZ83" i="5" s="1"/>
  <c r="BL107" i="5"/>
  <c r="BX107" i="5"/>
  <c r="BX147" i="5"/>
  <c r="BB155" i="5"/>
  <c r="CB163" i="5"/>
  <c r="BX4" i="5"/>
  <c r="BB12" i="5"/>
  <c r="BZ12" i="5" s="1"/>
  <c r="BX12" i="5"/>
  <c r="BC20" i="5"/>
  <c r="BN44" i="5"/>
  <c r="BZ44" i="5" s="1"/>
  <c r="CF76" i="5"/>
  <c r="CI76" i="5"/>
  <c r="CH76" i="5"/>
  <c r="CK76" i="5"/>
  <c r="CG76" i="5"/>
  <c r="CD76" i="5"/>
  <c r="CA76" i="5"/>
  <c r="BY76" i="5"/>
  <c r="BZ76" i="5"/>
  <c r="BX76" i="5"/>
  <c r="BS76" i="5"/>
  <c r="CC76" i="5"/>
  <c r="BV76" i="5"/>
  <c r="BU76" i="5"/>
  <c r="BQ76" i="5"/>
  <c r="BJ76" i="5"/>
  <c r="BF76" i="5"/>
  <c r="BH76" i="5"/>
  <c r="BR76" i="5"/>
  <c r="CJ76" i="5"/>
  <c r="CE76" i="5"/>
  <c r="BI76" i="5"/>
  <c r="BE76" i="5"/>
  <c r="BW76" i="5"/>
  <c r="BG76" i="5"/>
  <c r="AY76" i="5"/>
  <c r="BT76" i="5"/>
  <c r="BM76" i="5"/>
  <c r="BA76" i="5"/>
  <c r="BP76" i="5" s="1"/>
  <c r="BK76" i="5"/>
  <c r="BL76" i="5"/>
  <c r="BD76" i="5"/>
  <c r="AZ76" i="5"/>
  <c r="AU76" i="5"/>
  <c r="BB76" i="5" s="1"/>
  <c r="AV76" i="5"/>
  <c r="BO76" i="5" s="1"/>
  <c r="CF140" i="5"/>
  <c r="CG140" i="5"/>
  <c r="CE140" i="5"/>
  <c r="CK140" i="5"/>
  <c r="CA140" i="5"/>
  <c r="BY140" i="5"/>
  <c r="CI140" i="5"/>
  <c r="CD140" i="5"/>
  <c r="CC140" i="5"/>
  <c r="BS140" i="5"/>
  <c r="BV140" i="5"/>
  <c r="BU140" i="5"/>
  <c r="BQ140" i="5"/>
  <c r="BJ140" i="5"/>
  <c r="BH140" i="5"/>
  <c r="BW140" i="5"/>
  <c r="BR140" i="5"/>
  <c r="BI140" i="5"/>
  <c r="BE140" i="5"/>
  <c r="BT140" i="5"/>
  <c r="BM140" i="5"/>
  <c r="AY140" i="5"/>
  <c r="BG140" i="5"/>
  <c r="BA140" i="5"/>
  <c r="BP140" i="5" s="1"/>
  <c r="BK140" i="5"/>
  <c r="BF140" i="5"/>
  <c r="BD140" i="5"/>
  <c r="AZ140" i="5"/>
  <c r="AU140" i="5"/>
  <c r="BB140" i="5" s="1"/>
  <c r="AV140" i="5"/>
  <c r="BO140" i="5" s="1"/>
  <c r="CG21" i="5"/>
  <c r="CK21" i="5"/>
  <c r="CF21" i="5"/>
  <c r="CI21" i="5"/>
  <c r="CD21" i="5"/>
  <c r="CC21" i="5"/>
  <c r="CA21" i="5"/>
  <c r="CE21" i="5"/>
  <c r="BV21" i="5"/>
  <c r="BM21" i="5"/>
  <c r="BF21" i="5"/>
  <c r="BG21" i="5"/>
  <c r="BW21" i="5"/>
  <c r="BQ21" i="5"/>
  <c r="BU21" i="5"/>
  <c r="BR21" i="5"/>
  <c r="BY21" i="5"/>
  <c r="BE21" i="5"/>
  <c r="BS21" i="5"/>
  <c r="BK21" i="5"/>
  <c r="BH21" i="5"/>
  <c r="BD21" i="5"/>
  <c r="BA21" i="5"/>
  <c r="BP21" i="5" s="1"/>
  <c r="BI21" i="5"/>
  <c r="BT21" i="5"/>
  <c r="BJ21" i="5"/>
  <c r="AY21" i="5"/>
  <c r="AZ21" i="5"/>
  <c r="AU21" i="5"/>
  <c r="BB21" i="5" s="1"/>
  <c r="AV21" i="5"/>
  <c r="BC21" i="5" s="1"/>
  <c r="CG101" i="5"/>
  <c r="CI101" i="5"/>
  <c r="CD101" i="5"/>
  <c r="CC101" i="5"/>
  <c r="CA101" i="5"/>
  <c r="BV101" i="5"/>
  <c r="CF101" i="5"/>
  <c r="CK101" i="5"/>
  <c r="CE101" i="5"/>
  <c r="BY101" i="5"/>
  <c r="BW101" i="5"/>
  <c r="BU101" i="5"/>
  <c r="BM101" i="5"/>
  <c r="BS101" i="5"/>
  <c r="BG101" i="5"/>
  <c r="BF101" i="5"/>
  <c r="BT101" i="5"/>
  <c r="BQ101" i="5"/>
  <c r="BR101" i="5"/>
  <c r="BI101" i="5"/>
  <c r="BE101" i="5"/>
  <c r="BJ101" i="5"/>
  <c r="BK101" i="5"/>
  <c r="BH101" i="5"/>
  <c r="BD101" i="5"/>
  <c r="AZ101" i="5"/>
  <c r="BA101" i="5"/>
  <c r="BP101" i="5" s="1"/>
  <c r="AY101" i="5"/>
  <c r="AU101" i="5"/>
  <c r="BB101" i="5" s="1"/>
  <c r="AV101" i="5"/>
  <c r="BC101" i="5" s="1"/>
  <c r="CK62" i="5"/>
  <c r="CH62" i="5"/>
  <c r="CE62" i="5"/>
  <c r="CI62" i="5"/>
  <c r="CG62" i="5"/>
  <c r="CF62" i="5"/>
  <c r="BY62" i="5"/>
  <c r="CC62" i="5"/>
  <c r="CJ62" i="5"/>
  <c r="BR62" i="5"/>
  <c r="BZ62" i="5"/>
  <c r="BT62" i="5"/>
  <c r="BI62" i="5"/>
  <c r="BS62" i="5"/>
  <c r="BL62" i="5"/>
  <c r="BK62" i="5"/>
  <c r="BG62" i="5"/>
  <c r="CD62" i="5"/>
  <c r="BU62" i="5"/>
  <c r="CA62" i="5"/>
  <c r="BD62" i="5"/>
  <c r="BV62" i="5"/>
  <c r="BJ62" i="5"/>
  <c r="BX62" i="5"/>
  <c r="BW62" i="5"/>
  <c r="BM62" i="5"/>
  <c r="AZ62" i="5"/>
  <c r="BF62" i="5"/>
  <c r="BQ62" i="5"/>
  <c r="BA62" i="5"/>
  <c r="BP62" i="5" s="1"/>
  <c r="BE62" i="5"/>
  <c r="AY62" i="5"/>
  <c r="BH62" i="5"/>
  <c r="AV62" i="5"/>
  <c r="BO62" i="5" s="1"/>
  <c r="AU62" i="5"/>
  <c r="BB62" i="5" s="1"/>
  <c r="CK126" i="5"/>
  <c r="CF126" i="5"/>
  <c r="BY126" i="5"/>
  <c r="CI126" i="5"/>
  <c r="CD126" i="5"/>
  <c r="CG126" i="5"/>
  <c r="CE126" i="5"/>
  <c r="CC126" i="5"/>
  <c r="BR126" i="5"/>
  <c r="BT126" i="5"/>
  <c r="BI126" i="5"/>
  <c r="BS126" i="5"/>
  <c r="BK126" i="5"/>
  <c r="BG126" i="5"/>
  <c r="BV126" i="5"/>
  <c r="BF126" i="5"/>
  <c r="BU126" i="5"/>
  <c r="BD126" i="5"/>
  <c r="BW126" i="5"/>
  <c r="BM126" i="5"/>
  <c r="BQ126" i="5"/>
  <c r="CA126" i="5"/>
  <c r="BJ126" i="5"/>
  <c r="AZ126" i="5"/>
  <c r="BH126" i="5"/>
  <c r="BA126" i="5"/>
  <c r="BP126" i="5" s="1"/>
  <c r="CB126" i="5" s="1"/>
  <c r="AY126" i="5"/>
  <c r="BE126" i="5"/>
  <c r="AV126" i="5"/>
  <c r="BO126" i="5" s="1"/>
  <c r="AU126" i="5"/>
  <c r="BN126" i="5" s="1"/>
  <c r="BD7" i="5"/>
  <c r="CB7" i="5" s="1"/>
  <c r="BX7" i="5"/>
  <c r="BX39" i="5"/>
  <c r="BP119" i="5"/>
  <c r="CB119" i="5" s="1"/>
  <c r="BX135" i="5"/>
  <c r="BC121" i="5"/>
  <c r="BP121" i="5"/>
  <c r="CB121" i="5" s="1"/>
  <c r="BX98" i="5"/>
  <c r="BC162" i="5"/>
  <c r="BN162" i="5"/>
  <c r="BZ162" i="5" s="1"/>
  <c r="CI88" i="5"/>
  <c r="CF88" i="5"/>
  <c r="CE88" i="5"/>
  <c r="CC88" i="5"/>
  <c r="BW88" i="5"/>
  <c r="BU88" i="5"/>
  <c r="BQ88" i="5"/>
  <c r="CG88" i="5"/>
  <c r="BY88" i="5"/>
  <c r="BS88" i="5"/>
  <c r="CA88" i="5"/>
  <c r="BH88" i="5"/>
  <c r="BR88" i="5"/>
  <c r="BJ88" i="5"/>
  <c r="BF88" i="5"/>
  <c r="BV88" i="5"/>
  <c r="BE88" i="5"/>
  <c r="CK88" i="5"/>
  <c r="CD88" i="5"/>
  <c r="BT88" i="5"/>
  <c r="BK88" i="5"/>
  <c r="BA88" i="5"/>
  <c r="BP88" i="5" s="1"/>
  <c r="BI88" i="5"/>
  <c r="AY88" i="5"/>
  <c r="BM88" i="5"/>
  <c r="BG88" i="5"/>
  <c r="BD88" i="5"/>
  <c r="AZ88" i="5"/>
  <c r="AU88" i="5"/>
  <c r="BB88" i="5" s="1"/>
  <c r="AV88" i="5"/>
  <c r="BC88" i="5" s="1"/>
  <c r="CJ63" i="5"/>
  <c r="CI63" i="5"/>
  <c r="CH63" i="5"/>
  <c r="CG63" i="5"/>
  <c r="CF63" i="5"/>
  <c r="BZ63" i="5"/>
  <c r="BX63" i="5"/>
  <c r="BW63" i="5"/>
  <c r="CK63" i="5"/>
  <c r="CC63" i="5"/>
  <c r="CA63" i="5"/>
  <c r="BV63" i="5"/>
  <c r="BT63" i="5"/>
  <c r="BU63" i="5"/>
  <c r="CD63" i="5"/>
  <c r="BR63" i="5"/>
  <c r="BF63" i="5"/>
  <c r="CE63" i="5"/>
  <c r="BY63" i="5"/>
  <c r="BQ63" i="5"/>
  <c r="BE63" i="5"/>
  <c r="BH63" i="5"/>
  <c r="BD63" i="5"/>
  <c r="BJ63" i="5"/>
  <c r="BS63" i="5"/>
  <c r="BM63" i="5"/>
  <c r="BK63" i="5"/>
  <c r="BG63" i="5"/>
  <c r="BL63" i="5"/>
  <c r="BI63" i="5"/>
  <c r="BA63" i="5"/>
  <c r="BP63" i="5" s="1"/>
  <c r="CB63" i="5" s="1"/>
  <c r="AY63" i="5"/>
  <c r="AZ63" i="5"/>
  <c r="AV63" i="5"/>
  <c r="BO63" i="5" s="1"/>
  <c r="AU63" i="5"/>
  <c r="BB63" i="5" s="1"/>
  <c r="CI79" i="5"/>
  <c r="CH79" i="5"/>
  <c r="CG79" i="5"/>
  <c r="CK79" i="5"/>
  <c r="CJ79" i="5"/>
  <c r="CF79" i="5"/>
  <c r="CE79" i="5"/>
  <c r="BZ79" i="5"/>
  <c r="BW79" i="5"/>
  <c r="CA79" i="5"/>
  <c r="CC79" i="5"/>
  <c r="BU79" i="5"/>
  <c r="BT79" i="5"/>
  <c r="CD79" i="5"/>
  <c r="BV79" i="5"/>
  <c r="BS79" i="5"/>
  <c r="BF79" i="5"/>
  <c r="BX79" i="5"/>
  <c r="BR79" i="5"/>
  <c r="BD79" i="5"/>
  <c r="BY79" i="5"/>
  <c r="BK79" i="5"/>
  <c r="BE79" i="5"/>
  <c r="BJ79" i="5"/>
  <c r="BM79" i="5"/>
  <c r="BL79" i="5"/>
  <c r="BH79" i="5"/>
  <c r="BQ79" i="5"/>
  <c r="BI79" i="5"/>
  <c r="BG79" i="5"/>
  <c r="AZ79" i="5"/>
  <c r="BA79" i="5"/>
  <c r="BP79" i="5" s="1"/>
  <c r="AY79" i="5"/>
  <c r="AV79" i="5"/>
  <c r="BC79" i="5" s="1"/>
  <c r="AU79" i="5"/>
  <c r="BB79" i="5" s="1"/>
  <c r="CG48" i="5"/>
  <c r="CF48" i="5"/>
  <c r="CK48" i="5"/>
  <c r="CE48" i="5"/>
  <c r="CI48" i="5"/>
  <c r="BU48" i="5"/>
  <c r="BQ48" i="5"/>
  <c r="CC48" i="5"/>
  <c r="CA48" i="5"/>
  <c r="BS48" i="5"/>
  <c r="BV48" i="5"/>
  <c r="BH48" i="5"/>
  <c r="BJ48" i="5"/>
  <c r="BF48" i="5"/>
  <c r="BR48" i="5"/>
  <c r="BM48" i="5"/>
  <c r="BG48" i="5"/>
  <c r="BE48" i="5"/>
  <c r="BW48" i="5"/>
  <c r="BT48" i="5"/>
  <c r="CD48" i="5"/>
  <c r="BA48" i="5"/>
  <c r="BP48" i="5" s="1"/>
  <c r="BY48" i="5"/>
  <c r="AY48" i="5"/>
  <c r="BI48" i="5"/>
  <c r="BD48" i="5"/>
  <c r="AZ48" i="5"/>
  <c r="BK48" i="5"/>
  <c r="AU48" i="5"/>
  <c r="BN48" i="5" s="1"/>
  <c r="AV48" i="5"/>
  <c r="BO48" i="5" s="1"/>
  <c r="CG112" i="5"/>
  <c r="CF112" i="5"/>
  <c r="CI112" i="5"/>
  <c r="CE112" i="5"/>
  <c r="CC112" i="5"/>
  <c r="CA112" i="5"/>
  <c r="BU112" i="5"/>
  <c r="BQ112" i="5"/>
  <c r="BS112" i="5"/>
  <c r="CK112" i="5"/>
  <c r="BY112" i="5"/>
  <c r="BH112" i="5"/>
  <c r="BV112" i="5"/>
  <c r="BJ112" i="5"/>
  <c r="BF112" i="5"/>
  <c r="BM112" i="5"/>
  <c r="BG112" i="5"/>
  <c r="BE112" i="5"/>
  <c r="BW112" i="5"/>
  <c r="BR112" i="5"/>
  <c r="CD112" i="5"/>
  <c r="BA112" i="5"/>
  <c r="BP112" i="5" s="1"/>
  <c r="BT112" i="5"/>
  <c r="AY112" i="5"/>
  <c r="BK112" i="5"/>
  <c r="BI112" i="5"/>
  <c r="BD112" i="5"/>
  <c r="AZ112" i="5"/>
  <c r="AU112" i="5"/>
  <c r="BN112" i="5" s="1"/>
  <c r="AV112" i="5"/>
  <c r="BO112" i="5" s="1"/>
  <c r="BX41" i="5"/>
  <c r="CB65" i="5"/>
  <c r="CK10" i="5"/>
  <c r="CF10" i="5"/>
  <c r="CE10" i="5"/>
  <c r="CD10" i="5"/>
  <c r="CG10" i="5"/>
  <c r="CI10" i="5"/>
  <c r="BT10" i="5"/>
  <c r="BY10" i="5"/>
  <c r="BR10" i="5"/>
  <c r="BU10" i="5"/>
  <c r="BM10" i="5"/>
  <c r="BK10" i="5"/>
  <c r="BG10" i="5"/>
  <c r="BI10" i="5"/>
  <c r="BQ10" i="5"/>
  <c r="BF10" i="5"/>
  <c r="BD10" i="5"/>
  <c r="CC10" i="5"/>
  <c r="BV10" i="5"/>
  <c r="BE10" i="5"/>
  <c r="AZ10" i="5"/>
  <c r="CA10" i="5"/>
  <c r="BW10" i="5"/>
  <c r="BS10" i="5"/>
  <c r="BJ10" i="5"/>
  <c r="BA10" i="5"/>
  <c r="BP10" i="5" s="1"/>
  <c r="BH10" i="5"/>
  <c r="AY10" i="5"/>
  <c r="AU10" i="5"/>
  <c r="BN10" i="5" s="1"/>
  <c r="AV10" i="5"/>
  <c r="BC10" i="5" s="1"/>
  <c r="CK90" i="5"/>
  <c r="CJ90" i="5"/>
  <c r="CH90" i="5"/>
  <c r="CG90" i="5"/>
  <c r="CI90" i="5"/>
  <c r="CF90" i="5"/>
  <c r="BY90" i="5"/>
  <c r="CC90" i="5"/>
  <c r="BT90" i="5"/>
  <c r="BZ90" i="5"/>
  <c r="CD90" i="5"/>
  <c r="BR90" i="5"/>
  <c r="BU90" i="5"/>
  <c r="BK90" i="5"/>
  <c r="BG90" i="5"/>
  <c r="BI90" i="5"/>
  <c r="BD90" i="5"/>
  <c r="BX90" i="5"/>
  <c r="BL90" i="5"/>
  <c r="BF90" i="5"/>
  <c r="CA90" i="5"/>
  <c r="BS90" i="5"/>
  <c r="CE90" i="5"/>
  <c r="BV90" i="5"/>
  <c r="BJ90" i="5"/>
  <c r="AZ90" i="5"/>
  <c r="BQ90" i="5"/>
  <c r="BM90" i="5"/>
  <c r="BE90" i="5"/>
  <c r="BH90" i="5"/>
  <c r="BW90" i="5"/>
  <c r="BA90" i="5"/>
  <c r="BP90" i="5" s="1"/>
  <c r="AY90" i="5"/>
  <c r="AU90" i="5"/>
  <c r="BN90" i="5" s="1"/>
  <c r="AV90" i="5"/>
  <c r="BC90" i="5" s="1"/>
  <c r="BC27" i="5"/>
  <c r="BN67" i="5"/>
  <c r="BB91" i="5"/>
  <c r="BZ91" i="5" s="1"/>
  <c r="BL115" i="5"/>
  <c r="BL139" i="5"/>
  <c r="BB147" i="5"/>
  <c r="BZ147" i="5" s="1"/>
  <c r="BC147" i="5"/>
  <c r="BC28" i="5"/>
  <c r="BX44" i="5"/>
  <c r="CF84" i="5"/>
  <c r="CG84" i="5"/>
  <c r="CK84" i="5"/>
  <c r="CE84" i="5"/>
  <c r="CC84" i="5"/>
  <c r="CA84" i="5"/>
  <c r="BS84" i="5"/>
  <c r="CD84" i="5"/>
  <c r="CI84" i="5"/>
  <c r="BU84" i="5"/>
  <c r="BQ84" i="5"/>
  <c r="BT84" i="5"/>
  <c r="BJ84" i="5"/>
  <c r="BF84" i="5"/>
  <c r="BY84" i="5"/>
  <c r="BV84" i="5"/>
  <c r="BH84" i="5"/>
  <c r="BW84" i="5"/>
  <c r="BR84" i="5"/>
  <c r="BE84" i="5"/>
  <c r="AY84" i="5"/>
  <c r="BD84" i="5"/>
  <c r="BA84" i="5"/>
  <c r="BP84" i="5" s="1"/>
  <c r="BI84" i="5"/>
  <c r="BM84" i="5"/>
  <c r="BK84" i="5"/>
  <c r="BG84" i="5"/>
  <c r="AZ84" i="5"/>
  <c r="AU84" i="5"/>
  <c r="BN84" i="5" s="1"/>
  <c r="AV84" i="5"/>
  <c r="BO84" i="5" s="1"/>
  <c r="CF148" i="5"/>
  <c r="CE148" i="5"/>
  <c r="CI148" i="5"/>
  <c r="CG148" i="5"/>
  <c r="BS148" i="5"/>
  <c r="CK148" i="5"/>
  <c r="CD148" i="5"/>
  <c r="CC148" i="5"/>
  <c r="CA148" i="5"/>
  <c r="BU148" i="5"/>
  <c r="BQ148" i="5"/>
  <c r="BV148" i="5"/>
  <c r="BT148" i="5"/>
  <c r="BJ148" i="5"/>
  <c r="BH148" i="5"/>
  <c r="BR148" i="5"/>
  <c r="BE148" i="5"/>
  <c r="BW148" i="5"/>
  <c r="AY148" i="5"/>
  <c r="BY148" i="5"/>
  <c r="BD148" i="5"/>
  <c r="BA148" i="5"/>
  <c r="BP148" i="5" s="1"/>
  <c r="BI148" i="5"/>
  <c r="BM148" i="5"/>
  <c r="BK148" i="5"/>
  <c r="BG148" i="5"/>
  <c r="BF148" i="5"/>
  <c r="AZ148" i="5"/>
  <c r="AU148" i="5"/>
  <c r="BB148" i="5" s="1"/>
  <c r="AV148" i="5"/>
  <c r="BC148" i="5" s="1"/>
  <c r="CG37" i="5"/>
  <c r="CK37" i="5"/>
  <c r="CE37" i="5"/>
  <c r="CD37" i="5"/>
  <c r="CA37" i="5"/>
  <c r="BV37" i="5"/>
  <c r="BY37" i="5"/>
  <c r="CF37" i="5"/>
  <c r="CI37" i="5"/>
  <c r="CC37" i="5"/>
  <c r="BU37" i="5"/>
  <c r="BM37" i="5"/>
  <c r="BW37" i="5"/>
  <c r="BG37" i="5"/>
  <c r="BS37" i="5"/>
  <c r="BF37" i="5"/>
  <c r="BI37" i="5"/>
  <c r="BT37" i="5"/>
  <c r="BQ37" i="5"/>
  <c r="BE37" i="5"/>
  <c r="BK37" i="5"/>
  <c r="BA37" i="5"/>
  <c r="BP37" i="5" s="1"/>
  <c r="BJ37" i="5"/>
  <c r="BR37" i="5"/>
  <c r="BD37" i="5"/>
  <c r="BH37" i="5"/>
  <c r="AZ37" i="5"/>
  <c r="AY37" i="5"/>
  <c r="AU37" i="5"/>
  <c r="BB37" i="5" s="1"/>
  <c r="AV37" i="5"/>
  <c r="BO37" i="5" s="1"/>
  <c r="CG109" i="5"/>
  <c r="CI109" i="5"/>
  <c r="CK109" i="5"/>
  <c r="CD109" i="5"/>
  <c r="CF109" i="5"/>
  <c r="CC109" i="5"/>
  <c r="CA109" i="5"/>
  <c r="BV109" i="5"/>
  <c r="BY109" i="5"/>
  <c r="BW109" i="5"/>
  <c r="BQ109" i="5"/>
  <c r="BM109" i="5"/>
  <c r="BR109" i="5"/>
  <c r="CE109" i="5"/>
  <c r="BT109" i="5"/>
  <c r="BJ109" i="5"/>
  <c r="BK109" i="5"/>
  <c r="BI109" i="5"/>
  <c r="BF109" i="5"/>
  <c r="BU109" i="5"/>
  <c r="BH109" i="5"/>
  <c r="BE109" i="5"/>
  <c r="BS109" i="5"/>
  <c r="BG109" i="5"/>
  <c r="AZ109" i="5"/>
  <c r="BA109" i="5"/>
  <c r="BP109" i="5" s="1"/>
  <c r="AY109" i="5"/>
  <c r="BD109" i="5"/>
  <c r="AU109" i="5"/>
  <c r="BB109" i="5" s="1"/>
  <c r="AV109" i="5"/>
  <c r="BO109" i="5" s="1"/>
  <c r="CG6" i="5"/>
  <c r="CE6" i="5"/>
  <c r="CD6" i="5"/>
  <c r="CK6" i="5"/>
  <c r="CF6" i="5"/>
  <c r="BY6" i="5"/>
  <c r="CC6" i="5"/>
  <c r="BR6" i="5"/>
  <c r="CA6" i="5"/>
  <c r="BU6" i="5"/>
  <c r="BT6" i="5"/>
  <c r="BV6" i="5"/>
  <c r="BI6" i="5"/>
  <c r="BW6" i="5"/>
  <c r="BK6" i="5"/>
  <c r="BG6" i="5"/>
  <c r="CI6" i="5"/>
  <c r="BH6" i="5"/>
  <c r="BD6" i="5"/>
  <c r="BQ6" i="5"/>
  <c r="AZ6" i="5"/>
  <c r="BJ6" i="5"/>
  <c r="BF6" i="5"/>
  <c r="BM6" i="5"/>
  <c r="BS6" i="5"/>
  <c r="AY6" i="5"/>
  <c r="BE6" i="5"/>
  <c r="BA6" i="5"/>
  <c r="BP6" i="5" s="1"/>
  <c r="AV6" i="5"/>
  <c r="BC6" i="5" s="1"/>
  <c r="AU6" i="5"/>
  <c r="BB6" i="5" s="1"/>
  <c r="CK70" i="5"/>
  <c r="CG70" i="5"/>
  <c r="CE70" i="5"/>
  <c r="CI70" i="5"/>
  <c r="CH70" i="5"/>
  <c r="CF70" i="5"/>
  <c r="BY70" i="5"/>
  <c r="BZ70" i="5"/>
  <c r="BX70" i="5"/>
  <c r="CC70" i="5"/>
  <c r="CA70" i="5"/>
  <c r="BR70" i="5"/>
  <c r="CJ70" i="5"/>
  <c r="BT70" i="5"/>
  <c r="BI70" i="5"/>
  <c r="CD70" i="5"/>
  <c r="BV70" i="5"/>
  <c r="BL70" i="5"/>
  <c r="BK70" i="5"/>
  <c r="BG70" i="5"/>
  <c r="BM70" i="5"/>
  <c r="BU70" i="5"/>
  <c r="BH70" i="5"/>
  <c r="BD70" i="5"/>
  <c r="BW70" i="5"/>
  <c r="BS70" i="5"/>
  <c r="BQ70" i="5"/>
  <c r="AZ70" i="5"/>
  <c r="BJ70" i="5"/>
  <c r="BF70" i="5"/>
  <c r="AY70" i="5"/>
  <c r="BE70" i="5"/>
  <c r="BA70" i="5"/>
  <c r="BP70" i="5" s="1"/>
  <c r="AV70" i="5"/>
  <c r="BO70" i="5" s="1"/>
  <c r="AU70" i="5"/>
  <c r="BN70" i="5" s="1"/>
  <c r="CK134" i="5"/>
  <c r="CG134" i="5"/>
  <c r="CF134" i="5"/>
  <c r="BY134" i="5"/>
  <c r="BR134" i="5"/>
  <c r="CD134" i="5"/>
  <c r="CC134" i="5"/>
  <c r="CA134" i="5"/>
  <c r="BT134" i="5"/>
  <c r="BV134" i="5"/>
  <c r="BI134" i="5"/>
  <c r="BK134" i="5"/>
  <c r="BG134" i="5"/>
  <c r="BU134" i="5"/>
  <c r="BM134" i="5"/>
  <c r="BF134" i="5"/>
  <c r="CE134" i="5"/>
  <c r="BH134" i="5"/>
  <c r="BD134" i="5"/>
  <c r="BQ134" i="5"/>
  <c r="BW134" i="5"/>
  <c r="BS134" i="5"/>
  <c r="CI134" i="5"/>
  <c r="AZ134" i="5"/>
  <c r="BJ134" i="5"/>
  <c r="AY134" i="5"/>
  <c r="BE134" i="5"/>
  <c r="BA134" i="5"/>
  <c r="BP134" i="5" s="1"/>
  <c r="AV134" i="5"/>
  <c r="BO134" i="5" s="1"/>
  <c r="AU134" i="5"/>
  <c r="BN134" i="5" s="1"/>
  <c r="BP87" i="5"/>
  <c r="CB87" i="5" s="1"/>
  <c r="BC135" i="5"/>
  <c r="BB151" i="5"/>
  <c r="BZ151" i="5" s="1"/>
  <c r="BP151" i="5"/>
  <c r="CB151" i="5" s="1"/>
  <c r="BO167" i="5"/>
  <c r="BL167" i="5"/>
  <c r="BD98" i="5"/>
  <c r="CB98" i="5" s="1"/>
  <c r="BC114" i="5"/>
  <c r="BL114" i="5"/>
  <c r="BB157" i="5"/>
  <c r="BD29" i="5"/>
  <c r="CB29" i="5" s="1"/>
  <c r="BD93" i="5"/>
  <c r="CB93" i="5" s="1"/>
  <c r="BB93" i="5"/>
  <c r="BZ93" i="5" s="1"/>
  <c r="CB73" i="5"/>
  <c r="BL97" i="5"/>
  <c r="CG105" i="5"/>
  <c r="CI105" i="5"/>
  <c r="CK105" i="5"/>
  <c r="CE105" i="5"/>
  <c r="CA105" i="5"/>
  <c r="CD105" i="5"/>
  <c r="CC105" i="5"/>
  <c r="BV105" i="5"/>
  <c r="CF105" i="5"/>
  <c r="BT105" i="5"/>
  <c r="BS105" i="5"/>
  <c r="BM105" i="5"/>
  <c r="BU105" i="5"/>
  <c r="BR105" i="5"/>
  <c r="BY105" i="5"/>
  <c r="BW105" i="5"/>
  <c r="BQ105" i="5"/>
  <c r="BJ105" i="5"/>
  <c r="BD105" i="5"/>
  <c r="BI105" i="5"/>
  <c r="BF105" i="5"/>
  <c r="BH105" i="5"/>
  <c r="BA105" i="5"/>
  <c r="BP105" i="5" s="1"/>
  <c r="AY105" i="5"/>
  <c r="BG105" i="5"/>
  <c r="BK105" i="5"/>
  <c r="BE105" i="5"/>
  <c r="AZ105" i="5"/>
  <c r="AU105" i="5"/>
  <c r="BN105" i="5" s="1"/>
  <c r="AV105" i="5"/>
  <c r="BO105" i="5" s="1"/>
  <c r="CH18" i="5"/>
  <c r="CK18" i="5"/>
  <c r="CJ18" i="5"/>
  <c r="CG18" i="5"/>
  <c r="CE18" i="5"/>
  <c r="CF18" i="5"/>
  <c r="BY18" i="5"/>
  <c r="BX18" i="5"/>
  <c r="CA18" i="5"/>
  <c r="CI18" i="5"/>
  <c r="BZ18" i="5"/>
  <c r="BV18" i="5"/>
  <c r="BT18" i="5"/>
  <c r="BW18" i="5"/>
  <c r="BR18" i="5"/>
  <c r="CD18" i="5"/>
  <c r="CC18" i="5"/>
  <c r="BK18" i="5"/>
  <c r="BG18" i="5"/>
  <c r="BU18" i="5"/>
  <c r="BQ18" i="5"/>
  <c r="BI18" i="5"/>
  <c r="BD18" i="5"/>
  <c r="BJ18" i="5"/>
  <c r="BS18" i="5"/>
  <c r="AZ18" i="5"/>
  <c r="BM18" i="5"/>
  <c r="BL18" i="5"/>
  <c r="BF18" i="5"/>
  <c r="BH18" i="5"/>
  <c r="AY18" i="5"/>
  <c r="BE18" i="5"/>
  <c r="BA18" i="5"/>
  <c r="BP18" i="5" s="1"/>
  <c r="AU18" i="5"/>
  <c r="BN18" i="5" s="1"/>
  <c r="AV18" i="5"/>
  <c r="BO18" i="5" s="1"/>
  <c r="CK106" i="5"/>
  <c r="CI106" i="5"/>
  <c r="CF106" i="5"/>
  <c r="BY106" i="5"/>
  <c r="CE106" i="5"/>
  <c r="BT106" i="5"/>
  <c r="CC106" i="5"/>
  <c r="CD106" i="5"/>
  <c r="CA106" i="5"/>
  <c r="BR106" i="5"/>
  <c r="BV106" i="5"/>
  <c r="BK106" i="5"/>
  <c r="BG106" i="5"/>
  <c r="BU106" i="5"/>
  <c r="BI106" i="5"/>
  <c r="BF106" i="5"/>
  <c r="BD106" i="5"/>
  <c r="BS106" i="5"/>
  <c r="BW106" i="5"/>
  <c r="BE106" i="5"/>
  <c r="AZ106" i="5"/>
  <c r="BQ106" i="5"/>
  <c r="CG106" i="5"/>
  <c r="BH106" i="5"/>
  <c r="BJ106" i="5"/>
  <c r="BM106" i="5"/>
  <c r="BA106" i="5"/>
  <c r="BP106" i="5" s="1"/>
  <c r="AY106" i="5"/>
  <c r="AU106" i="5"/>
  <c r="BN106" i="5" s="1"/>
  <c r="AV106" i="5"/>
  <c r="BC106" i="5" s="1"/>
  <c r="BN11" i="5"/>
  <c r="BZ11" i="5" s="1"/>
  <c r="BL19" i="5"/>
  <c r="CB19" i="5"/>
  <c r="BO19" i="5"/>
  <c r="BL27" i="5"/>
  <c r="BX43" i="5"/>
  <c r="BN43" i="5"/>
  <c r="BZ43" i="5" s="1"/>
  <c r="BX91" i="5"/>
  <c r="BO107" i="5"/>
  <c r="BC139" i="5"/>
  <c r="BN139" i="5"/>
  <c r="BZ139" i="5" s="1"/>
  <c r="BX163" i="5"/>
  <c r="BB36" i="5"/>
  <c r="BZ36" i="5" s="1"/>
  <c r="BC36" i="5"/>
  <c r="BX36" i="5"/>
  <c r="BC44" i="5"/>
  <c r="CF92" i="5"/>
  <c r="CG92" i="5"/>
  <c r="CE92" i="5"/>
  <c r="CK92" i="5"/>
  <c r="CI92" i="5"/>
  <c r="CA92" i="5"/>
  <c r="BY92" i="5"/>
  <c r="CD92" i="5"/>
  <c r="BV92" i="5"/>
  <c r="BS92" i="5"/>
  <c r="BU92" i="5"/>
  <c r="BQ92" i="5"/>
  <c r="BJ92" i="5"/>
  <c r="BF92" i="5"/>
  <c r="CC92" i="5"/>
  <c r="BH92" i="5"/>
  <c r="BI92" i="5"/>
  <c r="BW92" i="5"/>
  <c r="BE92" i="5"/>
  <c r="BR92" i="5"/>
  <c r="AY92" i="5"/>
  <c r="BT92" i="5"/>
  <c r="BK92" i="5"/>
  <c r="BA92" i="5"/>
  <c r="BP92" i="5" s="1"/>
  <c r="BD92" i="5"/>
  <c r="BM92" i="5"/>
  <c r="BG92" i="5"/>
  <c r="AZ92" i="5"/>
  <c r="AU92" i="5"/>
  <c r="BN92" i="5" s="1"/>
  <c r="AV92" i="5"/>
  <c r="BC92" i="5" s="1"/>
  <c r="CF156" i="5"/>
  <c r="CI156" i="5"/>
  <c r="CE156" i="5"/>
  <c r="CH156" i="5"/>
  <c r="BZ156" i="5"/>
  <c r="CK156" i="5"/>
  <c r="CG156" i="5"/>
  <c r="CD156" i="5"/>
  <c r="CA156" i="5"/>
  <c r="BY156" i="5"/>
  <c r="CJ156" i="5"/>
  <c r="BV156" i="5"/>
  <c r="BS156" i="5"/>
  <c r="BU156" i="5"/>
  <c r="BQ156" i="5"/>
  <c r="BJ156" i="5"/>
  <c r="BH156" i="5"/>
  <c r="BI156" i="5"/>
  <c r="BE156" i="5"/>
  <c r="BX156" i="5"/>
  <c r="BW156" i="5"/>
  <c r="BR156" i="5"/>
  <c r="BL156" i="5"/>
  <c r="BK156" i="5"/>
  <c r="AY156" i="5"/>
  <c r="CC156" i="5"/>
  <c r="BT156" i="5"/>
  <c r="BA156" i="5"/>
  <c r="BP156" i="5" s="1"/>
  <c r="BD156" i="5"/>
  <c r="BM156" i="5"/>
  <c r="BG156" i="5"/>
  <c r="AZ156" i="5"/>
  <c r="BF156" i="5"/>
  <c r="AU156" i="5"/>
  <c r="BN156" i="5" s="1"/>
  <c r="AV156" i="5"/>
  <c r="BO156" i="5" s="1"/>
  <c r="CG45" i="5"/>
  <c r="CI45" i="5"/>
  <c r="CE45" i="5"/>
  <c r="CD45" i="5"/>
  <c r="CK45" i="5"/>
  <c r="CA45" i="5"/>
  <c r="CC45" i="5"/>
  <c r="BV45" i="5"/>
  <c r="BW45" i="5"/>
  <c r="BY45" i="5"/>
  <c r="CF45" i="5"/>
  <c r="BQ45" i="5"/>
  <c r="BM45" i="5"/>
  <c r="BR45" i="5"/>
  <c r="BJ45" i="5"/>
  <c r="BT45" i="5"/>
  <c r="BK45" i="5"/>
  <c r="BU45" i="5"/>
  <c r="BI45" i="5"/>
  <c r="BF45" i="5"/>
  <c r="BS45" i="5"/>
  <c r="BG45" i="5"/>
  <c r="BE45" i="5"/>
  <c r="AZ45" i="5"/>
  <c r="BH45" i="5"/>
  <c r="BD45" i="5"/>
  <c r="BA45" i="5"/>
  <c r="BP45" i="5" s="1"/>
  <c r="AY45" i="5"/>
  <c r="AU45" i="5"/>
  <c r="BN45" i="5" s="1"/>
  <c r="AV45" i="5"/>
  <c r="BO45" i="5" s="1"/>
  <c r="CG117" i="5"/>
  <c r="CK117" i="5"/>
  <c r="CF117" i="5"/>
  <c r="CI117" i="5"/>
  <c r="CD117" i="5"/>
  <c r="CC117" i="5"/>
  <c r="CA117" i="5"/>
  <c r="CE117" i="5"/>
  <c r="BV117" i="5"/>
  <c r="BM117" i="5"/>
  <c r="BU117" i="5"/>
  <c r="BF117" i="5"/>
  <c r="BT117" i="5"/>
  <c r="BQ117" i="5"/>
  <c r="BG117" i="5"/>
  <c r="BR117" i="5"/>
  <c r="BE117" i="5"/>
  <c r="BY117" i="5"/>
  <c r="BS117" i="5"/>
  <c r="BJ117" i="5"/>
  <c r="BH117" i="5"/>
  <c r="BW117" i="5"/>
  <c r="BI117" i="5"/>
  <c r="BD117" i="5"/>
  <c r="BA117" i="5"/>
  <c r="BP117" i="5" s="1"/>
  <c r="AY117" i="5"/>
  <c r="BK117" i="5"/>
  <c r="AZ117" i="5"/>
  <c r="AU117" i="5"/>
  <c r="BN117" i="5" s="1"/>
  <c r="AV117" i="5"/>
  <c r="BC117" i="5" s="1"/>
  <c r="CE14" i="5"/>
  <c r="CI14" i="5"/>
  <c r="CJ14" i="5"/>
  <c r="CG14" i="5"/>
  <c r="BW14" i="5"/>
  <c r="CC14" i="5"/>
  <c r="CF14" i="5"/>
  <c r="CD14" i="5"/>
  <c r="BR14" i="5"/>
  <c r="BT14" i="5"/>
  <c r="BX14" i="5"/>
  <c r="BS14" i="5"/>
  <c r="BI14" i="5"/>
  <c r="BV14" i="5"/>
  <c r="BL14" i="5"/>
  <c r="BK14" i="5"/>
  <c r="BG14" i="5"/>
  <c r="BD14" i="5"/>
  <c r="BH14" i="5"/>
  <c r="BQ14" i="5"/>
  <c r="BZ14" i="5"/>
  <c r="BU14" i="5"/>
  <c r="AZ14" i="5"/>
  <c r="BE14" i="5"/>
  <c r="BJ14" i="5"/>
  <c r="BF14" i="5"/>
  <c r="BA14" i="5"/>
  <c r="BP14" i="5" s="1"/>
  <c r="AY14" i="5"/>
  <c r="AV14" i="5"/>
  <c r="BC14" i="5" s="1"/>
  <c r="AU14" i="5"/>
  <c r="BB14" i="5" s="1"/>
  <c r="CK78" i="5"/>
  <c r="CE78" i="5"/>
  <c r="CG78" i="5"/>
  <c r="BY78" i="5"/>
  <c r="CI78" i="5"/>
  <c r="CD78" i="5"/>
  <c r="CC78" i="5"/>
  <c r="CF78" i="5"/>
  <c r="BR78" i="5"/>
  <c r="CA78" i="5"/>
  <c r="BT78" i="5"/>
  <c r="BV78" i="5"/>
  <c r="BS78" i="5"/>
  <c r="BI78" i="5"/>
  <c r="BK78" i="5"/>
  <c r="BG78" i="5"/>
  <c r="BD78" i="5"/>
  <c r="BU78" i="5"/>
  <c r="BQ78" i="5"/>
  <c r="BW78" i="5"/>
  <c r="BH78" i="5"/>
  <c r="AZ78" i="5"/>
  <c r="BM78" i="5"/>
  <c r="BF78" i="5"/>
  <c r="BJ78" i="5"/>
  <c r="BE78" i="5"/>
  <c r="BA78" i="5"/>
  <c r="BP78" i="5" s="1"/>
  <c r="AY78" i="5"/>
  <c r="AV78" i="5"/>
  <c r="BO78" i="5" s="1"/>
  <c r="AU78" i="5"/>
  <c r="BN78" i="5" s="1"/>
  <c r="CK142" i="5"/>
  <c r="CI142" i="5"/>
  <c r="BY142" i="5"/>
  <c r="CD142" i="5"/>
  <c r="CG142" i="5"/>
  <c r="CC142" i="5"/>
  <c r="CE142" i="5"/>
  <c r="CA142" i="5"/>
  <c r="BR142" i="5"/>
  <c r="BT142" i="5"/>
  <c r="BS142" i="5"/>
  <c r="BI142" i="5"/>
  <c r="CF142" i="5"/>
  <c r="BV142" i="5"/>
  <c r="BK142" i="5"/>
  <c r="BG142" i="5"/>
  <c r="BF142" i="5"/>
  <c r="BD142" i="5"/>
  <c r="BU142" i="5"/>
  <c r="BQ142" i="5"/>
  <c r="BH142" i="5"/>
  <c r="AZ142" i="5"/>
  <c r="BM142" i="5"/>
  <c r="BE142" i="5"/>
  <c r="BW142" i="5"/>
  <c r="BJ142" i="5"/>
  <c r="BA142" i="5"/>
  <c r="BP142" i="5" s="1"/>
  <c r="AY142" i="5"/>
  <c r="AV142" i="5"/>
  <c r="BO142" i="5" s="1"/>
  <c r="AU142" i="5"/>
  <c r="BN142" i="5" s="1"/>
  <c r="BO7" i="5"/>
  <c r="BO71" i="5"/>
  <c r="BN119" i="5"/>
  <c r="BZ119" i="5" s="1"/>
  <c r="BX167" i="5"/>
  <c r="AX170" i="5"/>
  <c r="AX171" i="5" s="1"/>
  <c r="BC34" i="5"/>
  <c r="BB34" i="5"/>
  <c r="BZ34" i="5" s="1"/>
  <c r="BX162" i="5"/>
  <c r="CK64" i="5"/>
  <c r="CI64" i="5"/>
  <c r="CH64" i="5"/>
  <c r="CE64" i="5"/>
  <c r="CD64" i="5"/>
  <c r="CJ64" i="5"/>
  <c r="CA64" i="5"/>
  <c r="BU64" i="5"/>
  <c r="BQ64" i="5"/>
  <c r="BX64" i="5"/>
  <c r="BS64" i="5"/>
  <c r="BZ64" i="5"/>
  <c r="BH64" i="5"/>
  <c r="CC64" i="5"/>
  <c r="BJ64" i="5"/>
  <c r="BF64" i="5"/>
  <c r="CG64" i="5"/>
  <c r="BW64" i="5"/>
  <c r="BL64" i="5"/>
  <c r="BE64" i="5"/>
  <c r="CF64" i="5"/>
  <c r="BM64" i="5"/>
  <c r="BG64" i="5"/>
  <c r="BT64" i="5"/>
  <c r="BY64" i="5"/>
  <c r="BV64" i="5"/>
  <c r="BA64" i="5"/>
  <c r="BP64" i="5" s="1"/>
  <c r="BR64" i="5"/>
  <c r="BK64" i="5"/>
  <c r="AY64" i="5"/>
  <c r="BI64" i="5"/>
  <c r="BD64" i="5"/>
  <c r="AZ64" i="5"/>
  <c r="AU64" i="5"/>
  <c r="BB64" i="5" s="1"/>
  <c r="AV64" i="5"/>
  <c r="BC64" i="5" s="1"/>
  <c r="CJ128" i="5"/>
  <c r="CK128" i="5"/>
  <c r="CH128" i="5"/>
  <c r="CG128" i="5"/>
  <c r="CE128" i="5"/>
  <c r="CD128" i="5"/>
  <c r="BX128" i="5"/>
  <c r="CF128" i="5"/>
  <c r="BU128" i="5"/>
  <c r="BQ128" i="5"/>
  <c r="CA128" i="5"/>
  <c r="CI128" i="5"/>
  <c r="BS128" i="5"/>
  <c r="BH128" i="5"/>
  <c r="BJ128" i="5"/>
  <c r="BE128" i="5"/>
  <c r="CC128" i="5"/>
  <c r="BM128" i="5"/>
  <c r="BG128" i="5"/>
  <c r="BZ128" i="5"/>
  <c r="BW128" i="5"/>
  <c r="BT128" i="5"/>
  <c r="BK128" i="5"/>
  <c r="BA128" i="5"/>
  <c r="BP128" i="5" s="1"/>
  <c r="BY128" i="5"/>
  <c r="BR128" i="5"/>
  <c r="BF128" i="5"/>
  <c r="AY128" i="5"/>
  <c r="BD128" i="5"/>
  <c r="BI128" i="5"/>
  <c r="BV128" i="5"/>
  <c r="BL128" i="5"/>
  <c r="AZ128" i="5"/>
  <c r="AU128" i="5"/>
  <c r="BN128" i="5" s="1"/>
  <c r="AV128" i="5"/>
  <c r="BO128" i="5" s="1"/>
  <c r="BX9" i="5"/>
  <c r="CG113" i="5"/>
  <c r="CI113" i="5"/>
  <c r="CA113" i="5"/>
  <c r="CE113" i="5"/>
  <c r="CC113" i="5"/>
  <c r="CD113" i="5"/>
  <c r="BV113" i="5"/>
  <c r="BY113" i="5"/>
  <c r="BM113" i="5"/>
  <c r="CF113" i="5"/>
  <c r="BI113" i="5"/>
  <c r="BU113" i="5"/>
  <c r="BH113" i="5"/>
  <c r="CK113" i="5"/>
  <c r="BS113" i="5"/>
  <c r="BK113" i="5"/>
  <c r="BW113" i="5"/>
  <c r="BT113" i="5"/>
  <c r="BQ113" i="5"/>
  <c r="BG113" i="5"/>
  <c r="BD113" i="5"/>
  <c r="BJ113" i="5"/>
  <c r="BR113" i="5"/>
  <c r="BE113" i="5"/>
  <c r="AY113" i="5"/>
  <c r="BF113" i="5"/>
  <c r="AZ113" i="5"/>
  <c r="BA113" i="5"/>
  <c r="BP113" i="5" s="1"/>
  <c r="AU113" i="5"/>
  <c r="BN113" i="5" s="1"/>
  <c r="AV113" i="5"/>
  <c r="BC113" i="5" s="1"/>
  <c r="BC11" i="5"/>
  <c r="BX27" i="5"/>
  <c r="BX83" i="5"/>
  <c r="BO115" i="5"/>
  <c r="BB20" i="5"/>
  <c r="BZ20" i="5" s="1"/>
  <c r="CF100" i="5"/>
  <c r="CE100" i="5"/>
  <c r="CI100" i="5"/>
  <c r="CD100" i="5"/>
  <c r="CK100" i="5"/>
  <c r="BS100" i="5"/>
  <c r="CA100" i="5"/>
  <c r="BU100" i="5"/>
  <c r="BQ100" i="5"/>
  <c r="BJ100" i="5"/>
  <c r="BF100" i="5"/>
  <c r="BT100" i="5"/>
  <c r="BH100" i="5"/>
  <c r="CG100" i="5"/>
  <c r="BY100" i="5"/>
  <c r="BE100" i="5"/>
  <c r="BW100" i="5"/>
  <c r="BR100" i="5"/>
  <c r="BK100" i="5"/>
  <c r="BD100" i="5"/>
  <c r="AY100" i="5"/>
  <c r="BV100" i="5"/>
  <c r="CC100" i="5"/>
  <c r="BA100" i="5"/>
  <c r="BP100" i="5" s="1"/>
  <c r="BM100" i="5"/>
  <c r="BG100" i="5"/>
  <c r="BI100" i="5"/>
  <c r="AZ100" i="5"/>
  <c r="AU100" i="5"/>
  <c r="BN100" i="5" s="1"/>
  <c r="AV100" i="5"/>
  <c r="BC100" i="5" s="1"/>
  <c r="CF164" i="5"/>
  <c r="CG164" i="5"/>
  <c r="CE164" i="5"/>
  <c r="CK164" i="5"/>
  <c r="CI164" i="5"/>
  <c r="CD164" i="5"/>
  <c r="CA164" i="5"/>
  <c r="BS164" i="5"/>
  <c r="BU164" i="5"/>
  <c r="BQ164" i="5"/>
  <c r="CC164" i="5"/>
  <c r="BJ164" i="5"/>
  <c r="BT164" i="5"/>
  <c r="BH164" i="5"/>
  <c r="BY164" i="5"/>
  <c r="BV164" i="5"/>
  <c r="BE164" i="5"/>
  <c r="BD164" i="5"/>
  <c r="AY164" i="5"/>
  <c r="BW164" i="5"/>
  <c r="BK164" i="5"/>
  <c r="BA164" i="5"/>
  <c r="BP164" i="5" s="1"/>
  <c r="BR164" i="5"/>
  <c r="BM164" i="5"/>
  <c r="BG164" i="5"/>
  <c r="BF164" i="5"/>
  <c r="AZ164" i="5"/>
  <c r="BI164" i="5"/>
  <c r="AU164" i="5"/>
  <c r="BN164" i="5" s="1"/>
  <c r="AV164" i="5"/>
  <c r="BO164" i="5" s="1"/>
  <c r="CG53" i="5"/>
  <c r="CK53" i="5"/>
  <c r="CF53" i="5"/>
  <c r="CD53" i="5"/>
  <c r="CC53" i="5"/>
  <c r="CI53" i="5"/>
  <c r="CA53" i="5"/>
  <c r="BV53" i="5"/>
  <c r="CE53" i="5"/>
  <c r="BY53" i="5"/>
  <c r="BM53" i="5"/>
  <c r="BU53" i="5"/>
  <c r="BT53" i="5"/>
  <c r="BQ53" i="5"/>
  <c r="BF53" i="5"/>
  <c r="BG53" i="5"/>
  <c r="BR53" i="5"/>
  <c r="BS53" i="5"/>
  <c r="BW53" i="5"/>
  <c r="BE53" i="5"/>
  <c r="BH53" i="5"/>
  <c r="BI53" i="5"/>
  <c r="BK53" i="5"/>
  <c r="BJ53" i="5"/>
  <c r="BA53" i="5"/>
  <c r="BP53" i="5" s="1"/>
  <c r="AY53" i="5"/>
  <c r="BD53" i="5"/>
  <c r="AZ53" i="5"/>
  <c r="AU53" i="5"/>
  <c r="BN53" i="5" s="1"/>
  <c r="AV53" i="5"/>
  <c r="BO53" i="5" s="1"/>
  <c r="CG125" i="5"/>
  <c r="CF125" i="5"/>
  <c r="CI125" i="5"/>
  <c r="CD125" i="5"/>
  <c r="CC125" i="5"/>
  <c r="CA125" i="5"/>
  <c r="BV125" i="5"/>
  <c r="CK125" i="5"/>
  <c r="CE125" i="5"/>
  <c r="BW125" i="5"/>
  <c r="BR125" i="5"/>
  <c r="BM125" i="5"/>
  <c r="BQ125" i="5"/>
  <c r="BK125" i="5"/>
  <c r="BJ125" i="5"/>
  <c r="BS125" i="5"/>
  <c r="BT125" i="5"/>
  <c r="BU125" i="5"/>
  <c r="BY125" i="5"/>
  <c r="BG125" i="5"/>
  <c r="BI125" i="5"/>
  <c r="BF125" i="5"/>
  <c r="BH125" i="5"/>
  <c r="BD125" i="5"/>
  <c r="BA125" i="5"/>
  <c r="BP125" i="5" s="1"/>
  <c r="AY125" i="5"/>
  <c r="BE125" i="5"/>
  <c r="AZ125" i="5"/>
  <c r="AU125" i="5"/>
  <c r="BN125" i="5" s="1"/>
  <c r="AV125" i="5"/>
  <c r="BO125" i="5" s="1"/>
  <c r="CK22" i="5"/>
  <c r="CE22" i="5"/>
  <c r="CF22" i="5"/>
  <c r="BY22" i="5"/>
  <c r="CA22" i="5"/>
  <c r="CG22" i="5"/>
  <c r="BU22" i="5"/>
  <c r="BR22" i="5"/>
  <c r="CI22" i="5"/>
  <c r="CC22" i="5"/>
  <c r="BT22" i="5"/>
  <c r="BI22" i="5"/>
  <c r="BW22" i="5"/>
  <c r="BK22" i="5"/>
  <c r="BG22" i="5"/>
  <c r="CD22" i="5"/>
  <c r="BH22" i="5"/>
  <c r="BV22" i="5"/>
  <c r="BS22" i="5"/>
  <c r="BM22" i="5"/>
  <c r="BD22" i="5"/>
  <c r="AZ22" i="5"/>
  <c r="BJ22" i="5"/>
  <c r="BF22" i="5"/>
  <c r="BQ22" i="5"/>
  <c r="BE22" i="5"/>
  <c r="BA22" i="5"/>
  <c r="BP22" i="5" s="1"/>
  <c r="AY22" i="5"/>
  <c r="AV22" i="5"/>
  <c r="BC22" i="5" s="1"/>
  <c r="AU22" i="5"/>
  <c r="BN22" i="5" s="1"/>
  <c r="CK86" i="5"/>
  <c r="CE86" i="5"/>
  <c r="CI86" i="5"/>
  <c r="CG86" i="5"/>
  <c r="BY86" i="5"/>
  <c r="BR86" i="5"/>
  <c r="CA86" i="5"/>
  <c r="CF86" i="5"/>
  <c r="BT86" i="5"/>
  <c r="CD86" i="5"/>
  <c r="BW86" i="5"/>
  <c r="BI86" i="5"/>
  <c r="BK86" i="5"/>
  <c r="BG86" i="5"/>
  <c r="BS86" i="5"/>
  <c r="BH86" i="5"/>
  <c r="BM86" i="5"/>
  <c r="BD86" i="5"/>
  <c r="BV86" i="5"/>
  <c r="BU86" i="5"/>
  <c r="CC86" i="5"/>
  <c r="BQ86" i="5"/>
  <c r="AZ86" i="5"/>
  <c r="BJ86" i="5"/>
  <c r="BF86" i="5"/>
  <c r="BE86" i="5"/>
  <c r="BA86" i="5"/>
  <c r="BP86" i="5" s="1"/>
  <c r="AY86" i="5"/>
  <c r="AV86" i="5"/>
  <c r="BC86" i="5" s="1"/>
  <c r="AU86" i="5"/>
  <c r="BB86" i="5" s="1"/>
  <c r="CK150" i="5"/>
  <c r="CH150" i="5"/>
  <c r="CJ150" i="5"/>
  <c r="BY150" i="5"/>
  <c r="CI150" i="5"/>
  <c r="CD150" i="5"/>
  <c r="BZ150" i="5"/>
  <c r="CA150" i="5"/>
  <c r="BX150" i="5"/>
  <c r="BR150" i="5"/>
  <c r="CF150" i="5"/>
  <c r="BT150" i="5"/>
  <c r="BI150" i="5"/>
  <c r="CC150" i="5"/>
  <c r="BW150" i="5"/>
  <c r="BK150" i="5"/>
  <c r="BG150" i="5"/>
  <c r="BL150" i="5"/>
  <c r="BH150" i="5"/>
  <c r="BF150" i="5"/>
  <c r="CE150" i="5"/>
  <c r="BS150" i="5"/>
  <c r="BM150" i="5"/>
  <c r="BD150" i="5"/>
  <c r="BV150" i="5"/>
  <c r="CG150" i="5"/>
  <c r="BQ150" i="5"/>
  <c r="AZ150" i="5"/>
  <c r="BU150" i="5"/>
  <c r="BJ150" i="5"/>
  <c r="BE150" i="5"/>
  <c r="BA150" i="5"/>
  <c r="BP150" i="5" s="1"/>
  <c r="AY150" i="5"/>
  <c r="AV150" i="5"/>
  <c r="BC150" i="5" s="1"/>
  <c r="AU150" i="5"/>
  <c r="BN150" i="5" s="1"/>
  <c r="BD103" i="5"/>
  <c r="CB103" i="5" s="1"/>
  <c r="BL119" i="5"/>
  <c r="BL135" i="5"/>
  <c r="BB137" i="5"/>
  <c r="BO50" i="5"/>
  <c r="BL162" i="5"/>
  <c r="CH56" i="5"/>
  <c r="CI56" i="5"/>
  <c r="CE56" i="5"/>
  <c r="CK56" i="5"/>
  <c r="CF56" i="5"/>
  <c r="CC56" i="5"/>
  <c r="BZ56" i="5"/>
  <c r="CA56" i="5"/>
  <c r="BX56" i="5"/>
  <c r="BW56" i="5"/>
  <c r="BU56" i="5"/>
  <c r="BQ56" i="5"/>
  <c r="BS56" i="5"/>
  <c r="BH56" i="5"/>
  <c r="BY56" i="5"/>
  <c r="BV56" i="5"/>
  <c r="BR56" i="5"/>
  <c r="BJ56" i="5"/>
  <c r="BF56" i="5"/>
  <c r="CG56" i="5"/>
  <c r="BE56" i="5"/>
  <c r="BK56" i="5"/>
  <c r="CD56" i="5"/>
  <c r="BA56" i="5"/>
  <c r="BP56" i="5" s="1"/>
  <c r="CJ56" i="5"/>
  <c r="BT56" i="5"/>
  <c r="AY56" i="5"/>
  <c r="BG56" i="5"/>
  <c r="BD56" i="5"/>
  <c r="BL56" i="5"/>
  <c r="BI56" i="5"/>
  <c r="BM56" i="5"/>
  <c r="AZ56" i="5"/>
  <c r="AU56" i="5"/>
  <c r="BB56" i="5" s="1"/>
  <c r="AV56" i="5"/>
  <c r="BO56" i="5" s="1"/>
  <c r="CH72" i="5"/>
  <c r="CG72" i="5"/>
  <c r="CK72" i="5"/>
  <c r="CJ72" i="5"/>
  <c r="CF72" i="5"/>
  <c r="CE72" i="5"/>
  <c r="CC72" i="5"/>
  <c r="BX72" i="5"/>
  <c r="BU72" i="5"/>
  <c r="BQ72" i="5"/>
  <c r="CA72" i="5"/>
  <c r="BW72" i="5"/>
  <c r="BS72" i="5"/>
  <c r="CI72" i="5"/>
  <c r="BR72" i="5"/>
  <c r="BH72" i="5"/>
  <c r="BJ72" i="5"/>
  <c r="BF72" i="5"/>
  <c r="BK72" i="5"/>
  <c r="BE72" i="5"/>
  <c r="BY72" i="5"/>
  <c r="BZ72" i="5"/>
  <c r="BA72" i="5"/>
  <c r="BP72" i="5" s="1"/>
  <c r="CD72" i="5"/>
  <c r="BV72" i="5"/>
  <c r="BT72" i="5"/>
  <c r="AY72" i="5"/>
  <c r="BL72" i="5"/>
  <c r="BI72" i="5"/>
  <c r="BM72" i="5"/>
  <c r="BG72" i="5"/>
  <c r="BD72" i="5"/>
  <c r="AZ72" i="5"/>
  <c r="AU72" i="5"/>
  <c r="BB72" i="5" s="1"/>
  <c r="AV72" i="5"/>
  <c r="BO72" i="5" s="1"/>
  <c r="CI136" i="5"/>
  <c r="CE136" i="5"/>
  <c r="CG136" i="5"/>
  <c r="CF136" i="5"/>
  <c r="CC136" i="5"/>
  <c r="CA136" i="5"/>
  <c r="BU136" i="5"/>
  <c r="BQ136" i="5"/>
  <c r="BW136" i="5"/>
  <c r="BS136" i="5"/>
  <c r="BR136" i="5"/>
  <c r="BH136" i="5"/>
  <c r="BJ136" i="5"/>
  <c r="CK136" i="5"/>
  <c r="BK136" i="5"/>
  <c r="BE136" i="5"/>
  <c r="BV136" i="5"/>
  <c r="BY136" i="5"/>
  <c r="CD136" i="5"/>
  <c r="BA136" i="5"/>
  <c r="BP136" i="5" s="1"/>
  <c r="BT136" i="5"/>
  <c r="AY136" i="5"/>
  <c r="BM136" i="5"/>
  <c r="BI136" i="5"/>
  <c r="BF136" i="5"/>
  <c r="BD136" i="5"/>
  <c r="AZ136" i="5"/>
  <c r="BG136" i="5"/>
  <c r="AU136" i="5"/>
  <c r="BB136" i="5" s="1"/>
  <c r="AV136" i="5"/>
  <c r="BO136" i="5" s="1"/>
  <c r="BL25" i="5"/>
  <c r="BX89" i="5"/>
  <c r="CG129" i="5"/>
  <c r="CK129" i="5"/>
  <c r="CI129" i="5"/>
  <c r="CF129" i="5"/>
  <c r="CA129" i="5"/>
  <c r="CE129" i="5"/>
  <c r="CC129" i="5"/>
  <c r="BY129" i="5"/>
  <c r="BV129" i="5"/>
  <c r="BW129" i="5"/>
  <c r="BM129" i="5"/>
  <c r="BS129" i="5"/>
  <c r="BH129" i="5"/>
  <c r="CD129" i="5"/>
  <c r="BI129" i="5"/>
  <c r="BR129" i="5"/>
  <c r="BT129" i="5"/>
  <c r="BU129" i="5"/>
  <c r="BQ129" i="5"/>
  <c r="BE129" i="5"/>
  <c r="BK129" i="5"/>
  <c r="BG129" i="5"/>
  <c r="AZ129" i="5"/>
  <c r="BJ129" i="5"/>
  <c r="BD129" i="5"/>
  <c r="BA129" i="5"/>
  <c r="BP129" i="5" s="1"/>
  <c r="AY129" i="5"/>
  <c r="BF129" i="5"/>
  <c r="AU129" i="5"/>
  <c r="BB129" i="5" s="1"/>
  <c r="AV129" i="5"/>
  <c r="BO129" i="5" s="1"/>
  <c r="BX3" i="5"/>
  <c r="BC4" i="5"/>
  <c r="CB44" i="5"/>
  <c r="CF108" i="5"/>
  <c r="CE108" i="5"/>
  <c r="CG108" i="5"/>
  <c r="CK108" i="5"/>
  <c r="CA108" i="5"/>
  <c r="BY108" i="5"/>
  <c r="CI108" i="5"/>
  <c r="CD108" i="5"/>
  <c r="BS108" i="5"/>
  <c r="BV108" i="5"/>
  <c r="BU108" i="5"/>
  <c r="BQ108" i="5"/>
  <c r="BJ108" i="5"/>
  <c r="BF108" i="5"/>
  <c r="BW108" i="5"/>
  <c r="BH108" i="5"/>
  <c r="CC108" i="5"/>
  <c r="BI108" i="5"/>
  <c r="BE108" i="5"/>
  <c r="BT108" i="5"/>
  <c r="AY108" i="5"/>
  <c r="BR108" i="5"/>
  <c r="BA108" i="5"/>
  <c r="BP108" i="5" s="1"/>
  <c r="BM108" i="5"/>
  <c r="BK108" i="5"/>
  <c r="BG108" i="5"/>
  <c r="AZ108" i="5"/>
  <c r="BD108" i="5"/>
  <c r="AU108" i="5"/>
  <c r="BN108" i="5" s="1"/>
  <c r="AV108" i="5"/>
  <c r="BO108" i="5" s="1"/>
  <c r="CH61" i="5"/>
  <c r="CG61" i="5"/>
  <c r="CK61" i="5"/>
  <c r="CJ61" i="5"/>
  <c r="CF61" i="5"/>
  <c r="CD61" i="5"/>
  <c r="CC61" i="5"/>
  <c r="CE61" i="5"/>
  <c r="CA61" i="5"/>
  <c r="BV61" i="5"/>
  <c r="BY61" i="5"/>
  <c r="CI61" i="5"/>
  <c r="BZ61" i="5"/>
  <c r="BW61" i="5"/>
  <c r="BR61" i="5"/>
  <c r="BM61" i="5"/>
  <c r="BQ61" i="5"/>
  <c r="BK61" i="5"/>
  <c r="BJ61" i="5"/>
  <c r="BU61" i="5"/>
  <c r="BG61" i="5"/>
  <c r="BX61" i="5"/>
  <c r="BS61" i="5"/>
  <c r="BT61" i="5"/>
  <c r="BF61" i="5"/>
  <c r="BD61" i="5"/>
  <c r="BH61" i="5"/>
  <c r="BL61" i="5"/>
  <c r="BI61" i="5"/>
  <c r="BA61" i="5"/>
  <c r="BP61" i="5" s="1"/>
  <c r="BE61" i="5"/>
  <c r="AY61" i="5"/>
  <c r="AZ61" i="5"/>
  <c r="AU61" i="5"/>
  <c r="BN61" i="5" s="1"/>
  <c r="AV61" i="5"/>
  <c r="BC61" i="5" s="1"/>
  <c r="CG133" i="5"/>
  <c r="CK133" i="5"/>
  <c r="CD133" i="5"/>
  <c r="CC133" i="5"/>
  <c r="CA133" i="5"/>
  <c r="BV133" i="5"/>
  <c r="CI133" i="5"/>
  <c r="CF133" i="5"/>
  <c r="CE133" i="5"/>
  <c r="BU133" i="5"/>
  <c r="BM133" i="5"/>
  <c r="BR133" i="5"/>
  <c r="BG133" i="5"/>
  <c r="BY133" i="5"/>
  <c r="BW133" i="5"/>
  <c r="BS133" i="5"/>
  <c r="BJ133" i="5"/>
  <c r="BF133" i="5"/>
  <c r="BT133" i="5"/>
  <c r="BQ133" i="5"/>
  <c r="BE133" i="5"/>
  <c r="BK133" i="5"/>
  <c r="BH133" i="5"/>
  <c r="BD133" i="5"/>
  <c r="BI133" i="5"/>
  <c r="AZ133" i="5"/>
  <c r="BA133" i="5"/>
  <c r="BP133" i="5" s="1"/>
  <c r="AY133" i="5"/>
  <c r="AU133" i="5"/>
  <c r="BN133" i="5" s="1"/>
  <c r="AV133" i="5"/>
  <c r="BC133" i="5" s="1"/>
  <c r="CK30" i="5"/>
  <c r="CE30" i="5"/>
  <c r="CG30" i="5"/>
  <c r="CF30" i="5"/>
  <c r="BY30" i="5"/>
  <c r="CC30" i="5"/>
  <c r="BR30" i="5"/>
  <c r="CA30" i="5"/>
  <c r="BT30" i="5"/>
  <c r="BW30" i="5"/>
  <c r="BI30" i="5"/>
  <c r="CI30" i="5"/>
  <c r="BS30" i="5"/>
  <c r="BK30" i="5"/>
  <c r="BG30" i="5"/>
  <c r="CD30" i="5"/>
  <c r="BD30" i="5"/>
  <c r="BU30" i="5"/>
  <c r="BQ30" i="5"/>
  <c r="BV30" i="5"/>
  <c r="BF30" i="5"/>
  <c r="AZ30" i="5"/>
  <c r="BJ30" i="5"/>
  <c r="BM30" i="5"/>
  <c r="BE30" i="5"/>
  <c r="BH30" i="5"/>
  <c r="AY30" i="5"/>
  <c r="BA30" i="5"/>
  <c r="BP30" i="5" s="1"/>
  <c r="AV30" i="5"/>
  <c r="BC30" i="5" s="1"/>
  <c r="AU30" i="5"/>
  <c r="BB30" i="5" s="1"/>
  <c r="CK94" i="5"/>
  <c r="CH94" i="5"/>
  <c r="CI94" i="5"/>
  <c r="CF94" i="5"/>
  <c r="CJ94" i="5"/>
  <c r="BY94" i="5"/>
  <c r="CE94" i="5"/>
  <c r="BX94" i="5"/>
  <c r="CG94" i="5"/>
  <c r="CC94" i="5"/>
  <c r="CA94" i="5"/>
  <c r="BR94" i="5"/>
  <c r="BT94" i="5"/>
  <c r="BI94" i="5"/>
  <c r="BW94" i="5"/>
  <c r="BS94" i="5"/>
  <c r="BK94" i="5"/>
  <c r="BG94" i="5"/>
  <c r="BD94" i="5"/>
  <c r="BV94" i="5"/>
  <c r="BF94" i="5"/>
  <c r="BZ94" i="5"/>
  <c r="CD94" i="5"/>
  <c r="BU94" i="5"/>
  <c r="BQ94" i="5"/>
  <c r="BL94" i="5"/>
  <c r="AZ94" i="5"/>
  <c r="BE94" i="5"/>
  <c r="BJ94" i="5"/>
  <c r="BM94" i="5"/>
  <c r="BH94" i="5"/>
  <c r="BA94" i="5"/>
  <c r="BP94" i="5" s="1"/>
  <c r="AY94" i="5"/>
  <c r="AV94" i="5"/>
  <c r="BC94" i="5" s="1"/>
  <c r="AU94" i="5"/>
  <c r="BN94" i="5" s="1"/>
  <c r="CK158" i="5"/>
  <c r="CF158" i="5"/>
  <c r="CG158" i="5"/>
  <c r="BY158" i="5"/>
  <c r="CE158" i="5"/>
  <c r="CC158" i="5"/>
  <c r="CD158" i="5"/>
  <c r="BR158" i="5"/>
  <c r="CA158" i="5"/>
  <c r="BT158" i="5"/>
  <c r="CI158" i="5"/>
  <c r="BW158" i="5"/>
  <c r="BI158" i="5"/>
  <c r="BS158" i="5"/>
  <c r="BK158" i="5"/>
  <c r="BG158" i="5"/>
  <c r="BF158" i="5"/>
  <c r="BD158" i="5"/>
  <c r="BU158" i="5"/>
  <c r="BQ158" i="5"/>
  <c r="BV158" i="5"/>
  <c r="AZ158" i="5"/>
  <c r="BJ158" i="5"/>
  <c r="BM158" i="5"/>
  <c r="BE158" i="5"/>
  <c r="BA158" i="5"/>
  <c r="BP158" i="5" s="1"/>
  <c r="BH158" i="5"/>
  <c r="AV158" i="5"/>
  <c r="BO158" i="5" s="1"/>
  <c r="AY158" i="5"/>
  <c r="AU158" i="5"/>
  <c r="BN158" i="5" s="1"/>
  <c r="BX23" i="5"/>
  <c r="BD39" i="5"/>
  <c r="CB39" i="5" s="1"/>
  <c r="CI95" i="5"/>
  <c r="CE95" i="5"/>
  <c r="BW95" i="5"/>
  <c r="CD95" i="5"/>
  <c r="CG95" i="5"/>
  <c r="BY95" i="5"/>
  <c r="BT95" i="5"/>
  <c r="BU95" i="5"/>
  <c r="CK95" i="5"/>
  <c r="BQ95" i="5"/>
  <c r="BF95" i="5"/>
  <c r="CA95" i="5"/>
  <c r="CF95" i="5"/>
  <c r="BS95" i="5"/>
  <c r="BI95" i="5"/>
  <c r="BE95" i="5"/>
  <c r="BV95" i="5"/>
  <c r="CC95" i="5"/>
  <c r="BD95" i="5"/>
  <c r="BM95" i="5"/>
  <c r="BK95" i="5"/>
  <c r="BG95" i="5"/>
  <c r="BH95" i="5"/>
  <c r="BR95" i="5"/>
  <c r="BJ95" i="5"/>
  <c r="BA95" i="5"/>
  <c r="BP95" i="5" s="1"/>
  <c r="AY95" i="5"/>
  <c r="AZ95" i="5"/>
  <c r="AV95" i="5"/>
  <c r="BC95" i="5" s="1"/>
  <c r="AU95" i="5"/>
  <c r="BB95" i="5" s="1"/>
  <c r="CI120" i="5"/>
  <c r="CG120" i="5"/>
  <c r="CE120" i="5"/>
  <c r="CF120" i="5"/>
  <c r="CC120" i="5"/>
  <c r="CD120" i="5"/>
  <c r="BW120" i="5"/>
  <c r="BU120" i="5"/>
  <c r="BQ120" i="5"/>
  <c r="CK120" i="5"/>
  <c r="CA120" i="5"/>
  <c r="BS120" i="5"/>
  <c r="BV120" i="5"/>
  <c r="BH120" i="5"/>
  <c r="BR120" i="5"/>
  <c r="BJ120" i="5"/>
  <c r="BF120" i="5"/>
  <c r="BE120" i="5"/>
  <c r="BK120" i="5"/>
  <c r="BT120" i="5"/>
  <c r="BA120" i="5"/>
  <c r="BP120" i="5" s="1"/>
  <c r="BY120" i="5"/>
  <c r="AY120" i="5"/>
  <c r="BM120" i="5"/>
  <c r="BG120" i="5"/>
  <c r="BD120" i="5"/>
  <c r="BI120" i="5"/>
  <c r="AZ120" i="5"/>
  <c r="AU120" i="5"/>
  <c r="BN120" i="5" s="1"/>
  <c r="AV120" i="5"/>
  <c r="BO120" i="5" s="1"/>
  <c r="CI111" i="5"/>
  <c r="CK111" i="5"/>
  <c r="CE111" i="5"/>
  <c r="CF111" i="5"/>
  <c r="CG111" i="5"/>
  <c r="BW111" i="5"/>
  <c r="CC111" i="5"/>
  <c r="BU111" i="5"/>
  <c r="BT111" i="5"/>
  <c r="CD111" i="5"/>
  <c r="BF111" i="5"/>
  <c r="BR111" i="5"/>
  <c r="BV111" i="5"/>
  <c r="BS111" i="5"/>
  <c r="BY111" i="5"/>
  <c r="BM111" i="5"/>
  <c r="BD111" i="5"/>
  <c r="CA111" i="5"/>
  <c r="BJ111" i="5"/>
  <c r="BG111" i="5"/>
  <c r="BE111" i="5"/>
  <c r="BQ111" i="5"/>
  <c r="BI111" i="5"/>
  <c r="BK111" i="5"/>
  <c r="BH111" i="5"/>
  <c r="AZ111" i="5"/>
  <c r="BA111" i="5"/>
  <c r="BP111" i="5" s="1"/>
  <c r="AY111" i="5"/>
  <c r="AV111" i="5"/>
  <c r="BC111" i="5" s="1"/>
  <c r="AU111" i="5"/>
  <c r="BB111" i="5" s="1"/>
  <c r="CK26" i="5"/>
  <c r="CI26" i="5"/>
  <c r="CG26" i="5"/>
  <c r="CD26" i="5"/>
  <c r="CC26" i="5"/>
  <c r="BY26" i="5"/>
  <c r="BT26" i="5"/>
  <c r="BR26" i="5"/>
  <c r="BK26" i="5"/>
  <c r="BG26" i="5"/>
  <c r="BI26" i="5"/>
  <c r="CE26" i="5"/>
  <c r="BW26" i="5"/>
  <c r="BD26" i="5"/>
  <c r="BU26" i="5"/>
  <c r="BF26" i="5"/>
  <c r="CF26" i="5"/>
  <c r="BQ26" i="5"/>
  <c r="BM26" i="5"/>
  <c r="AZ26" i="5"/>
  <c r="CA26" i="5"/>
  <c r="BJ26" i="5"/>
  <c r="BE26" i="5"/>
  <c r="BV26" i="5"/>
  <c r="BS26" i="5"/>
  <c r="BA26" i="5"/>
  <c r="BP26" i="5" s="1"/>
  <c r="BH26" i="5"/>
  <c r="AY26" i="5"/>
  <c r="AU26" i="5"/>
  <c r="BN26" i="5" s="1"/>
  <c r="AV26" i="5"/>
  <c r="BC26" i="5" s="1"/>
  <c r="CK122" i="5"/>
  <c r="CG122" i="5"/>
  <c r="BY122" i="5"/>
  <c r="CI122" i="5"/>
  <c r="CF122" i="5"/>
  <c r="CA122" i="5"/>
  <c r="BT122" i="5"/>
  <c r="CD122" i="5"/>
  <c r="BR122" i="5"/>
  <c r="BU122" i="5"/>
  <c r="BK122" i="5"/>
  <c r="BG122" i="5"/>
  <c r="CC122" i="5"/>
  <c r="BW122" i="5"/>
  <c r="BI122" i="5"/>
  <c r="BD122" i="5"/>
  <c r="BS122" i="5"/>
  <c r="BF122" i="5"/>
  <c r="BQ122" i="5"/>
  <c r="AZ122" i="5"/>
  <c r="CE122" i="5"/>
  <c r="BV122" i="5"/>
  <c r="BE122" i="5"/>
  <c r="BM122" i="5"/>
  <c r="BH122" i="5"/>
  <c r="BJ122" i="5"/>
  <c r="BA122" i="5"/>
  <c r="BP122" i="5" s="1"/>
  <c r="AY122" i="5"/>
  <c r="AU122" i="5"/>
  <c r="BN122" i="5" s="1"/>
  <c r="AV122" i="5"/>
  <c r="BC122" i="5" s="1"/>
  <c r="CI127" i="5"/>
  <c r="CK127" i="5"/>
  <c r="CE127" i="5"/>
  <c r="CG127" i="5"/>
  <c r="CF127" i="5"/>
  <c r="BW127" i="5"/>
  <c r="CC127" i="5"/>
  <c r="CA127" i="5"/>
  <c r="BT127" i="5"/>
  <c r="BV127" i="5"/>
  <c r="BU127" i="5"/>
  <c r="BY127" i="5"/>
  <c r="BR127" i="5"/>
  <c r="CD127" i="5"/>
  <c r="BH127" i="5"/>
  <c r="BE127" i="5"/>
  <c r="BQ127" i="5"/>
  <c r="BD127" i="5"/>
  <c r="BJ127" i="5"/>
  <c r="BM127" i="5"/>
  <c r="BK127" i="5"/>
  <c r="BG127" i="5"/>
  <c r="BS127" i="5"/>
  <c r="BI127" i="5"/>
  <c r="BA127" i="5"/>
  <c r="BP127" i="5" s="1"/>
  <c r="AY127" i="5"/>
  <c r="BF127" i="5"/>
  <c r="AZ127" i="5"/>
  <c r="AV127" i="5"/>
  <c r="BO127" i="5" s="1"/>
  <c r="AU127" i="5"/>
  <c r="BN127" i="5" s="1"/>
  <c r="CK42" i="5"/>
  <c r="CF42" i="5"/>
  <c r="CE42" i="5"/>
  <c r="CG42" i="5"/>
  <c r="BY42" i="5"/>
  <c r="CI42" i="5"/>
  <c r="CA42" i="5"/>
  <c r="BT42" i="5"/>
  <c r="CD42" i="5"/>
  <c r="BR42" i="5"/>
  <c r="BK42" i="5"/>
  <c r="BG42" i="5"/>
  <c r="BV42" i="5"/>
  <c r="BU42" i="5"/>
  <c r="BI42" i="5"/>
  <c r="BF42" i="5"/>
  <c r="BD42" i="5"/>
  <c r="BH42" i="5"/>
  <c r="BE42" i="5"/>
  <c r="AZ42" i="5"/>
  <c r="CC42" i="5"/>
  <c r="BS42" i="5"/>
  <c r="BW42" i="5"/>
  <c r="BJ42" i="5"/>
  <c r="BQ42" i="5"/>
  <c r="BM42" i="5"/>
  <c r="BA42" i="5"/>
  <c r="BP42" i="5" s="1"/>
  <c r="AY42" i="5"/>
  <c r="AU42" i="5"/>
  <c r="BN42" i="5" s="1"/>
  <c r="AV42" i="5"/>
  <c r="BO42" i="5" s="1"/>
  <c r="CK130" i="5"/>
  <c r="CI130" i="5"/>
  <c r="CF130" i="5"/>
  <c r="BY130" i="5"/>
  <c r="CA130" i="5"/>
  <c r="CD130" i="5"/>
  <c r="BW130" i="5"/>
  <c r="BT130" i="5"/>
  <c r="CE130" i="5"/>
  <c r="BV130" i="5"/>
  <c r="BR130" i="5"/>
  <c r="BQ130" i="5"/>
  <c r="BK130" i="5"/>
  <c r="BG130" i="5"/>
  <c r="BI130" i="5"/>
  <c r="BJ130" i="5"/>
  <c r="BD130" i="5"/>
  <c r="CG130" i="5"/>
  <c r="BF130" i="5"/>
  <c r="BS130" i="5"/>
  <c r="CC130" i="5"/>
  <c r="AZ130" i="5"/>
  <c r="BH130" i="5"/>
  <c r="BU130" i="5"/>
  <c r="BE130" i="5"/>
  <c r="BM130" i="5"/>
  <c r="BA130" i="5"/>
  <c r="BP130" i="5" s="1"/>
  <c r="AY130" i="5"/>
  <c r="AU130" i="5"/>
  <c r="BN130" i="5" s="1"/>
  <c r="AV130" i="5"/>
  <c r="BO130" i="5" s="1"/>
  <c r="BX19" i="5"/>
  <c r="BL35" i="5"/>
  <c r="BC51" i="5"/>
  <c r="BX123" i="5"/>
  <c r="CB147" i="5"/>
  <c r="BL96" i="5"/>
  <c r="CJ15" i="5"/>
  <c r="CI15" i="5"/>
  <c r="CF15" i="5"/>
  <c r="CE15" i="5"/>
  <c r="CC15" i="5"/>
  <c r="CD15" i="5"/>
  <c r="BZ15" i="5"/>
  <c r="BX15" i="5"/>
  <c r="BW15" i="5"/>
  <c r="BU15" i="5"/>
  <c r="CK15" i="5"/>
  <c r="CA15" i="5"/>
  <c r="CH15" i="5"/>
  <c r="BT15" i="5"/>
  <c r="BY15" i="5"/>
  <c r="BS15" i="5"/>
  <c r="BM15" i="5"/>
  <c r="CG15" i="5"/>
  <c r="BF15" i="5"/>
  <c r="BV15" i="5"/>
  <c r="BK15" i="5"/>
  <c r="BD15" i="5"/>
  <c r="BR15" i="5"/>
  <c r="BE15" i="5"/>
  <c r="BA15" i="5"/>
  <c r="BP15" i="5" s="1"/>
  <c r="BH15" i="5"/>
  <c r="BI15" i="5"/>
  <c r="BQ15" i="5"/>
  <c r="BL15" i="5"/>
  <c r="BG15" i="5"/>
  <c r="AZ15" i="5"/>
  <c r="BJ15" i="5"/>
  <c r="AY15" i="5"/>
  <c r="AV15" i="5"/>
  <c r="BO15" i="5" s="1"/>
  <c r="AU15" i="5"/>
  <c r="BN15" i="5" s="1"/>
  <c r="CI143" i="5"/>
  <c r="CF143" i="5"/>
  <c r="CE143" i="5"/>
  <c r="CK143" i="5"/>
  <c r="BW143" i="5"/>
  <c r="CA143" i="5"/>
  <c r="BU143" i="5"/>
  <c r="BT143" i="5"/>
  <c r="BS143" i="5"/>
  <c r="BY143" i="5"/>
  <c r="BV143" i="5"/>
  <c r="BK143" i="5"/>
  <c r="BD143" i="5"/>
  <c r="CD143" i="5"/>
  <c r="BQ143" i="5"/>
  <c r="CC143" i="5"/>
  <c r="BR143" i="5"/>
  <c r="CG143" i="5"/>
  <c r="BE143" i="5"/>
  <c r="BI143" i="5"/>
  <c r="BJ143" i="5"/>
  <c r="BM143" i="5"/>
  <c r="BH143" i="5"/>
  <c r="BF143" i="5"/>
  <c r="AZ143" i="5"/>
  <c r="BA143" i="5"/>
  <c r="BP143" i="5" s="1"/>
  <c r="BG143" i="5"/>
  <c r="AY143" i="5"/>
  <c r="AV143" i="5"/>
  <c r="BO143" i="5" s="1"/>
  <c r="AU143" i="5"/>
  <c r="BB143" i="5" s="1"/>
  <c r="BB24" i="5"/>
  <c r="BZ24" i="5" s="1"/>
  <c r="CG80" i="5"/>
  <c r="CK80" i="5"/>
  <c r="CJ80" i="5"/>
  <c r="CF80" i="5"/>
  <c r="CH80" i="5"/>
  <c r="CE80" i="5"/>
  <c r="BY80" i="5"/>
  <c r="BU80" i="5"/>
  <c r="BQ80" i="5"/>
  <c r="BX80" i="5"/>
  <c r="BS80" i="5"/>
  <c r="BH80" i="5"/>
  <c r="BW80" i="5"/>
  <c r="BL80" i="5"/>
  <c r="BJ80" i="5"/>
  <c r="BF80" i="5"/>
  <c r="CA80" i="5"/>
  <c r="BM80" i="5"/>
  <c r="BG80" i="5"/>
  <c r="BE80" i="5"/>
  <c r="CI80" i="5"/>
  <c r="BZ80" i="5"/>
  <c r="CC80" i="5"/>
  <c r="BR80" i="5"/>
  <c r="BI80" i="5"/>
  <c r="BA80" i="5"/>
  <c r="BP80" i="5" s="1"/>
  <c r="CD80" i="5"/>
  <c r="BV80" i="5"/>
  <c r="BT80" i="5"/>
  <c r="AY80" i="5"/>
  <c r="BK80" i="5"/>
  <c r="AZ80" i="5"/>
  <c r="BD80" i="5"/>
  <c r="AU80" i="5"/>
  <c r="BB80" i="5" s="1"/>
  <c r="AV80" i="5"/>
  <c r="BO80" i="5" s="1"/>
  <c r="CG144" i="5"/>
  <c r="CI144" i="5"/>
  <c r="CF144" i="5"/>
  <c r="CE144" i="5"/>
  <c r="CD144" i="5"/>
  <c r="CK144" i="5"/>
  <c r="BU144" i="5"/>
  <c r="BQ144" i="5"/>
  <c r="BY144" i="5"/>
  <c r="BS144" i="5"/>
  <c r="CA144" i="5"/>
  <c r="BW144" i="5"/>
  <c r="BH144" i="5"/>
  <c r="BJ144" i="5"/>
  <c r="CC144" i="5"/>
  <c r="BV144" i="5"/>
  <c r="BM144" i="5"/>
  <c r="BG144" i="5"/>
  <c r="BE144" i="5"/>
  <c r="BT144" i="5"/>
  <c r="BF144" i="5"/>
  <c r="BA144" i="5"/>
  <c r="BP144" i="5" s="1"/>
  <c r="BI144" i="5"/>
  <c r="AY144" i="5"/>
  <c r="BR144" i="5"/>
  <c r="BK144" i="5"/>
  <c r="AZ144" i="5"/>
  <c r="BD144" i="5"/>
  <c r="AU144" i="5"/>
  <c r="BB144" i="5" s="1"/>
  <c r="AV144" i="5"/>
  <c r="BO144" i="5" s="1"/>
  <c r="BX25" i="5"/>
  <c r="BL41" i="5"/>
  <c r="CG145" i="5"/>
  <c r="CK145" i="5"/>
  <c r="CF145" i="5"/>
  <c r="CA145" i="5"/>
  <c r="CE145" i="5"/>
  <c r="CC145" i="5"/>
  <c r="BV145" i="5"/>
  <c r="BY145" i="5"/>
  <c r="BM145" i="5"/>
  <c r="CI145" i="5"/>
  <c r="BI145" i="5"/>
  <c r="BT145" i="5"/>
  <c r="BQ145" i="5"/>
  <c r="BH145" i="5"/>
  <c r="BS145" i="5"/>
  <c r="BU145" i="5"/>
  <c r="CD145" i="5"/>
  <c r="BW145" i="5"/>
  <c r="BR145" i="5"/>
  <c r="BJ145" i="5"/>
  <c r="BE145" i="5"/>
  <c r="BK145" i="5"/>
  <c r="BG145" i="5"/>
  <c r="BF145" i="5"/>
  <c r="BD145" i="5"/>
  <c r="AY145" i="5"/>
  <c r="AZ145" i="5"/>
  <c r="BA145" i="5"/>
  <c r="BP145" i="5" s="1"/>
  <c r="AU145" i="5"/>
  <c r="BB145" i="5" s="1"/>
  <c r="AV145" i="5"/>
  <c r="BO145" i="5" s="1"/>
  <c r="CJ58" i="5"/>
  <c r="CK58" i="5"/>
  <c r="CI58" i="5"/>
  <c r="BX58" i="5"/>
  <c r="BY58" i="5"/>
  <c r="CG58" i="5"/>
  <c r="CE58" i="5"/>
  <c r="CD58" i="5"/>
  <c r="CF58" i="5"/>
  <c r="BT58" i="5"/>
  <c r="CA58" i="5"/>
  <c r="BR58" i="5"/>
  <c r="BW58" i="5"/>
  <c r="BU58" i="5"/>
  <c r="BK58" i="5"/>
  <c r="BG58" i="5"/>
  <c r="BI58" i="5"/>
  <c r="BS58" i="5"/>
  <c r="BD58" i="5"/>
  <c r="BL58" i="5"/>
  <c r="BF58" i="5"/>
  <c r="CH58" i="5"/>
  <c r="BV58" i="5"/>
  <c r="BQ58" i="5"/>
  <c r="AZ58" i="5"/>
  <c r="CC58" i="5"/>
  <c r="BZ58" i="5"/>
  <c r="BE58" i="5"/>
  <c r="BM58" i="5"/>
  <c r="BH58" i="5"/>
  <c r="BJ58" i="5"/>
  <c r="BA58" i="5"/>
  <c r="BP58" i="5" s="1"/>
  <c r="AY58" i="5"/>
  <c r="AU58" i="5"/>
  <c r="BN58" i="5" s="1"/>
  <c r="AV58" i="5"/>
  <c r="BO58" i="5" s="1"/>
  <c r="CK138" i="5"/>
  <c r="CF138" i="5"/>
  <c r="CI138" i="5"/>
  <c r="BY138" i="5"/>
  <c r="CE138" i="5"/>
  <c r="CD138" i="5"/>
  <c r="CG138" i="5"/>
  <c r="BT138" i="5"/>
  <c r="BR138" i="5"/>
  <c r="BK138" i="5"/>
  <c r="BG138" i="5"/>
  <c r="BU138" i="5"/>
  <c r="BI138" i="5"/>
  <c r="BQ138" i="5"/>
  <c r="BD138" i="5"/>
  <c r="CA138" i="5"/>
  <c r="BF138" i="5"/>
  <c r="BV138" i="5"/>
  <c r="BE138" i="5"/>
  <c r="AZ138" i="5"/>
  <c r="CC138" i="5"/>
  <c r="BW138" i="5"/>
  <c r="BS138" i="5"/>
  <c r="BJ138" i="5"/>
  <c r="BM138" i="5"/>
  <c r="BA138" i="5"/>
  <c r="BP138" i="5" s="1"/>
  <c r="AY138" i="5"/>
  <c r="BH138" i="5"/>
  <c r="AU138" i="5"/>
  <c r="BB138" i="5" s="1"/>
  <c r="AV138" i="5"/>
  <c r="BC138" i="5" s="1"/>
  <c r="BO83" i="5"/>
  <c r="BX115" i="5"/>
  <c r="BL131" i="5"/>
  <c r="BC12" i="5"/>
  <c r="CF52" i="5"/>
  <c r="CI52" i="5"/>
  <c r="CE52" i="5"/>
  <c r="CD52" i="5"/>
  <c r="CG52" i="5"/>
  <c r="CK52" i="5"/>
  <c r="BY52" i="5"/>
  <c r="BS52" i="5"/>
  <c r="BU52" i="5"/>
  <c r="BQ52" i="5"/>
  <c r="BT52" i="5"/>
  <c r="BJ52" i="5"/>
  <c r="BF52" i="5"/>
  <c r="BW52" i="5"/>
  <c r="BH52" i="5"/>
  <c r="CC52" i="5"/>
  <c r="BE52" i="5"/>
  <c r="CA52" i="5"/>
  <c r="BI52" i="5"/>
  <c r="AY52" i="5"/>
  <c r="BR52" i="5"/>
  <c r="BD52" i="5"/>
  <c r="BA52" i="5"/>
  <c r="BP52" i="5" s="1"/>
  <c r="BV52" i="5"/>
  <c r="BM52" i="5"/>
  <c r="BK52" i="5"/>
  <c r="BG52" i="5"/>
  <c r="AZ52" i="5"/>
  <c r="AU52" i="5"/>
  <c r="BN52" i="5" s="1"/>
  <c r="AV52" i="5"/>
  <c r="BO52" i="5" s="1"/>
  <c r="CF116" i="5"/>
  <c r="CG116" i="5"/>
  <c r="CE116" i="5"/>
  <c r="CK116" i="5"/>
  <c r="BS116" i="5"/>
  <c r="CD116" i="5"/>
  <c r="BY116" i="5"/>
  <c r="BU116" i="5"/>
  <c r="BQ116" i="5"/>
  <c r="CA116" i="5"/>
  <c r="BW116" i="5"/>
  <c r="BT116" i="5"/>
  <c r="BJ116" i="5"/>
  <c r="BF116" i="5"/>
  <c r="CI116" i="5"/>
  <c r="BH116" i="5"/>
  <c r="BV116" i="5"/>
  <c r="BE116" i="5"/>
  <c r="CC116" i="5"/>
  <c r="BR116" i="5"/>
  <c r="AY116" i="5"/>
  <c r="BI116" i="5"/>
  <c r="BD116" i="5"/>
  <c r="BA116" i="5"/>
  <c r="BP116" i="5" s="1"/>
  <c r="BM116" i="5"/>
  <c r="BK116" i="5"/>
  <c r="BG116" i="5"/>
  <c r="AZ116" i="5"/>
  <c r="AU116" i="5"/>
  <c r="BN116" i="5" s="1"/>
  <c r="AV116" i="5"/>
  <c r="BO116" i="5" s="1"/>
  <c r="CH69" i="5"/>
  <c r="CG69" i="5"/>
  <c r="CJ69" i="5"/>
  <c r="CE69" i="5"/>
  <c r="CI69" i="5"/>
  <c r="CD69" i="5"/>
  <c r="CC69" i="5"/>
  <c r="CK69" i="5"/>
  <c r="CA69" i="5"/>
  <c r="BV69" i="5"/>
  <c r="BZ69" i="5"/>
  <c r="CF69" i="5"/>
  <c r="BY69" i="5"/>
  <c r="BU69" i="5"/>
  <c r="BM69" i="5"/>
  <c r="BG69" i="5"/>
  <c r="BR69" i="5"/>
  <c r="BL69" i="5"/>
  <c r="BF69" i="5"/>
  <c r="BS69" i="5"/>
  <c r="BT69" i="5"/>
  <c r="BQ69" i="5"/>
  <c r="BX69" i="5"/>
  <c r="BW69" i="5"/>
  <c r="BJ69" i="5"/>
  <c r="BE69" i="5"/>
  <c r="BH69" i="5"/>
  <c r="BK69" i="5"/>
  <c r="BD69" i="5"/>
  <c r="AZ69" i="5"/>
  <c r="BI69" i="5"/>
  <c r="BA69" i="5"/>
  <c r="BP69" i="5" s="1"/>
  <c r="AY69" i="5"/>
  <c r="AU69" i="5"/>
  <c r="BB69" i="5" s="1"/>
  <c r="AV69" i="5"/>
  <c r="BC69" i="5" s="1"/>
  <c r="CG141" i="5"/>
  <c r="CI141" i="5"/>
  <c r="CK141" i="5"/>
  <c r="CD141" i="5"/>
  <c r="CC141" i="5"/>
  <c r="CA141" i="5"/>
  <c r="CF141" i="5"/>
  <c r="BV141" i="5"/>
  <c r="BW141" i="5"/>
  <c r="CE141" i="5"/>
  <c r="BQ141" i="5"/>
  <c r="BM141" i="5"/>
  <c r="BY141" i="5"/>
  <c r="BR141" i="5"/>
  <c r="BJ141" i="5"/>
  <c r="BU141" i="5"/>
  <c r="BK141" i="5"/>
  <c r="BT141" i="5"/>
  <c r="BS141" i="5"/>
  <c r="BI141" i="5"/>
  <c r="BD141" i="5"/>
  <c r="BG141" i="5"/>
  <c r="BH141" i="5"/>
  <c r="BE141" i="5"/>
  <c r="BF141" i="5"/>
  <c r="AZ141" i="5"/>
  <c r="BA141" i="5"/>
  <c r="BP141" i="5" s="1"/>
  <c r="AU141" i="5"/>
  <c r="BN141" i="5" s="1"/>
  <c r="AV141" i="5"/>
  <c r="BO141" i="5" s="1"/>
  <c r="AY141" i="5"/>
  <c r="CK38" i="5"/>
  <c r="CG38" i="5"/>
  <c r="CE38" i="5"/>
  <c r="CI38" i="5"/>
  <c r="BY38" i="5"/>
  <c r="CF38" i="5"/>
  <c r="CC38" i="5"/>
  <c r="BR38" i="5"/>
  <c r="BT38" i="5"/>
  <c r="BI38" i="5"/>
  <c r="CD38" i="5"/>
  <c r="BK38" i="5"/>
  <c r="BG38" i="5"/>
  <c r="BQ38" i="5"/>
  <c r="BM38" i="5"/>
  <c r="BH38" i="5"/>
  <c r="BD38" i="5"/>
  <c r="CA38" i="5"/>
  <c r="BV38" i="5"/>
  <c r="BS38" i="5"/>
  <c r="BF38" i="5"/>
  <c r="BW38" i="5"/>
  <c r="BU38" i="5"/>
  <c r="AZ38" i="5"/>
  <c r="BE38" i="5"/>
  <c r="BJ38" i="5"/>
  <c r="AY38" i="5"/>
  <c r="BA38" i="5"/>
  <c r="BP38" i="5" s="1"/>
  <c r="AV38" i="5"/>
  <c r="BO38" i="5" s="1"/>
  <c r="AU38" i="5"/>
  <c r="BN38" i="5" s="1"/>
  <c r="CK102" i="5"/>
  <c r="CG102" i="5"/>
  <c r="CF102" i="5"/>
  <c r="BY102" i="5"/>
  <c r="CI102" i="5"/>
  <c r="CD102" i="5"/>
  <c r="BR102" i="5"/>
  <c r="BT102" i="5"/>
  <c r="BI102" i="5"/>
  <c r="CE102" i="5"/>
  <c r="CA102" i="5"/>
  <c r="BK102" i="5"/>
  <c r="BG102" i="5"/>
  <c r="BW102" i="5"/>
  <c r="BM102" i="5"/>
  <c r="BQ102" i="5"/>
  <c r="BH102" i="5"/>
  <c r="BD102" i="5"/>
  <c r="BU102" i="5"/>
  <c r="CC102" i="5"/>
  <c r="BF102" i="5"/>
  <c r="AZ102" i="5"/>
  <c r="BV102" i="5"/>
  <c r="BS102" i="5"/>
  <c r="BE102" i="5"/>
  <c r="AY102" i="5"/>
  <c r="BJ102" i="5"/>
  <c r="BA102" i="5"/>
  <c r="BP102" i="5" s="1"/>
  <c r="AV102" i="5"/>
  <c r="BO102" i="5" s="1"/>
  <c r="AU102" i="5"/>
  <c r="BN102" i="5" s="1"/>
  <c r="CK166" i="5"/>
  <c r="CG166" i="5"/>
  <c r="CI166" i="5"/>
  <c r="CF166" i="5"/>
  <c r="BY166" i="5"/>
  <c r="BR166" i="5"/>
  <c r="CD166" i="5"/>
  <c r="CE166" i="5"/>
  <c r="BT166" i="5"/>
  <c r="BI166" i="5"/>
  <c r="BK166" i="5"/>
  <c r="BG166" i="5"/>
  <c r="BQ166" i="5"/>
  <c r="BM166" i="5"/>
  <c r="BF166" i="5"/>
  <c r="CC166" i="5"/>
  <c r="BH166" i="5"/>
  <c r="BD166" i="5"/>
  <c r="BV166" i="5"/>
  <c r="CA166" i="5"/>
  <c r="BU166" i="5"/>
  <c r="AZ166" i="5"/>
  <c r="BE166" i="5"/>
  <c r="BS166" i="5"/>
  <c r="BW166" i="5"/>
  <c r="AY166" i="5"/>
  <c r="BJ166" i="5"/>
  <c r="BA166" i="5"/>
  <c r="BP166" i="5" s="1"/>
  <c r="AV166" i="5"/>
  <c r="BO166" i="5" s="1"/>
  <c r="AU166" i="5"/>
  <c r="BB166" i="5" s="1"/>
  <c r="BL23" i="5"/>
  <c r="BC55" i="5"/>
  <c r="BO151" i="5"/>
  <c r="BN121" i="5"/>
  <c r="BZ121" i="5" s="1"/>
  <c r="BB114" i="5"/>
  <c r="BZ114" i="5" s="1"/>
  <c r="BD157" i="5"/>
  <c r="CB157" i="5" s="1"/>
  <c r="BL93" i="5"/>
  <c r="BX16" i="5"/>
  <c r="CI31" i="5"/>
  <c r="CF31" i="5"/>
  <c r="CG31" i="5"/>
  <c r="CK31" i="5"/>
  <c r="CC31" i="5"/>
  <c r="CD31" i="5"/>
  <c r="BW31" i="5"/>
  <c r="CE31" i="5"/>
  <c r="BY31" i="5"/>
  <c r="CA31" i="5"/>
  <c r="BT31" i="5"/>
  <c r="BU31" i="5"/>
  <c r="BV31" i="5"/>
  <c r="BF31" i="5"/>
  <c r="BQ31" i="5"/>
  <c r="BS31" i="5"/>
  <c r="BE31" i="5"/>
  <c r="BI31" i="5"/>
  <c r="BD31" i="5"/>
  <c r="BH31" i="5"/>
  <c r="BJ31" i="5"/>
  <c r="BA31" i="5"/>
  <c r="BP31" i="5" s="1"/>
  <c r="BM31" i="5"/>
  <c r="BR31" i="5"/>
  <c r="BG31" i="5"/>
  <c r="AY31" i="5"/>
  <c r="BK31" i="5"/>
  <c r="AZ31" i="5"/>
  <c r="AV31" i="5"/>
  <c r="BC31" i="5" s="1"/>
  <c r="AU31" i="5"/>
  <c r="BN31" i="5" s="1"/>
  <c r="CI159" i="5"/>
  <c r="CK159" i="5"/>
  <c r="CE159" i="5"/>
  <c r="CG159" i="5"/>
  <c r="BW159" i="5"/>
  <c r="BY159" i="5"/>
  <c r="BT159" i="5"/>
  <c r="CA159" i="5"/>
  <c r="BU159" i="5"/>
  <c r="CF159" i="5"/>
  <c r="BQ159" i="5"/>
  <c r="CC159" i="5"/>
  <c r="BV159" i="5"/>
  <c r="BE159" i="5"/>
  <c r="BR159" i="5"/>
  <c r="CD159" i="5"/>
  <c r="BI159" i="5"/>
  <c r="BD159" i="5"/>
  <c r="BS159" i="5"/>
  <c r="BM159" i="5"/>
  <c r="BK159" i="5"/>
  <c r="BG159" i="5"/>
  <c r="BH159" i="5"/>
  <c r="BF159" i="5"/>
  <c r="BA159" i="5"/>
  <c r="BP159" i="5" s="1"/>
  <c r="AY159" i="5"/>
  <c r="BJ159" i="5"/>
  <c r="AZ159" i="5"/>
  <c r="AV159" i="5"/>
  <c r="BC159" i="5" s="1"/>
  <c r="AU159" i="5"/>
  <c r="BN159" i="5" s="1"/>
  <c r="CI152" i="5"/>
  <c r="CG152" i="5"/>
  <c r="CK152" i="5"/>
  <c r="CF152" i="5"/>
  <c r="CE152" i="5"/>
  <c r="CC152" i="5"/>
  <c r="BX152" i="5"/>
  <c r="BY152" i="5"/>
  <c r="BW152" i="5"/>
  <c r="BU152" i="5"/>
  <c r="BQ152" i="5"/>
  <c r="CJ152" i="5"/>
  <c r="BS152" i="5"/>
  <c r="CD152" i="5"/>
  <c r="BH152" i="5"/>
  <c r="BR152" i="5"/>
  <c r="BL152" i="5"/>
  <c r="BJ152" i="5"/>
  <c r="BT152" i="5"/>
  <c r="BE152" i="5"/>
  <c r="BK152" i="5"/>
  <c r="CH152" i="5"/>
  <c r="CA152" i="5"/>
  <c r="BI152" i="5"/>
  <c r="BA152" i="5"/>
  <c r="BP152" i="5" s="1"/>
  <c r="BZ152" i="5"/>
  <c r="AY152" i="5"/>
  <c r="BM152" i="5"/>
  <c r="BG152" i="5"/>
  <c r="BF152" i="5"/>
  <c r="BV152" i="5"/>
  <c r="AZ152" i="5"/>
  <c r="BD152" i="5"/>
  <c r="AU152" i="5"/>
  <c r="BN152" i="5" s="1"/>
  <c r="AV152" i="5"/>
  <c r="BO152" i="5" s="1"/>
  <c r="CK66" i="5"/>
  <c r="CI66" i="5"/>
  <c r="CF66" i="5"/>
  <c r="CJ66" i="5"/>
  <c r="CG66" i="5"/>
  <c r="CH66" i="5"/>
  <c r="BY66" i="5"/>
  <c r="CA66" i="5"/>
  <c r="CE66" i="5"/>
  <c r="CD66" i="5"/>
  <c r="BW66" i="5"/>
  <c r="BT66" i="5"/>
  <c r="BV66" i="5"/>
  <c r="BR66" i="5"/>
  <c r="BX66" i="5"/>
  <c r="BQ66" i="5"/>
  <c r="BL66" i="5"/>
  <c r="BK66" i="5"/>
  <c r="BG66" i="5"/>
  <c r="BI66" i="5"/>
  <c r="BZ66" i="5"/>
  <c r="BJ66" i="5"/>
  <c r="BD66" i="5"/>
  <c r="CC66" i="5"/>
  <c r="BU66" i="5"/>
  <c r="BF66" i="5"/>
  <c r="AZ66" i="5"/>
  <c r="BS66" i="5"/>
  <c r="BE66" i="5"/>
  <c r="BM66" i="5"/>
  <c r="BH66" i="5"/>
  <c r="BA66" i="5"/>
  <c r="BP66" i="5" s="1"/>
  <c r="AY66" i="5"/>
  <c r="AU66" i="5"/>
  <c r="BB66" i="5" s="1"/>
  <c r="AV66" i="5"/>
  <c r="BO66" i="5" s="1"/>
  <c r="CK146" i="5"/>
  <c r="CG146" i="5"/>
  <c r="CD146" i="5"/>
  <c r="BY146" i="5"/>
  <c r="CA146" i="5"/>
  <c r="CI146" i="5"/>
  <c r="CC146" i="5"/>
  <c r="BV146" i="5"/>
  <c r="BT146" i="5"/>
  <c r="BW146" i="5"/>
  <c r="BR146" i="5"/>
  <c r="BK146" i="5"/>
  <c r="BG146" i="5"/>
  <c r="BQ146" i="5"/>
  <c r="BI146" i="5"/>
  <c r="BD146" i="5"/>
  <c r="BJ146" i="5"/>
  <c r="BF146" i="5"/>
  <c r="AZ146" i="5"/>
  <c r="CF146" i="5"/>
  <c r="CE146" i="5"/>
  <c r="BU146" i="5"/>
  <c r="BH146" i="5"/>
  <c r="BS146" i="5"/>
  <c r="BM146" i="5"/>
  <c r="BA146" i="5"/>
  <c r="BP146" i="5" s="1"/>
  <c r="BE146" i="5"/>
  <c r="AY146" i="5"/>
  <c r="AU146" i="5"/>
  <c r="BB146" i="5" s="1"/>
  <c r="AV146" i="5"/>
  <c r="BO146" i="5" s="1"/>
  <c r="BL3" i="5"/>
  <c r="BL11" i="5"/>
  <c r="BL91" i="5"/>
  <c r="BL147" i="5"/>
  <c r="BL163" i="5"/>
  <c r="BX20" i="5"/>
  <c r="CF60" i="5"/>
  <c r="CG60" i="5"/>
  <c r="CE60" i="5"/>
  <c r="CK60" i="5"/>
  <c r="CJ60" i="5"/>
  <c r="CI60" i="5"/>
  <c r="BZ60" i="5"/>
  <c r="BX60" i="5"/>
  <c r="CA60" i="5"/>
  <c r="BY60" i="5"/>
  <c r="CD60" i="5"/>
  <c r="CC60" i="5"/>
  <c r="BV60" i="5"/>
  <c r="BS60" i="5"/>
  <c r="BU60" i="5"/>
  <c r="BQ60" i="5"/>
  <c r="BJ60" i="5"/>
  <c r="BF60" i="5"/>
  <c r="BH60" i="5"/>
  <c r="BI60" i="5"/>
  <c r="CH60" i="5"/>
  <c r="BT60" i="5"/>
  <c r="BE60" i="5"/>
  <c r="BR60" i="5"/>
  <c r="BL60" i="5"/>
  <c r="AY60" i="5"/>
  <c r="BW60" i="5"/>
  <c r="BA60" i="5"/>
  <c r="BP60" i="5" s="1"/>
  <c r="BM60" i="5"/>
  <c r="BK60" i="5"/>
  <c r="BD60" i="5"/>
  <c r="AZ60" i="5"/>
  <c r="BG60" i="5"/>
  <c r="AU60" i="5"/>
  <c r="BN60" i="5" s="1"/>
  <c r="AV60" i="5"/>
  <c r="BO60" i="5" s="1"/>
  <c r="CF124" i="5"/>
  <c r="CE124" i="5"/>
  <c r="CI124" i="5"/>
  <c r="CG124" i="5"/>
  <c r="CK124" i="5"/>
  <c r="CA124" i="5"/>
  <c r="BY124" i="5"/>
  <c r="CD124" i="5"/>
  <c r="BV124" i="5"/>
  <c r="BS124" i="5"/>
  <c r="CC124" i="5"/>
  <c r="BU124" i="5"/>
  <c r="BQ124" i="5"/>
  <c r="BJ124" i="5"/>
  <c r="BH124" i="5"/>
  <c r="BT124" i="5"/>
  <c r="BI124" i="5"/>
  <c r="BE124" i="5"/>
  <c r="BW124" i="5"/>
  <c r="AY124" i="5"/>
  <c r="BA124" i="5"/>
  <c r="BP124" i="5" s="1"/>
  <c r="BR124" i="5"/>
  <c r="BF124" i="5"/>
  <c r="BM124" i="5"/>
  <c r="BD124" i="5"/>
  <c r="AZ124" i="5"/>
  <c r="BG124" i="5"/>
  <c r="BK124" i="5"/>
  <c r="AU124" i="5"/>
  <c r="BN124" i="5" s="1"/>
  <c r="AV124" i="5"/>
  <c r="BO124" i="5" s="1"/>
  <c r="CK5" i="5"/>
  <c r="CG5" i="5"/>
  <c r="CF5" i="5"/>
  <c r="CE5" i="5"/>
  <c r="CD5" i="5"/>
  <c r="BY5" i="5"/>
  <c r="CI5" i="5"/>
  <c r="CA5" i="5"/>
  <c r="BV5" i="5"/>
  <c r="CC5" i="5"/>
  <c r="BW5" i="5"/>
  <c r="BM5" i="5"/>
  <c r="BR5" i="5"/>
  <c r="BG5" i="5"/>
  <c r="BF5" i="5"/>
  <c r="BJ5" i="5"/>
  <c r="BU5" i="5"/>
  <c r="BS5" i="5"/>
  <c r="BT5" i="5"/>
  <c r="BE5" i="5"/>
  <c r="BA5" i="5"/>
  <c r="BP5" i="5" s="1"/>
  <c r="BK5" i="5"/>
  <c r="BD5" i="5"/>
  <c r="BQ5" i="5"/>
  <c r="BI5" i="5"/>
  <c r="AZ5" i="5"/>
  <c r="BH5" i="5"/>
  <c r="AY5" i="5"/>
  <c r="AU5" i="5"/>
  <c r="BN5" i="5" s="1"/>
  <c r="AV5" i="5"/>
  <c r="BO5" i="5" s="1"/>
  <c r="CG77" i="5"/>
  <c r="CI77" i="5"/>
  <c r="CE77" i="5"/>
  <c r="CD77" i="5"/>
  <c r="CC77" i="5"/>
  <c r="CA77" i="5"/>
  <c r="BV77" i="5"/>
  <c r="BW77" i="5"/>
  <c r="CK77" i="5"/>
  <c r="BQ77" i="5"/>
  <c r="BM77" i="5"/>
  <c r="CF77" i="5"/>
  <c r="BR77" i="5"/>
  <c r="BU77" i="5"/>
  <c r="BJ77" i="5"/>
  <c r="BK77" i="5"/>
  <c r="BY77" i="5"/>
  <c r="BS77" i="5"/>
  <c r="BG77" i="5"/>
  <c r="BT77" i="5"/>
  <c r="BH77" i="5"/>
  <c r="BD77" i="5"/>
  <c r="BF77" i="5"/>
  <c r="AZ77" i="5"/>
  <c r="BA77" i="5"/>
  <c r="BP77" i="5" s="1"/>
  <c r="BI77" i="5"/>
  <c r="AY77" i="5"/>
  <c r="BE77" i="5"/>
  <c r="AU77" i="5"/>
  <c r="BN77" i="5" s="1"/>
  <c r="AV77" i="5"/>
  <c r="BO77" i="5" s="1"/>
  <c r="CG149" i="5"/>
  <c r="CK149" i="5"/>
  <c r="CF149" i="5"/>
  <c r="CI149" i="5"/>
  <c r="CD149" i="5"/>
  <c r="CC149" i="5"/>
  <c r="CA149" i="5"/>
  <c r="CE149" i="5"/>
  <c r="BV149" i="5"/>
  <c r="BY149" i="5"/>
  <c r="BM149" i="5"/>
  <c r="BU149" i="5"/>
  <c r="BW149" i="5"/>
  <c r="BG149" i="5"/>
  <c r="BR149" i="5"/>
  <c r="BS149" i="5"/>
  <c r="BE149" i="5"/>
  <c r="BT149" i="5"/>
  <c r="BK149" i="5"/>
  <c r="BH149" i="5"/>
  <c r="BF149" i="5"/>
  <c r="BQ149" i="5"/>
  <c r="BI149" i="5"/>
  <c r="BD149" i="5"/>
  <c r="BA149" i="5"/>
  <c r="BP149" i="5" s="1"/>
  <c r="BJ149" i="5"/>
  <c r="AY149" i="5"/>
  <c r="AZ149" i="5"/>
  <c r="AU149" i="5"/>
  <c r="BB149" i="5" s="1"/>
  <c r="AV149" i="5"/>
  <c r="BO149" i="5" s="1"/>
  <c r="CK46" i="5"/>
  <c r="CE46" i="5"/>
  <c r="CI46" i="5"/>
  <c r="CF46" i="5"/>
  <c r="CD46" i="5"/>
  <c r="BY46" i="5"/>
  <c r="CC46" i="5"/>
  <c r="BR46" i="5"/>
  <c r="CG46" i="5"/>
  <c r="BT46" i="5"/>
  <c r="BS46" i="5"/>
  <c r="BI46" i="5"/>
  <c r="CA46" i="5"/>
  <c r="BK46" i="5"/>
  <c r="BG46" i="5"/>
  <c r="BW46" i="5"/>
  <c r="BQ46" i="5"/>
  <c r="BD46" i="5"/>
  <c r="BU46" i="5"/>
  <c r="BV46" i="5"/>
  <c r="AZ46" i="5"/>
  <c r="BM46" i="5"/>
  <c r="BH46" i="5"/>
  <c r="BJ46" i="5"/>
  <c r="BE46" i="5"/>
  <c r="BF46" i="5"/>
  <c r="BA46" i="5"/>
  <c r="BP46" i="5" s="1"/>
  <c r="AY46" i="5"/>
  <c r="AV46" i="5"/>
  <c r="BC46" i="5" s="1"/>
  <c r="AU46" i="5"/>
  <c r="BB46" i="5" s="1"/>
  <c r="CK110" i="5"/>
  <c r="CG110" i="5"/>
  <c r="CD110" i="5"/>
  <c r="BY110" i="5"/>
  <c r="CC110" i="5"/>
  <c r="BR110" i="5"/>
  <c r="CI110" i="5"/>
  <c r="CE110" i="5"/>
  <c r="BT110" i="5"/>
  <c r="CF110" i="5"/>
  <c r="BS110" i="5"/>
  <c r="BI110" i="5"/>
  <c r="BK110" i="5"/>
  <c r="BG110" i="5"/>
  <c r="BQ110" i="5"/>
  <c r="BD110" i="5"/>
  <c r="BV110" i="5"/>
  <c r="CA110" i="5"/>
  <c r="BW110" i="5"/>
  <c r="AZ110" i="5"/>
  <c r="BH110" i="5"/>
  <c r="BU110" i="5"/>
  <c r="BM110" i="5"/>
  <c r="BF110" i="5"/>
  <c r="BA110" i="5"/>
  <c r="AY110" i="5"/>
  <c r="BJ110" i="5"/>
  <c r="BE110" i="5"/>
  <c r="AV110" i="5"/>
  <c r="AU110" i="5"/>
  <c r="BL87" i="5"/>
  <c r="CB135" i="5"/>
  <c r="BX34" i="5"/>
  <c r="D14" i="7"/>
  <c r="BF178" i="5" l="1"/>
  <c r="BF179" i="5" s="1"/>
  <c r="BD178" i="5"/>
  <c r="BD179" i="5" s="1"/>
  <c r="CE178" i="5"/>
  <c r="CE179" i="5" s="1"/>
  <c r="BM178" i="5"/>
  <c r="BM179" i="5" s="1"/>
  <c r="G39" i="10" s="1"/>
  <c r="BQ178" i="5"/>
  <c r="BQ179" i="5" s="1"/>
  <c r="BG178" i="5"/>
  <c r="BG179" i="5" s="1"/>
  <c r="BU178" i="5"/>
  <c r="BU179" i="5" s="1"/>
  <c r="CC178" i="5"/>
  <c r="CC179" i="5" s="1"/>
  <c r="J11" i="15"/>
  <c r="G39" i="15"/>
  <c r="AB11" i="15"/>
  <c r="AB45" i="15" s="1"/>
  <c r="AA11" i="15"/>
  <c r="F10" i="15"/>
  <c r="D37" i="10"/>
  <c r="AV187" i="5"/>
  <c r="AV188" i="5" s="1"/>
  <c r="AV189" i="5"/>
  <c r="AV190" i="5" s="1"/>
  <c r="AY189" i="5"/>
  <c r="AY190" i="5" s="1"/>
  <c r="AY187" i="5"/>
  <c r="AY188" i="5" s="1"/>
  <c r="D39" i="10"/>
  <c r="F12" i="15"/>
  <c r="F40" i="15" s="1"/>
  <c r="BS178" i="5"/>
  <c r="BS179" i="5" s="1"/>
  <c r="F75" i="15"/>
  <c r="F80" i="15" s="1"/>
  <c r="BR178" i="5"/>
  <c r="BR179" i="5" s="1"/>
  <c r="CI178" i="5"/>
  <c r="CI179" i="5" s="1"/>
  <c r="BH178" i="5"/>
  <c r="BH179" i="5" s="1"/>
  <c r="AZ178" i="5"/>
  <c r="AZ179" i="5" s="1"/>
  <c r="BI178" i="5"/>
  <c r="BI179" i="5" s="1"/>
  <c r="BY178" i="5"/>
  <c r="BY179" i="5" s="1"/>
  <c r="BE178" i="5"/>
  <c r="BE179" i="5" s="1"/>
  <c r="BW178" i="5"/>
  <c r="BW179" i="5" s="1"/>
  <c r="CD178" i="5"/>
  <c r="CD179" i="5" s="1"/>
  <c r="BB110" i="5"/>
  <c r="AU178" i="5"/>
  <c r="AU179" i="5" s="1"/>
  <c r="BO110" i="5"/>
  <c r="AV178" i="5"/>
  <c r="AV179" i="5" s="1"/>
  <c r="BK178" i="5"/>
  <c r="BK179" i="5" s="1"/>
  <c r="CA178" i="5"/>
  <c r="CA179" i="5" s="1"/>
  <c r="CF178" i="5"/>
  <c r="CF179" i="5" s="1"/>
  <c r="CG178" i="5"/>
  <c r="CG179" i="5" s="1"/>
  <c r="BJ178" i="5"/>
  <c r="BJ179" i="5" s="1"/>
  <c r="AY178" i="5"/>
  <c r="AY179" i="5" s="1"/>
  <c r="BP110" i="5"/>
  <c r="BP178" i="5" s="1"/>
  <c r="BP179" i="5" s="1"/>
  <c r="BA178" i="5"/>
  <c r="BA179" i="5" s="1"/>
  <c r="BV178" i="5"/>
  <c r="BV179" i="5" s="1"/>
  <c r="BT178" i="5"/>
  <c r="BT179" i="5" s="1"/>
  <c r="CK178" i="5"/>
  <c r="CK179" i="5" s="1"/>
  <c r="BB27" i="5"/>
  <c r="BZ27" i="5" s="1"/>
  <c r="BL12" i="5"/>
  <c r="BX121" i="5"/>
  <c r="H27" i="10"/>
  <c r="AY174" i="5"/>
  <c r="AY175" i="5" s="1"/>
  <c r="AZ174" i="5"/>
  <c r="AZ175" i="5" s="1"/>
  <c r="BG174" i="5"/>
  <c r="BG175" i="5" s="1"/>
  <c r="F10" i="14"/>
  <c r="D26" i="10"/>
  <c r="D28" i="10"/>
  <c r="F12" i="14"/>
  <c r="F40" i="14" s="1"/>
  <c r="G39" i="14"/>
  <c r="AB11" i="14"/>
  <c r="AB45" i="14" s="1"/>
  <c r="AA11" i="14"/>
  <c r="J11" i="14"/>
  <c r="CA174" i="5"/>
  <c r="CA175" i="5" s="1"/>
  <c r="BM174" i="5"/>
  <c r="BM175" i="5" s="1"/>
  <c r="BE174" i="5"/>
  <c r="BE175" i="5" s="1"/>
  <c r="BU174" i="5"/>
  <c r="BU175" i="5" s="1"/>
  <c r="CF174" i="5"/>
  <c r="CF175" i="5" s="1"/>
  <c r="BV174" i="5"/>
  <c r="BV175" i="5" s="1"/>
  <c r="CC174" i="5"/>
  <c r="CC175" i="5" s="1"/>
  <c r="BS174" i="5"/>
  <c r="BS175" i="5" s="1"/>
  <c r="BH174" i="5"/>
  <c r="BH175" i="5" s="1"/>
  <c r="BY174" i="5"/>
  <c r="BY175" i="5" s="1"/>
  <c r="BD174" i="5"/>
  <c r="BD175" i="5" s="1"/>
  <c r="BW174" i="5"/>
  <c r="BW175" i="5" s="1"/>
  <c r="CK174" i="5"/>
  <c r="CK175" i="5" s="1"/>
  <c r="BR174" i="5"/>
  <c r="BR175" i="5" s="1"/>
  <c r="BF174" i="5"/>
  <c r="BF175" i="5" s="1"/>
  <c r="CG174" i="5"/>
  <c r="CG175" i="5" s="1"/>
  <c r="BJ174" i="5"/>
  <c r="BJ175" i="5" s="1"/>
  <c r="CD174" i="5"/>
  <c r="CD175" i="5" s="1"/>
  <c r="BI174" i="5"/>
  <c r="BI175" i="5" s="1"/>
  <c r="BT174" i="5"/>
  <c r="BT175" i="5" s="1"/>
  <c r="CE174" i="5"/>
  <c r="CE175" i="5" s="1"/>
  <c r="BK174" i="5"/>
  <c r="BK175" i="5" s="1"/>
  <c r="BQ174" i="5"/>
  <c r="BQ175" i="5" s="1"/>
  <c r="CI174" i="5"/>
  <c r="CI175" i="5" s="1"/>
  <c r="F75" i="14"/>
  <c r="F80" i="14" s="1"/>
  <c r="BO82" i="5"/>
  <c r="AV176" i="5"/>
  <c r="AV177" i="5" s="1"/>
  <c r="BM176" i="5"/>
  <c r="BM177" i="5" s="1"/>
  <c r="CG176" i="5"/>
  <c r="CG177" i="5" s="1"/>
  <c r="CA176" i="5"/>
  <c r="CA177" i="5" s="1"/>
  <c r="AV174" i="5"/>
  <c r="AV175" i="5" s="1"/>
  <c r="BA174" i="5"/>
  <c r="BA175" i="5" s="1"/>
  <c r="BN82" i="5"/>
  <c r="AU176" i="5"/>
  <c r="AU177" i="5" s="1"/>
  <c r="AZ176" i="5"/>
  <c r="AZ177" i="5" s="1"/>
  <c r="BG176" i="5"/>
  <c r="BG177" i="5" s="1"/>
  <c r="BY176" i="5"/>
  <c r="BY177" i="5" s="1"/>
  <c r="BP174" i="5"/>
  <c r="BP175" i="5" s="1"/>
  <c r="BE176" i="5"/>
  <c r="BE177" i="5" s="1"/>
  <c r="BU176" i="5"/>
  <c r="BU177" i="5" s="1"/>
  <c r="BK176" i="5"/>
  <c r="BK177" i="5" s="1"/>
  <c r="CD176" i="5"/>
  <c r="CD177" i="5" s="1"/>
  <c r="BH176" i="5"/>
  <c r="BH177" i="5" s="1"/>
  <c r="CF176" i="5"/>
  <c r="CF177" i="5" s="1"/>
  <c r="BR176" i="5"/>
  <c r="BR177" i="5" s="1"/>
  <c r="CE176" i="5"/>
  <c r="CE177" i="5" s="1"/>
  <c r="BF176" i="5"/>
  <c r="BF177" i="5" s="1"/>
  <c r="BJ176" i="5"/>
  <c r="BJ177" i="5" s="1"/>
  <c r="BW176" i="5"/>
  <c r="BW177" i="5" s="1"/>
  <c r="CI176" i="5"/>
  <c r="CI177" i="5" s="1"/>
  <c r="AY176" i="5"/>
  <c r="AY177" i="5" s="1"/>
  <c r="BD176" i="5"/>
  <c r="BD177" i="5" s="1"/>
  <c r="CC176" i="5"/>
  <c r="CC177" i="5" s="1"/>
  <c r="CK176" i="5"/>
  <c r="CK177" i="5" s="1"/>
  <c r="BP82" i="5"/>
  <c r="BP176" i="5" s="1"/>
  <c r="BP177" i="5" s="1"/>
  <c r="BA176" i="5"/>
  <c r="BA177" i="5" s="1"/>
  <c r="BI176" i="5"/>
  <c r="BI177" i="5" s="1"/>
  <c r="BT176" i="5"/>
  <c r="BT177" i="5" s="1"/>
  <c r="BS176" i="5"/>
  <c r="BS177" i="5" s="1"/>
  <c r="BQ176" i="5"/>
  <c r="BQ177" i="5" s="1"/>
  <c r="BV176" i="5"/>
  <c r="BV177" i="5" s="1"/>
  <c r="AU174" i="5"/>
  <c r="AU175" i="5" s="1"/>
  <c r="BL7" i="5"/>
  <c r="BL88" i="5"/>
  <c r="BL32" i="5"/>
  <c r="H16" i="10"/>
  <c r="G39" i="13"/>
  <c r="AB11" i="13"/>
  <c r="AB45" i="13" s="1"/>
  <c r="AA11" i="13"/>
  <c r="J11" i="13"/>
  <c r="AZ172" i="5"/>
  <c r="AZ173" i="5" s="1"/>
  <c r="AY172" i="5"/>
  <c r="AY173" i="5" s="1"/>
  <c r="F10" i="13"/>
  <c r="F38" i="13" s="1"/>
  <c r="D15" i="10"/>
  <c r="D17" i="10"/>
  <c r="F12" i="13"/>
  <c r="BI172" i="5"/>
  <c r="BI173" i="5" s="1"/>
  <c r="BR172" i="5"/>
  <c r="BR173" i="5" s="1"/>
  <c r="CE172" i="5"/>
  <c r="CE173" i="5" s="1"/>
  <c r="BU172" i="5"/>
  <c r="BU173" i="5" s="1"/>
  <c r="CA172" i="5"/>
  <c r="CA173" i="5" s="1"/>
  <c r="BD172" i="5"/>
  <c r="BD173" i="5" s="1"/>
  <c r="BQ172" i="5"/>
  <c r="BQ173" i="5" s="1"/>
  <c r="CC172" i="5"/>
  <c r="CC173" i="5" s="1"/>
  <c r="BH172" i="5"/>
  <c r="BH173" i="5" s="1"/>
  <c r="BW172" i="5"/>
  <c r="BW173" i="5" s="1"/>
  <c r="CD172" i="5"/>
  <c r="CD173" i="5" s="1"/>
  <c r="CB116" i="5"/>
  <c r="BK172" i="5"/>
  <c r="BK173" i="5" s="1"/>
  <c r="BG172" i="5"/>
  <c r="BG173" i="5" s="1"/>
  <c r="CI172" i="5"/>
  <c r="CI173" i="5" s="1"/>
  <c r="AA11" i="12"/>
  <c r="BS172" i="5"/>
  <c r="BS173" i="5" s="1"/>
  <c r="BF172" i="5"/>
  <c r="BF173" i="5" s="1"/>
  <c r="CF172" i="5"/>
  <c r="CF173" i="5" s="1"/>
  <c r="AB11" i="12"/>
  <c r="BJ172" i="5"/>
  <c r="BJ173" i="5" s="1"/>
  <c r="BE172" i="5"/>
  <c r="BE173" i="5" s="1"/>
  <c r="BM172" i="5"/>
  <c r="BM173" i="5" s="1"/>
  <c r="CK172" i="5"/>
  <c r="CK173" i="5" s="1"/>
  <c r="BT172" i="5"/>
  <c r="BT173" i="5" s="1"/>
  <c r="BY172" i="5"/>
  <c r="BY173" i="5" s="1"/>
  <c r="BV172" i="5"/>
  <c r="BV173" i="5" s="1"/>
  <c r="CG172" i="5"/>
  <c r="CG173" i="5" s="1"/>
  <c r="F75" i="13"/>
  <c r="F80" i="13" s="1"/>
  <c r="BA172" i="5"/>
  <c r="BA173" i="5" s="1"/>
  <c r="BP172" i="5"/>
  <c r="BP173" i="5" s="1"/>
  <c r="AU172" i="5"/>
  <c r="AU173" i="5" s="1"/>
  <c r="BZ19" i="5"/>
  <c r="AV172" i="5"/>
  <c r="AV173" i="5" s="1"/>
  <c r="BB74" i="5"/>
  <c r="CB166" i="5"/>
  <c r="BL29" i="5"/>
  <c r="BC62" i="5"/>
  <c r="CB6" i="5"/>
  <c r="CB69" i="5"/>
  <c r="CB122" i="5"/>
  <c r="CB120" i="5"/>
  <c r="CB47" i="5"/>
  <c r="BX87" i="5"/>
  <c r="BC18" i="5"/>
  <c r="CB90" i="5"/>
  <c r="BO90" i="5"/>
  <c r="CB113" i="5"/>
  <c r="BB128" i="5"/>
  <c r="CB66" i="5"/>
  <c r="BL98" i="5"/>
  <c r="CB134" i="5"/>
  <c r="BB60" i="5"/>
  <c r="CB111" i="5"/>
  <c r="BN88" i="5"/>
  <c r="BZ88" i="5" s="1"/>
  <c r="BC124" i="5"/>
  <c r="BX151" i="5"/>
  <c r="CB37" i="5"/>
  <c r="BB84" i="5"/>
  <c r="BZ84" i="5" s="1"/>
  <c r="CB154" i="5"/>
  <c r="CB94" i="5"/>
  <c r="BN64" i="5"/>
  <c r="CB58" i="5"/>
  <c r="CB144" i="5"/>
  <c r="BN111" i="5"/>
  <c r="BZ111" i="5" s="1"/>
  <c r="BC66" i="5"/>
  <c r="CB31" i="5"/>
  <c r="BC120" i="5"/>
  <c r="CB133" i="5"/>
  <c r="CB84" i="5"/>
  <c r="CB13" i="5"/>
  <c r="BC145" i="5"/>
  <c r="BO113" i="5"/>
  <c r="BB70" i="5"/>
  <c r="CB88" i="5"/>
  <c r="CB54" i="5"/>
  <c r="CB32" i="5"/>
  <c r="BO94" i="5"/>
  <c r="BO10" i="5"/>
  <c r="CB21" i="5"/>
  <c r="BO68" i="5"/>
  <c r="BC129" i="5"/>
  <c r="BN72" i="5"/>
  <c r="CB141" i="5"/>
  <c r="CB108" i="5"/>
  <c r="BO46" i="5"/>
  <c r="BN66" i="5"/>
  <c r="CB149" i="5"/>
  <c r="BB124" i="5"/>
  <c r="BZ124" i="5" s="1"/>
  <c r="BC166" i="5"/>
  <c r="BC15" i="5"/>
  <c r="BC127" i="5"/>
  <c r="CB70" i="5"/>
  <c r="CB48" i="5"/>
  <c r="BN79" i="5"/>
  <c r="CB62" i="5"/>
  <c r="BO101" i="5"/>
  <c r="CB76" i="5"/>
  <c r="CB74" i="5"/>
  <c r="CB96" i="5"/>
  <c r="CB110" i="5"/>
  <c r="CB77" i="5"/>
  <c r="CB138" i="5"/>
  <c r="CB143" i="5"/>
  <c r="BB15" i="5"/>
  <c r="BO26" i="5"/>
  <c r="BN148" i="5"/>
  <c r="BZ148" i="5" s="1"/>
  <c r="BO79" i="5"/>
  <c r="BN63" i="5"/>
  <c r="BB68" i="5"/>
  <c r="BB120" i="5"/>
  <c r="BZ120" i="5" s="1"/>
  <c r="BN6" i="5"/>
  <c r="BZ6" i="5" s="1"/>
  <c r="BN109" i="5"/>
  <c r="BZ109" i="5" s="1"/>
  <c r="BC112" i="5"/>
  <c r="BN2" i="5"/>
  <c r="BB104" i="5"/>
  <c r="BZ104" i="5" s="1"/>
  <c r="BN144" i="5"/>
  <c r="BZ144" i="5" s="1"/>
  <c r="BN86" i="5"/>
  <c r="BZ86" i="5" s="1"/>
  <c r="CB117" i="5"/>
  <c r="BO106" i="5"/>
  <c r="BO6" i="5"/>
  <c r="CB10" i="5"/>
  <c r="BO133" i="5"/>
  <c r="BC156" i="5"/>
  <c r="BO85" i="5"/>
  <c r="BO86" i="5"/>
  <c r="BB141" i="5"/>
  <c r="BZ141" i="5" s="1"/>
  <c r="BC110" i="5"/>
  <c r="BC58" i="5"/>
  <c r="CB15" i="5"/>
  <c r="BC84" i="5"/>
  <c r="BC63" i="5"/>
  <c r="BC149" i="5"/>
  <c r="BC5" i="5"/>
  <c r="BN149" i="5"/>
  <c r="BZ149" i="5" s="1"/>
  <c r="BB5" i="5"/>
  <c r="BZ5" i="5" s="1"/>
  <c r="BN166" i="5"/>
  <c r="BZ166" i="5" s="1"/>
  <c r="BO69" i="5"/>
  <c r="BN138" i="5"/>
  <c r="BZ138" i="5" s="1"/>
  <c r="BB133" i="5"/>
  <c r="BZ133" i="5" s="1"/>
  <c r="CB61" i="5"/>
  <c r="BB22" i="5"/>
  <c r="BZ22" i="5" s="1"/>
  <c r="BB125" i="5"/>
  <c r="BZ125" i="5" s="1"/>
  <c r="BN97" i="5"/>
  <c r="BB97" i="5"/>
  <c r="BB65" i="5"/>
  <c r="BN65" i="5"/>
  <c r="CB145" i="5"/>
  <c r="BN56" i="5"/>
  <c r="BC105" i="5"/>
  <c r="BO47" i="5"/>
  <c r="CB85" i="5"/>
  <c r="AA39" i="12"/>
  <c r="BC97" i="5"/>
  <c r="BO97" i="5"/>
  <c r="BO65" i="5"/>
  <c r="BC65" i="5"/>
  <c r="BO122" i="5"/>
  <c r="BC158" i="5"/>
  <c r="BN110" i="5"/>
  <c r="BN46" i="5"/>
  <c r="BZ46" i="5" s="1"/>
  <c r="BC164" i="5"/>
  <c r="BO64" i="5"/>
  <c r="CB156" i="5"/>
  <c r="BB134" i="5"/>
  <c r="BZ134" i="5" s="1"/>
  <c r="BN76" i="5"/>
  <c r="BL40" i="5"/>
  <c r="BB54" i="5"/>
  <c r="BB96" i="5"/>
  <c r="BZ96" i="5" s="1"/>
  <c r="BB81" i="5"/>
  <c r="BN81" i="5"/>
  <c r="BN80" i="5"/>
  <c r="BB42" i="5"/>
  <c r="BZ42" i="5" s="1"/>
  <c r="BO95" i="5"/>
  <c r="BO30" i="5"/>
  <c r="BN136" i="5"/>
  <c r="BZ136" i="5" s="1"/>
  <c r="BN14" i="5"/>
  <c r="BC37" i="5"/>
  <c r="BN37" i="5"/>
  <c r="BZ37" i="5" s="1"/>
  <c r="BO148" i="5"/>
  <c r="BC82" i="5"/>
  <c r="BC165" i="5"/>
  <c r="BC13" i="5"/>
  <c r="BB161" i="5"/>
  <c r="BZ161" i="5" s="1"/>
  <c r="BC81" i="5"/>
  <c r="BO81" i="5"/>
  <c r="BC125" i="5"/>
  <c r="F10" i="12"/>
  <c r="D4" i="10"/>
  <c r="BC132" i="5"/>
  <c r="BN25" i="5"/>
  <c r="BB25" i="5"/>
  <c r="BN73" i="5"/>
  <c r="BB73" i="5"/>
  <c r="BN57" i="5"/>
  <c r="BB57" i="5"/>
  <c r="BC53" i="5"/>
  <c r="F12" i="12"/>
  <c r="F40" i="12" s="1"/>
  <c r="D6" i="10"/>
  <c r="BC25" i="5"/>
  <c r="BO25" i="5"/>
  <c r="BO73" i="5"/>
  <c r="BC73" i="5"/>
  <c r="BC57" i="5"/>
  <c r="BO57" i="5"/>
  <c r="BB116" i="5"/>
  <c r="BZ116" i="5" s="1"/>
  <c r="BC144" i="5"/>
  <c r="BB130" i="5"/>
  <c r="BZ130" i="5" s="1"/>
  <c r="BC42" i="5"/>
  <c r="BB100" i="5"/>
  <c r="BZ100" i="5" s="1"/>
  <c r="BO100" i="5"/>
  <c r="BB112" i="5"/>
  <c r="BZ112" i="5" s="1"/>
  <c r="BO2" i="5"/>
  <c r="BL13" i="5"/>
  <c r="BC161" i="5"/>
  <c r="BO17" i="5"/>
  <c r="BC17" i="5"/>
  <c r="BN49" i="5"/>
  <c r="BB49" i="5"/>
  <c r="BN33" i="5"/>
  <c r="BB33" i="5"/>
  <c r="BB26" i="5"/>
  <c r="BZ26" i="5" s="1"/>
  <c r="BB150" i="5"/>
  <c r="BC134" i="5"/>
  <c r="BC70" i="5"/>
  <c r="BL112" i="5"/>
  <c r="CB140" i="5"/>
  <c r="BB17" i="5"/>
  <c r="BN17" i="5"/>
  <c r="BC49" i="5"/>
  <c r="BO49" i="5"/>
  <c r="BC33" i="5"/>
  <c r="BO33" i="5"/>
  <c r="I39" i="12"/>
  <c r="AB39" i="12" s="1"/>
  <c r="J11" i="12"/>
  <c r="CB5" i="5"/>
  <c r="CB159" i="5"/>
  <c r="CB130" i="5"/>
  <c r="BL42" i="5"/>
  <c r="CB42" i="5"/>
  <c r="BL127" i="5"/>
  <c r="BL26" i="5"/>
  <c r="BL120" i="5"/>
  <c r="CB95" i="5"/>
  <c r="BL53" i="5"/>
  <c r="CB128" i="5"/>
  <c r="CB68" i="5"/>
  <c r="CB161" i="5"/>
  <c r="CB146" i="5"/>
  <c r="CB40" i="5"/>
  <c r="CB152" i="5"/>
  <c r="CB52" i="5"/>
  <c r="CB106" i="5"/>
  <c r="CB101" i="5"/>
  <c r="CB118" i="5"/>
  <c r="CB124" i="5"/>
  <c r="CB125" i="5"/>
  <c r="CB18" i="5"/>
  <c r="CB109" i="5"/>
  <c r="CB148" i="5"/>
  <c r="CB79" i="5"/>
  <c r="CB165" i="5"/>
  <c r="BL5" i="5"/>
  <c r="BL111" i="5"/>
  <c r="CB136" i="5"/>
  <c r="CB72" i="5"/>
  <c r="CB53" i="5"/>
  <c r="CB78" i="5"/>
  <c r="CB92" i="5"/>
  <c r="CB104" i="5"/>
  <c r="CB38" i="5"/>
  <c r="CB158" i="5"/>
  <c r="CB129" i="5"/>
  <c r="CB60" i="5"/>
  <c r="BL102" i="5"/>
  <c r="CB80" i="5"/>
  <c r="BL136" i="5"/>
  <c r="CB164" i="5"/>
  <c r="CB142" i="5"/>
  <c r="CB82" i="5"/>
  <c r="CB132" i="5"/>
  <c r="CB160" i="5"/>
  <c r="BX127" i="5"/>
  <c r="BL140" i="5"/>
  <c r="BX153" i="5"/>
  <c r="BC146" i="5"/>
  <c r="BL159" i="5"/>
  <c r="BO31" i="5"/>
  <c r="BX102" i="5"/>
  <c r="BX38" i="5"/>
  <c r="BB38" i="5"/>
  <c r="BZ38" i="5" s="1"/>
  <c r="BL138" i="5"/>
  <c r="BB58" i="5"/>
  <c r="BX145" i="5"/>
  <c r="BL144" i="5"/>
  <c r="BN143" i="5"/>
  <c r="BZ143" i="5" s="1"/>
  <c r="BL130" i="5"/>
  <c r="BB122" i="5"/>
  <c r="BZ122" i="5" s="1"/>
  <c r="BX26" i="5"/>
  <c r="BN30" i="5"/>
  <c r="BZ30" i="5" s="1"/>
  <c r="BC136" i="5"/>
  <c r="BO150" i="5"/>
  <c r="BO22" i="5"/>
  <c r="BX125" i="5"/>
  <c r="BL100" i="5"/>
  <c r="CB100" i="5"/>
  <c r="BB78" i="5"/>
  <c r="BZ78" i="5" s="1"/>
  <c r="BM14" i="5"/>
  <c r="BM170" i="5" s="1"/>
  <c r="BM171" i="5" s="1"/>
  <c r="BX117" i="5"/>
  <c r="BO92" i="5"/>
  <c r="BC109" i="5"/>
  <c r="BX109" i="5"/>
  <c r="BX37" i="5"/>
  <c r="BB48" i="5"/>
  <c r="BZ48" i="5" s="1"/>
  <c r="BX126" i="5"/>
  <c r="BO21" i="5"/>
  <c r="BB82" i="5"/>
  <c r="AU170" i="5"/>
  <c r="AU171" i="5" s="1"/>
  <c r="AY170" i="5"/>
  <c r="AY171" i="5" s="1"/>
  <c r="BR170" i="5"/>
  <c r="BR171" i="5" s="1"/>
  <c r="BC104" i="5"/>
  <c r="BN47" i="5"/>
  <c r="BZ47" i="5" s="1"/>
  <c r="BX119" i="5"/>
  <c r="BB118" i="5"/>
  <c r="BZ118" i="5" s="1"/>
  <c r="BL85" i="5"/>
  <c r="BN85" i="5"/>
  <c r="BZ85" i="5" s="1"/>
  <c r="BL154" i="5"/>
  <c r="BC96" i="5"/>
  <c r="BO159" i="5"/>
  <c r="BL141" i="5"/>
  <c r="BN69" i="5"/>
  <c r="BL116" i="5"/>
  <c r="BX138" i="5"/>
  <c r="BL143" i="5"/>
  <c r="BC130" i="5"/>
  <c r="CB127" i="5"/>
  <c r="CB26" i="5"/>
  <c r="BX30" i="5"/>
  <c r="BX133" i="5"/>
  <c r="BB61" i="5"/>
  <c r="CB150" i="5"/>
  <c r="CB22" i="5"/>
  <c r="BB53" i="5"/>
  <c r="BZ53" i="5" s="1"/>
  <c r="BX164" i="5"/>
  <c r="BB113" i="5"/>
  <c r="BZ113" i="5" s="1"/>
  <c r="BX113" i="5"/>
  <c r="CB64" i="5"/>
  <c r="BX142" i="5"/>
  <c r="BO14" i="5"/>
  <c r="CA14" i="5" s="1"/>
  <c r="CA170" i="5" s="1"/>
  <c r="CA171" i="5" s="1"/>
  <c r="BL117" i="5"/>
  <c r="BL45" i="5"/>
  <c r="BL134" i="5"/>
  <c r="CB112" i="5"/>
  <c r="BX88" i="5"/>
  <c r="BB126" i="5"/>
  <c r="BZ126" i="5" s="1"/>
  <c r="BN21" i="5"/>
  <c r="BZ21" i="5" s="1"/>
  <c r="AZ170" i="5"/>
  <c r="AZ171" i="5" s="1"/>
  <c r="BG170" i="5"/>
  <c r="BG171" i="5" s="1"/>
  <c r="BE170" i="5"/>
  <c r="BE171" i="5" s="1"/>
  <c r="CC170" i="5"/>
  <c r="CC171" i="5" s="1"/>
  <c r="BB153" i="5"/>
  <c r="BZ153" i="5" s="1"/>
  <c r="BX85" i="5"/>
  <c r="BC154" i="5"/>
  <c r="BL160" i="5"/>
  <c r="BX96" i="5"/>
  <c r="BB32" i="5"/>
  <c r="BZ32" i="5" s="1"/>
  <c r="BL124" i="5"/>
  <c r="BX124" i="5"/>
  <c r="BC152" i="5"/>
  <c r="BC102" i="5"/>
  <c r="BB77" i="5"/>
  <c r="BZ77" i="5" s="1"/>
  <c r="BN146" i="5"/>
  <c r="BZ146" i="5" s="1"/>
  <c r="BB152" i="5"/>
  <c r="BX159" i="5"/>
  <c r="BX166" i="5"/>
  <c r="BC141" i="5"/>
  <c r="BC116" i="5"/>
  <c r="BO138" i="5"/>
  <c r="BC80" i="5"/>
  <c r="BX122" i="5"/>
  <c r="BO111" i="5"/>
  <c r="BX120" i="5"/>
  <c r="BN95" i="5"/>
  <c r="BZ95" i="5" s="1"/>
  <c r="BX129" i="5"/>
  <c r="BX86" i="5"/>
  <c r="BX53" i="5"/>
  <c r="BB164" i="5"/>
  <c r="BZ164" i="5" s="1"/>
  <c r="BL113" i="5"/>
  <c r="BC128" i="5"/>
  <c r="BL39" i="5"/>
  <c r="BL142" i="5"/>
  <c r="BC78" i="5"/>
  <c r="BO117" i="5"/>
  <c r="BB45" i="5"/>
  <c r="BZ45" i="5" s="1"/>
  <c r="BB156" i="5"/>
  <c r="BB105" i="5"/>
  <c r="BZ105" i="5" s="1"/>
  <c r="BL84" i="5"/>
  <c r="BB10" i="5"/>
  <c r="BN62" i="5"/>
  <c r="BL21" i="5"/>
  <c r="BK170" i="5"/>
  <c r="BK171" i="5" s="1"/>
  <c r="BS170" i="5"/>
  <c r="BS171" i="5" s="1"/>
  <c r="CD170" i="5"/>
  <c r="CD171" i="5" s="1"/>
  <c r="BN40" i="5"/>
  <c r="BZ40" i="5" s="1"/>
  <c r="BL153" i="5"/>
  <c r="BC54" i="5"/>
  <c r="BN13" i="5"/>
  <c r="BZ13" i="5" s="1"/>
  <c r="BX132" i="5"/>
  <c r="BX160" i="5"/>
  <c r="BX32" i="5"/>
  <c r="CB46" i="5"/>
  <c r="BL110" i="5"/>
  <c r="BL31" i="5"/>
  <c r="BX31" i="5"/>
  <c r="BX116" i="5"/>
  <c r="BB52" i="5"/>
  <c r="BZ52" i="5" s="1"/>
  <c r="BN145" i="5"/>
  <c r="BZ145" i="5" s="1"/>
  <c r="BX144" i="5"/>
  <c r="BC143" i="5"/>
  <c r="BB158" i="5"/>
  <c r="BZ158" i="5" s="1"/>
  <c r="BL30" i="5"/>
  <c r="BB108" i="5"/>
  <c r="BZ108" i="5" s="1"/>
  <c r="BC108" i="5"/>
  <c r="BX108" i="5"/>
  <c r="BL103" i="5"/>
  <c r="BL86" i="5"/>
  <c r="BL125" i="5"/>
  <c r="BB142" i="5"/>
  <c r="BZ142" i="5" s="1"/>
  <c r="CB14" i="5"/>
  <c r="BC45" i="5"/>
  <c r="BX45" i="5"/>
  <c r="BB92" i="5"/>
  <c r="BZ92" i="5" s="1"/>
  <c r="BB106" i="5"/>
  <c r="BZ106" i="5" s="1"/>
  <c r="CB105" i="5"/>
  <c r="BL6" i="5"/>
  <c r="BL109" i="5"/>
  <c r="BX148" i="5"/>
  <c r="BX10" i="5"/>
  <c r="BL48" i="5"/>
  <c r="BC126" i="5"/>
  <c r="BL101" i="5"/>
  <c r="BX21" i="5"/>
  <c r="BX140" i="5"/>
  <c r="BC76" i="5"/>
  <c r="BL82" i="5"/>
  <c r="BD170" i="5"/>
  <c r="BD171" i="5" s="1"/>
  <c r="BT170" i="5"/>
  <c r="BT171" i="5" s="1"/>
  <c r="BW170" i="5"/>
  <c r="BW171" i="5" s="1"/>
  <c r="BC40" i="5"/>
  <c r="BX40" i="5"/>
  <c r="BX47" i="5"/>
  <c r="BO153" i="5"/>
  <c r="BB132" i="5"/>
  <c r="BZ132" i="5" s="1"/>
  <c r="BB154" i="5"/>
  <c r="BZ154" i="5" s="1"/>
  <c r="BX154" i="5"/>
  <c r="BX161" i="5"/>
  <c r="BX130" i="5"/>
  <c r="BL78" i="5"/>
  <c r="CB45" i="5"/>
  <c r="BB90" i="5"/>
  <c r="BC48" i="5"/>
  <c r="BX48" i="5"/>
  <c r="BO88" i="5"/>
  <c r="BN101" i="5"/>
  <c r="BZ101" i="5" s="1"/>
  <c r="BN140" i="5"/>
  <c r="BZ140" i="5" s="1"/>
  <c r="BF170" i="5"/>
  <c r="BF171" i="5" s="1"/>
  <c r="BA170" i="5"/>
  <c r="BA171" i="5" s="1"/>
  <c r="CG170" i="5"/>
  <c r="CG171" i="5" s="1"/>
  <c r="CE170" i="5"/>
  <c r="CE171" i="5" s="1"/>
  <c r="BL47" i="5"/>
  <c r="BC74" i="5"/>
  <c r="BB160" i="5"/>
  <c r="BZ160" i="5" s="1"/>
  <c r="BC32" i="5"/>
  <c r="BX42" i="5"/>
  <c r="BB127" i="5"/>
  <c r="BZ127" i="5" s="1"/>
  <c r="BL122" i="5"/>
  <c r="BX111" i="5"/>
  <c r="BL95" i="5"/>
  <c r="BX95" i="5"/>
  <c r="BL158" i="5"/>
  <c r="CB30" i="5"/>
  <c r="BO61" i="5"/>
  <c r="BL129" i="5"/>
  <c r="BC72" i="5"/>
  <c r="BC56" i="5"/>
  <c r="BL164" i="5"/>
  <c r="BC142" i="5"/>
  <c r="BB117" i="5"/>
  <c r="BZ117" i="5" s="1"/>
  <c r="BB18" i="5"/>
  <c r="BL105" i="5"/>
  <c r="BX134" i="5"/>
  <c r="BX101" i="5"/>
  <c r="BC140" i="5"/>
  <c r="BI170" i="5"/>
  <c r="BI171" i="5" s="1"/>
  <c r="BJ170" i="5"/>
  <c r="BJ171" i="5" s="1"/>
  <c r="BQ170" i="5"/>
  <c r="BQ171" i="5" s="1"/>
  <c r="CI170" i="5"/>
  <c r="CI171" i="5" s="1"/>
  <c r="BX104" i="5"/>
  <c r="BX118" i="5"/>
  <c r="BB165" i="5"/>
  <c r="BZ165" i="5" s="1"/>
  <c r="BL132" i="5"/>
  <c r="BL161" i="5"/>
  <c r="BC160" i="5"/>
  <c r="BB102" i="5"/>
  <c r="BZ102" i="5" s="1"/>
  <c r="BX149" i="5"/>
  <c r="BX5" i="5"/>
  <c r="CB102" i="5"/>
  <c r="BC38" i="5"/>
  <c r="BL149" i="5"/>
  <c r="BC77" i="5"/>
  <c r="BL146" i="5"/>
  <c r="BB159" i="5"/>
  <c r="BZ159" i="5" s="1"/>
  <c r="BB31" i="5"/>
  <c r="BZ31" i="5" s="1"/>
  <c r="BC52" i="5"/>
  <c r="BX52" i="5"/>
  <c r="BL145" i="5"/>
  <c r="BX158" i="5"/>
  <c r="BL133" i="5"/>
  <c r="BL108" i="5"/>
  <c r="BN129" i="5"/>
  <c r="BZ129" i="5" s="1"/>
  <c r="BX136" i="5"/>
  <c r="BX100" i="5"/>
  <c r="BX78" i="5"/>
  <c r="BY14" i="5"/>
  <c r="BY170" i="5" s="1"/>
  <c r="BY171" i="5" s="1"/>
  <c r="BL92" i="5"/>
  <c r="BL106" i="5"/>
  <c r="BX105" i="5"/>
  <c r="BX112" i="5"/>
  <c r="BX82" i="5"/>
  <c r="BV170" i="5"/>
  <c r="BV171" i="5" s="1"/>
  <c r="BH170" i="5"/>
  <c r="BH171" i="5" s="1"/>
  <c r="BU170" i="5"/>
  <c r="BU171" i="5" s="1"/>
  <c r="BL104" i="5"/>
  <c r="BC118" i="5"/>
  <c r="BL118" i="5"/>
  <c r="BL165" i="5"/>
  <c r="BX13" i="5"/>
  <c r="BL52" i="5"/>
  <c r="BL174" i="5" s="1"/>
  <c r="BL175" i="5" s="1"/>
  <c r="BX110" i="5"/>
  <c r="BX46" i="5"/>
  <c r="BL46" i="5"/>
  <c r="BL77" i="5"/>
  <c r="BX77" i="5"/>
  <c r="BC60" i="5"/>
  <c r="BX146" i="5"/>
  <c r="BL166" i="5"/>
  <c r="BL38" i="5"/>
  <c r="BX141" i="5"/>
  <c r="BX143" i="5"/>
  <c r="BB94" i="5"/>
  <c r="CB56" i="5"/>
  <c r="CB86" i="5"/>
  <c r="BL22" i="5"/>
  <c r="BX22" i="5"/>
  <c r="BX92" i="5"/>
  <c r="BX106" i="5"/>
  <c r="BX6" i="5"/>
  <c r="BL37" i="5"/>
  <c r="BL148" i="5"/>
  <c r="BX84" i="5"/>
  <c r="BL10" i="5"/>
  <c r="BL126" i="5"/>
  <c r="AV170" i="5"/>
  <c r="AV171" i="5" s="1"/>
  <c r="BP170" i="5"/>
  <c r="BP171" i="5" s="1"/>
  <c r="CB2" i="5"/>
  <c r="CF170" i="5"/>
  <c r="CF171" i="5" s="1"/>
  <c r="CB153" i="5"/>
  <c r="BX165" i="5"/>
  <c r="AB10" i="9"/>
  <c r="D40" i="10" l="1"/>
  <c r="D43" i="10" s="1"/>
  <c r="BA187" i="5"/>
  <c r="AX187" i="5"/>
  <c r="I12" i="15"/>
  <c r="I40" i="15" s="1"/>
  <c r="I37" i="10"/>
  <c r="K10" i="15"/>
  <c r="AW189" i="5"/>
  <c r="AW190" i="5" s="1"/>
  <c r="E39" i="10"/>
  <c r="G12" i="15"/>
  <c r="G10" i="15"/>
  <c r="E37" i="10"/>
  <c r="AX189" i="5"/>
  <c r="AW187" i="5"/>
  <c r="AW188" i="5" s="1"/>
  <c r="BA189" i="5"/>
  <c r="M10" i="11" s="1"/>
  <c r="K39" i="10"/>
  <c r="M12" i="15"/>
  <c r="M40" i="15" s="1"/>
  <c r="L12" i="15"/>
  <c r="J39" i="10"/>
  <c r="AA39" i="15"/>
  <c r="J39" i="15"/>
  <c r="AZ187" i="5"/>
  <c r="AZ188" i="5" s="1"/>
  <c r="AZ189" i="5"/>
  <c r="AZ190" i="5" s="1"/>
  <c r="F13" i="15"/>
  <c r="F16" i="15" s="1"/>
  <c r="F38" i="15"/>
  <c r="F41" i="15" s="1"/>
  <c r="BX178" i="5"/>
  <c r="BX179" i="5" s="1"/>
  <c r="CB178" i="5"/>
  <c r="CB179" i="5" s="1"/>
  <c r="BL178" i="5"/>
  <c r="BL179" i="5" s="1"/>
  <c r="BO178" i="5"/>
  <c r="BO179" i="5" s="1"/>
  <c r="BZ110" i="5"/>
  <c r="BZ178" i="5" s="1"/>
  <c r="BZ179" i="5" s="1"/>
  <c r="BN178" i="5"/>
  <c r="BN179" i="5" s="1"/>
  <c r="BC178" i="5"/>
  <c r="BC179" i="5" s="1"/>
  <c r="BB178" i="5"/>
  <c r="BB179" i="5" s="1"/>
  <c r="AB45" i="12"/>
  <c r="BX174" i="5"/>
  <c r="BX175" i="5" s="1"/>
  <c r="AA39" i="14"/>
  <c r="J39" i="14"/>
  <c r="K28" i="10"/>
  <c r="M12" i="14"/>
  <c r="M40" i="14" s="1"/>
  <c r="J28" i="10"/>
  <c r="L12" i="14"/>
  <c r="D29" i="10"/>
  <c r="D32" i="10" s="1"/>
  <c r="BZ174" i="5"/>
  <c r="BZ175" i="5" s="1"/>
  <c r="G28" i="10"/>
  <c r="I12" i="14"/>
  <c r="I40" i="14" s="1"/>
  <c r="G10" i="14"/>
  <c r="E26" i="10"/>
  <c r="E28" i="10"/>
  <c r="G12" i="14"/>
  <c r="F38" i="14"/>
  <c r="F41" i="14" s="1"/>
  <c r="F13" i="14"/>
  <c r="F16" i="14" s="1"/>
  <c r="I26" i="10"/>
  <c r="K10" i="14"/>
  <c r="CB174" i="5"/>
  <c r="CB175" i="5" s="1"/>
  <c r="BN176" i="5"/>
  <c r="BN177" i="5" s="1"/>
  <c r="BB174" i="5"/>
  <c r="BB175" i="5" s="1"/>
  <c r="BN174" i="5"/>
  <c r="BN175" i="5" s="1"/>
  <c r="BX176" i="5"/>
  <c r="BX177" i="5" s="1"/>
  <c r="CB176" i="5"/>
  <c r="CB177" i="5" s="1"/>
  <c r="BO174" i="5"/>
  <c r="BO175" i="5" s="1"/>
  <c r="BC174" i="5"/>
  <c r="BC175" i="5" s="1"/>
  <c r="BL176" i="5"/>
  <c r="BL177" i="5" s="1"/>
  <c r="BZ82" i="5"/>
  <c r="BB176" i="5"/>
  <c r="BB177" i="5" s="1"/>
  <c r="BC176" i="5"/>
  <c r="BC177" i="5" s="1"/>
  <c r="BO176" i="5"/>
  <c r="BO177" i="5" s="1"/>
  <c r="D18" i="10"/>
  <c r="D21" i="10" s="1"/>
  <c r="J17" i="10"/>
  <c r="L12" i="13"/>
  <c r="G10" i="13"/>
  <c r="E15" i="10"/>
  <c r="E17" i="10"/>
  <c r="G12" i="13"/>
  <c r="K17" i="10"/>
  <c r="M12" i="13"/>
  <c r="M40" i="13" s="1"/>
  <c r="F13" i="13"/>
  <c r="F16" i="13" s="1"/>
  <c r="F40" i="13"/>
  <c r="F41" i="13" s="1"/>
  <c r="I15" i="10"/>
  <c r="K10" i="13"/>
  <c r="G17" i="10"/>
  <c r="I12" i="13"/>
  <c r="I40" i="13" s="1"/>
  <c r="AA39" i="13"/>
  <c r="J39" i="13"/>
  <c r="BL172" i="5"/>
  <c r="BL173" i="5" s="1"/>
  <c r="BC172" i="5"/>
  <c r="BC173" i="5" s="1"/>
  <c r="CB172" i="5"/>
  <c r="CB173" i="5" s="1"/>
  <c r="BO172" i="5"/>
  <c r="BO173" i="5" s="1"/>
  <c r="BX172" i="5"/>
  <c r="BX173" i="5" s="1"/>
  <c r="BB172" i="5"/>
  <c r="BB173" i="5" s="1"/>
  <c r="BN172" i="5"/>
  <c r="BN173" i="5" s="1"/>
  <c r="BC170" i="5"/>
  <c r="BC171" i="5" s="1"/>
  <c r="F6" i="10" s="1"/>
  <c r="CB170" i="5"/>
  <c r="CB171" i="5" s="1"/>
  <c r="BL170" i="5"/>
  <c r="BL171" i="5" s="1"/>
  <c r="G4" i="10" s="1"/>
  <c r="BN170" i="5"/>
  <c r="BN171" i="5" s="1"/>
  <c r="BZ97" i="5"/>
  <c r="BZ25" i="5"/>
  <c r="BZ172" i="5" s="1"/>
  <c r="BZ173" i="5" s="1"/>
  <c r="BB170" i="5"/>
  <c r="BB171" i="5" s="1"/>
  <c r="F4" i="10" s="1"/>
  <c r="I4" i="10"/>
  <c r="K10" i="12"/>
  <c r="F38" i="12"/>
  <c r="F41" i="12" s="1"/>
  <c r="F13" i="12"/>
  <c r="F16" i="12" s="1"/>
  <c r="J39" i="12"/>
  <c r="I12" i="12"/>
  <c r="I40" i="12" s="1"/>
  <c r="G6" i="10"/>
  <c r="BO170" i="5"/>
  <c r="BO171" i="5" s="1"/>
  <c r="AA45" i="12"/>
  <c r="AC45" i="12" s="1"/>
  <c r="AC39" i="12"/>
  <c r="G10" i="12"/>
  <c r="E4" i="10"/>
  <c r="G12" i="12"/>
  <c r="E6" i="10"/>
  <c r="J6" i="10"/>
  <c r="L12" i="12"/>
  <c r="L40" i="12" s="1"/>
  <c r="D7" i="10"/>
  <c r="D10" i="10" s="1"/>
  <c r="BX170" i="5"/>
  <c r="BX171" i="5" s="1"/>
  <c r="BZ10" i="5"/>
  <c r="BZ170" i="5" s="1"/>
  <c r="BZ171" i="5" s="1"/>
  <c r="AA11" i="9"/>
  <c r="AC11" i="9"/>
  <c r="AA10" i="9"/>
  <c r="BA188" i="5" l="1"/>
  <c r="M8" i="11"/>
  <c r="AX188" i="5"/>
  <c r="J8" i="11"/>
  <c r="AX190" i="5"/>
  <c r="J11" i="11" s="1"/>
  <c r="J10" i="11"/>
  <c r="H10" i="15"/>
  <c r="F37" i="10"/>
  <c r="F39" i="10"/>
  <c r="F40" i="10" s="1"/>
  <c r="H12" i="15"/>
  <c r="H40" i="15" s="1"/>
  <c r="BA190" i="5"/>
  <c r="M11" i="11" s="1"/>
  <c r="G40" i="15"/>
  <c r="L10" i="15"/>
  <c r="J37" i="10"/>
  <c r="F43" i="15"/>
  <c r="F44" i="15"/>
  <c r="F45" i="15"/>
  <c r="N12" i="15"/>
  <c r="L40" i="15"/>
  <c r="N40" i="15" s="1"/>
  <c r="AA10" i="15"/>
  <c r="G13" i="15"/>
  <c r="G38" i="15"/>
  <c r="I10" i="15"/>
  <c r="G37" i="10"/>
  <c r="G40" i="10" s="1"/>
  <c r="AA45" i="15"/>
  <c r="AC45" i="15" s="1"/>
  <c r="AC39" i="15"/>
  <c r="L39" i="10"/>
  <c r="E40" i="10"/>
  <c r="L28" i="10"/>
  <c r="F43" i="14"/>
  <c r="F44" i="14"/>
  <c r="F45" i="14"/>
  <c r="G40" i="14"/>
  <c r="L40" i="14"/>
  <c r="N40" i="14" s="1"/>
  <c r="N12" i="14"/>
  <c r="F28" i="10"/>
  <c r="H28" i="10" s="1"/>
  <c r="H12" i="14"/>
  <c r="H40" i="14" s="1"/>
  <c r="E29" i="10"/>
  <c r="H10" i="14"/>
  <c r="F26" i="10"/>
  <c r="G38" i="14"/>
  <c r="G13" i="14"/>
  <c r="AA10" i="14"/>
  <c r="I10" i="14"/>
  <c r="G26" i="10"/>
  <c r="G29" i="10" s="1"/>
  <c r="AC39" i="14"/>
  <c r="AA45" i="14"/>
  <c r="AC45" i="14" s="1"/>
  <c r="BZ176" i="5"/>
  <c r="BZ177" i="5" s="1"/>
  <c r="L17" i="10"/>
  <c r="F43" i="13"/>
  <c r="F44" i="13"/>
  <c r="F45" i="13"/>
  <c r="G15" i="10"/>
  <c r="G18" i="10" s="1"/>
  <c r="I10" i="13"/>
  <c r="AC39" i="13"/>
  <c r="AA45" i="13"/>
  <c r="AC45" i="13" s="1"/>
  <c r="G40" i="13"/>
  <c r="E18" i="10"/>
  <c r="H10" i="13"/>
  <c r="F15" i="10"/>
  <c r="L10" i="13"/>
  <c r="J15" i="10"/>
  <c r="AA10" i="13"/>
  <c r="G38" i="13"/>
  <c r="G13" i="13"/>
  <c r="N12" i="13"/>
  <c r="L40" i="13"/>
  <c r="N40" i="13" s="1"/>
  <c r="F17" i="10"/>
  <c r="H12" i="13"/>
  <c r="H40" i="13" s="1"/>
  <c r="H12" i="12"/>
  <c r="H40" i="12" s="1"/>
  <c r="I10" i="12"/>
  <c r="I38" i="12" s="1"/>
  <c r="I41" i="12" s="1"/>
  <c r="H6" i="10"/>
  <c r="F7" i="10"/>
  <c r="H10" i="12"/>
  <c r="H38" i="12" s="1"/>
  <c r="E7" i="10"/>
  <c r="F43" i="12"/>
  <c r="F45" i="12"/>
  <c r="F44" i="12"/>
  <c r="G40" i="12"/>
  <c r="AA10" i="12"/>
  <c r="G38" i="12"/>
  <c r="G13" i="12"/>
  <c r="H4" i="10"/>
  <c r="G7" i="10"/>
  <c r="J4" i="10"/>
  <c r="L10" i="12"/>
  <c r="AC10" i="9"/>
  <c r="M9" i="11" l="1"/>
  <c r="BA192" i="5"/>
  <c r="AX192" i="5"/>
  <c r="J9" i="11"/>
  <c r="J12" i="15"/>
  <c r="H39" i="10"/>
  <c r="J40" i="10"/>
  <c r="H13" i="15"/>
  <c r="H38" i="15"/>
  <c r="H41" i="15" s="1"/>
  <c r="L38" i="15"/>
  <c r="L13" i="15"/>
  <c r="J40" i="15"/>
  <c r="G41" i="15"/>
  <c r="AA38" i="15"/>
  <c r="I38" i="15"/>
  <c r="I13" i="15"/>
  <c r="H37" i="10"/>
  <c r="J10" i="15"/>
  <c r="H40" i="10"/>
  <c r="F42" i="10" s="1"/>
  <c r="F43" i="10" s="1"/>
  <c r="H26" i="10"/>
  <c r="F29" i="10"/>
  <c r="H29" i="10" s="1"/>
  <c r="E31" i="10" s="1"/>
  <c r="G41" i="14"/>
  <c r="AA38" i="14"/>
  <c r="J40" i="14"/>
  <c r="H13" i="14"/>
  <c r="H38" i="14"/>
  <c r="H41" i="14" s="1"/>
  <c r="J12" i="14"/>
  <c r="I38" i="14"/>
  <c r="I13" i="14"/>
  <c r="J26" i="10"/>
  <c r="L10" i="14"/>
  <c r="J10" i="14"/>
  <c r="H15" i="10"/>
  <c r="J12" i="13"/>
  <c r="H41" i="12"/>
  <c r="J18" i="10"/>
  <c r="F18" i="10"/>
  <c r="H18" i="10" s="1"/>
  <c r="E20" i="10" s="1"/>
  <c r="L38" i="13"/>
  <c r="L41" i="13" s="1"/>
  <c r="L13" i="13"/>
  <c r="H13" i="13"/>
  <c r="H38" i="13"/>
  <c r="H41" i="13" s="1"/>
  <c r="I13" i="13"/>
  <c r="I38" i="13"/>
  <c r="J10" i="13"/>
  <c r="H17" i="10"/>
  <c r="G41" i="13"/>
  <c r="AA38" i="13"/>
  <c r="J40" i="13"/>
  <c r="I13" i="12"/>
  <c r="J10" i="12"/>
  <c r="J12" i="12"/>
  <c r="H13" i="12"/>
  <c r="J40" i="12"/>
  <c r="H7" i="10"/>
  <c r="F9" i="10" s="1"/>
  <c r="F10" i="10" s="1"/>
  <c r="G41" i="12"/>
  <c r="J38" i="12"/>
  <c r="AA38" i="12"/>
  <c r="L13" i="12"/>
  <c r="L38" i="12"/>
  <c r="J7" i="10"/>
  <c r="E73" i="9"/>
  <c r="E72" i="9"/>
  <c r="M13" i="11" l="1"/>
  <c r="BA202" i="5"/>
  <c r="M23" i="11" s="1"/>
  <c r="J38" i="15"/>
  <c r="J41" i="15" s="1"/>
  <c r="H51" i="15" s="1"/>
  <c r="J13" i="11"/>
  <c r="AX202" i="5"/>
  <c r="J23" i="11" s="1"/>
  <c r="J13" i="15"/>
  <c r="G15" i="15" s="1"/>
  <c r="I15" i="15" s="1"/>
  <c r="I16" i="15" s="1"/>
  <c r="H43" i="15"/>
  <c r="H52" i="15"/>
  <c r="H56" i="15" s="1"/>
  <c r="H60" i="15" s="1"/>
  <c r="E42" i="10"/>
  <c r="AA44" i="15"/>
  <c r="G51" i="15"/>
  <c r="I41" i="15"/>
  <c r="I51" i="15" s="1"/>
  <c r="L41" i="15"/>
  <c r="J13" i="14"/>
  <c r="G15" i="14" s="1"/>
  <c r="I15" i="14" s="1"/>
  <c r="I16" i="14" s="1"/>
  <c r="J38" i="14"/>
  <c r="J41" i="14" s="1"/>
  <c r="H51" i="14" s="1"/>
  <c r="H43" i="14" s="1"/>
  <c r="G31" i="10"/>
  <c r="G32" i="10" s="1"/>
  <c r="E32" i="10"/>
  <c r="L13" i="14"/>
  <c r="L38" i="14"/>
  <c r="J29" i="10"/>
  <c r="AA44" i="14"/>
  <c r="F31" i="10"/>
  <c r="F32" i="10" s="1"/>
  <c r="I41" i="14"/>
  <c r="J13" i="13"/>
  <c r="G15" i="13" s="1"/>
  <c r="F20" i="10"/>
  <c r="F21" i="10" s="1"/>
  <c r="AA44" i="13"/>
  <c r="I41" i="13"/>
  <c r="E21" i="10"/>
  <c r="G20" i="10"/>
  <c r="G21" i="10" s="1"/>
  <c r="J38" i="13"/>
  <c r="J41" i="13" s="1"/>
  <c r="H51" i="13" s="1"/>
  <c r="J13" i="12"/>
  <c r="G15" i="12" s="1"/>
  <c r="G16" i="12" s="1"/>
  <c r="J41" i="12"/>
  <c r="I51" i="12" s="1"/>
  <c r="I43" i="12" s="1"/>
  <c r="E9" i="10"/>
  <c r="G9" i="10" s="1"/>
  <c r="G10" i="10" s="1"/>
  <c r="AA44" i="12"/>
  <c r="L41" i="12"/>
  <c r="J79" i="9"/>
  <c r="J78" i="9"/>
  <c r="J77" i="9"/>
  <c r="H15" i="15" l="1"/>
  <c r="H16" i="15" s="1"/>
  <c r="G16" i="15"/>
  <c r="J15" i="15"/>
  <c r="J16" i="15" s="1"/>
  <c r="J43" i="10" s="1"/>
  <c r="G52" i="15"/>
  <c r="G56" i="15" s="1"/>
  <c r="G60" i="15" s="1"/>
  <c r="G43" i="15"/>
  <c r="J51" i="15"/>
  <c r="J52" i="15" s="1"/>
  <c r="J56" i="15" s="1"/>
  <c r="J60" i="15" s="1"/>
  <c r="J67" i="15" s="1"/>
  <c r="G42" i="10"/>
  <c r="G43" i="10" s="1"/>
  <c r="E43" i="10"/>
  <c r="I43" i="15"/>
  <c r="I52" i="15"/>
  <c r="I56" i="15" s="1"/>
  <c r="I60" i="15" s="1"/>
  <c r="H44" i="15"/>
  <c r="H67" i="15"/>
  <c r="H15" i="14"/>
  <c r="H16" i="14" s="1"/>
  <c r="G16" i="14"/>
  <c r="I51" i="14"/>
  <c r="I52" i="14" s="1"/>
  <c r="I56" i="14" s="1"/>
  <c r="I60" i="14" s="1"/>
  <c r="G51" i="14"/>
  <c r="H52" i="14"/>
  <c r="H56" i="14" s="1"/>
  <c r="H60" i="14" s="1"/>
  <c r="H44" i="14" s="1"/>
  <c r="H31" i="10"/>
  <c r="H32" i="10" s="1"/>
  <c r="L41" i="14"/>
  <c r="H15" i="13"/>
  <c r="H16" i="13" s="1"/>
  <c r="G51" i="12"/>
  <c r="G52" i="12" s="1"/>
  <c r="G56" i="12" s="1"/>
  <c r="G60" i="12" s="1"/>
  <c r="G67" i="12" s="1"/>
  <c r="H15" i="12"/>
  <c r="H16" i="12" s="1"/>
  <c r="H20" i="10"/>
  <c r="H21" i="10" s="1"/>
  <c r="G16" i="13"/>
  <c r="I15" i="13"/>
  <c r="I16" i="13" s="1"/>
  <c r="I51" i="13"/>
  <c r="G51" i="13"/>
  <c r="H52" i="13"/>
  <c r="H56" i="13" s="1"/>
  <c r="H60" i="13" s="1"/>
  <c r="H43" i="13"/>
  <c r="I15" i="12"/>
  <c r="I16" i="12" s="1"/>
  <c r="I52" i="12"/>
  <c r="I56" i="12" s="1"/>
  <c r="I60" i="12" s="1"/>
  <c r="I67" i="12" s="1"/>
  <c r="H51" i="12"/>
  <c r="E10" i="10"/>
  <c r="H9" i="10"/>
  <c r="H10" i="10" s="1"/>
  <c r="H63" i="9"/>
  <c r="L16" i="15" l="1"/>
  <c r="G44" i="15"/>
  <c r="G67" i="15"/>
  <c r="G45" i="15" s="1"/>
  <c r="H42" i="10"/>
  <c r="H43" i="10" s="1"/>
  <c r="H45" i="15"/>
  <c r="I67" i="15"/>
  <c r="I44" i="15"/>
  <c r="J43" i="15"/>
  <c r="K43" i="15" s="1"/>
  <c r="G73" i="15"/>
  <c r="I73" i="15" s="1"/>
  <c r="J73" i="15" s="1"/>
  <c r="M72" i="15"/>
  <c r="G72" i="15"/>
  <c r="O72" i="15"/>
  <c r="H68" i="15"/>
  <c r="J68" i="15" s="1"/>
  <c r="J15" i="14"/>
  <c r="J16" i="14" s="1"/>
  <c r="L16" i="14" s="1"/>
  <c r="I43" i="14"/>
  <c r="J51" i="14"/>
  <c r="J52" i="14" s="1"/>
  <c r="J56" i="14" s="1"/>
  <c r="J60" i="14" s="1"/>
  <c r="J67" i="14" s="1"/>
  <c r="H68" i="14" s="1"/>
  <c r="J68" i="14" s="1"/>
  <c r="G52" i="14"/>
  <c r="G56" i="14" s="1"/>
  <c r="G60" i="14" s="1"/>
  <c r="G44" i="14" s="1"/>
  <c r="G43" i="14"/>
  <c r="H67" i="14"/>
  <c r="H45" i="14" s="1"/>
  <c r="I44" i="14"/>
  <c r="I67" i="14"/>
  <c r="G44" i="12"/>
  <c r="J51" i="12"/>
  <c r="J52" i="12" s="1"/>
  <c r="J56" i="12" s="1"/>
  <c r="J60" i="12" s="1"/>
  <c r="J67" i="12" s="1"/>
  <c r="G73" i="12" s="1"/>
  <c r="I73" i="12" s="1"/>
  <c r="J73" i="12" s="1"/>
  <c r="G43" i="12"/>
  <c r="J15" i="13"/>
  <c r="J16" i="13" s="1"/>
  <c r="L16" i="13" s="1"/>
  <c r="H67" i="13"/>
  <c r="H44" i="13"/>
  <c r="I52" i="13"/>
  <c r="I56" i="13" s="1"/>
  <c r="I60" i="13" s="1"/>
  <c r="I43" i="13"/>
  <c r="G43" i="13"/>
  <c r="G52" i="13"/>
  <c r="G56" i="13" s="1"/>
  <c r="G60" i="13" s="1"/>
  <c r="J51" i="13"/>
  <c r="J52" i="13" s="1"/>
  <c r="J56" i="13" s="1"/>
  <c r="J60" i="13" s="1"/>
  <c r="J67" i="13" s="1"/>
  <c r="J15" i="12"/>
  <c r="J16" i="12" s="1"/>
  <c r="J10" i="10" s="1"/>
  <c r="I44" i="12"/>
  <c r="H43" i="12"/>
  <c r="H52" i="12"/>
  <c r="H56" i="12" s="1"/>
  <c r="H60" i="12" s="1"/>
  <c r="G45" i="12"/>
  <c r="I45" i="12"/>
  <c r="K8" i="9"/>
  <c r="H75" i="15" l="1"/>
  <c r="H80" i="15" s="1"/>
  <c r="J44" i="15"/>
  <c r="K44" i="15" s="1"/>
  <c r="I45" i="15"/>
  <c r="J45" i="15" s="1"/>
  <c r="G75" i="15"/>
  <c r="G80" i="15" s="1"/>
  <c r="J43" i="14"/>
  <c r="K43" i="14" s="1"/>
  <c r="J32" i="10"/>
  <c r="G72" i="14"/>
  <c r="G73" i="14"/>
  <c r="I73" i="14" s="1"/>
  <c r="J73" i="14" s="1"/>
  <c r="M72" i="14"/>
  <c r="G67" i="14"/>
  <c r="G45" i="14" s="1"/>
  <c r="O72" i="14"/>
  <c r="J21" i="10"/>
  <c r="J44" i="14"/>
  <c r="K44" i="14" s="1"/>
  <c r="H75" i="14"/>
  <c r="H80" i="14" s="1"/>
  <c r="I45" i="14"/>
  <c r="M72" i="12"/>
  <c r="O72" i="12"/>
  <c r="L16" i="12"/>
  <c r="G72" i="12"/>
  <c r="G75" i="12" s="1"/>
  <c r="G80" i="12" s="1"/>
  <c r="H68" i="12"/>
  <c r="J68" i="12" s="1"/>
  <c r="J43" i="12"/>
  <c r="K43" i="12" s="1"/>
  <c r="G44" i="13"/>
  <c r="G67" i="13"/>
  <c r="J43" i="13"/>
  <c r="K43" i="13" s="1"/>
  <c r="I44" i="13"/>
  <c r="I67" i="13"/>
  <c r="I45" i="13" s="1"/>
  <c r="H68" i="13"/>
  <c r="J68" i="13" s="1"/>
  <c r="G72" i="13"/>
  <c r="M72" i="13"/>
  <c r="O72" i="13"/>
  <c r="G73" i="13"/>
  <c r="I73" i="13" s="1"/>
  <c r="J73" i="13" s="1"/>
  <c r="H45" i="13"/>
  <c r="H67" i="12"/>
  <c r="H44" i="12"/>
  <c r="J44" i="12" s="1"/>
  <c r="K44" i="12" s="1"/>
  <c r="I35" i="9"/>
  <c r="G63" i="9"/>
  <c r="I63" i="9" s="1"/>
  <c r="K46" i="15" l="1"/>
  <c r="K45" i="15"/>
  <c r="G75" i="14"/>
  <c r="G80" i="14" s="1"/>
  <c r="J45" i="14"/>
  <c r="H75" i="13"/>
  <c r="H80" i="13" s="1"/>
  <c r="J44" i="13"/>
  <c r="K44" i="13" s="1"/>
  <c r="G45" i="13"/>
  <c r="J45" i="13" s="1"/>
  <c r="G75" i="13"/>
  <c r="G80" i="13" s="1"/>
  <c r="H75" i="12"/>
  <c r="H80" i="12" s="1"/>
  <c r="H45" i="12"/>
  <c r="J45" i="12" s="1"/>
  <c r="K45" i="12" s="1"/>
  <c r="K50" i="9"/>
  <c r="K46" i="14" l="1"/>
  <c r="K45" i="14"/>
  <c r="K46" i="13"/>
  <c r="K45" i="13"/>
  <c r="K46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5" l="1"/>
  <c r="J72" i="15" s="1"/>
  <c r="I72" i="14"/>
  <c r="J72" i="14" s="1"/>
  <c r="I72" i="13"/>
  <c r="J72" i="13" s="1"/>
  <c r="I72" i="12"/>
  <c r="J72" i="12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9" i="5" l="1"/>
  <c r="CJ9" i="5" s="1"/>
  <c r="CH25" i="5"/>
  <c r="CJ25" i="5" s="1"/>
  <c r="CH41" i="5"/>
  <c r="CJ41" i="5" s="1"/>
  <c r="CH89" i="5"/>
  <c r="CJ89" i="5" s="1"/>
  <c r="CH97" i="5"/>
  <c r="CJ97" i="5" s="1"/>
  <c r="CH105" i="5"/>
  <c r="CJ105" i="5" s="1"/>
  <c r="CH113" i="5"/>
  <c r="CJ113" i="5" s="1"/>
  <c r="CH121" i="5"/>
  <c r="CJ121" i="5" s="1"/>
  <c r="CH129" i="5"/>
  <c r="CJ129" i="5" s="1"/>
  <c r="CH145" i="5"/>
  <c r="CJ145" i="5" s="1"/>
  <c r="CH153" i="5"/>
  <c r="CJ153" i="5" s="1"/>
  <c r="CH161" i="5"/>
  <c r="CJ161" i="5" s="1"/>
  <c r="CH20" i="5"/>
  <c r="CJ20" i="5" s="1"/>
  <c r="CH36" i="5"/>
  <c r="CJ36" i="5" s="1"/>
  <c r="CH52" i="5"/>
  <c r="CH100" i="5"/>
  <c r="CJ100" i="5" s="1"/>
  <c r="CH116" i="5"/>
  <c r="CJ116" i="5" s="1"/>
  <c r="CH140" i="5"/>
  <c r="CJ140" i="5" s="1"/>
  <c r="CH164" i="5"/>
  <c r="CJ164" i="5" s="1"/>
  <c r="CH10" i="5"/>
  <c r="CJ10" i="5" s="1"/>
  <c r="CH26" i="5"/>
  <c r="CJ26" i="5" s="1"/>
  <c r="CH34" i="5"/>
  <c r="CJ34" i="5" s="1"/>
  <c r="CH42" i="5"/>
  <c r="CJ42" i="5" s="1"/>
  <c r="CH82" i="5"/>
  <c r="CH98" i="5"/>
  <c r="CJ98" i="5" s="1"/>
  <c r="CH106" i="5"/>
  <c r="CJ106" i="5" s="1"/>
  <c r="CH114" i="5"/>
  <c r="CJ114" i="5" s="1"/>
  <c r="CH122" i="5"/>
  <c r="CJ122" i="5" s="1"/>
  <c r="CH130" i="5"/>
  <c r="CJ130" i="5" s="1"/>
  <c r="CH138" i="5"/>
  <c r="CJ138" i="5" s="1"/>
  <c r="CH146" i="5"/>
  <c r="CJ146" i="5" s="1"/>
  <c r="CH154" i="5"/>
  <c r="CJ154" i="5" s="1"/>
  <c r="CH162" i="5"/>
  <c r="CJ162" i="5" s="1"/>
  <c r="CH4" i="5"/>
  <c r="CJ4" i="5" s="1"/>
  <c r="CH44" i="5"/>
  <c r="CJ44" i="5" s="1"/>
  <c r="CH92" i="5"/>
  <c r="CJ92" i="5" s="1"/>
  <c r="CH108" i="5"/>
  <c r="CJ108" i="5" s="1"/>
  <c r="CH132" i="5"/>
  <c r="CJ132" i="5" s="1"/>
  <c r="CH148" i="5"/>
  <c r="CJ148" i="5" s="1"/>
  <c r="CH3" i="5"/>
  <c r="CH11" i="5"/>
  <c r="CJ11" i="5" s="1"/>
  <c r="CH19" i="5"/>
  <c r="CH27" i="5"/>
  <c r="CJ27" i="5" s="1"/>
  <c r="CH35" i="5"/>
  <c r="CJ35" i="5" s="1"/>
  <c r="CH43" i="5"/>
  <c r="CJ43" i="5" s="1"/>
  <c r="CH59" i="5"/>
  <c r="CJ59" i="5" s="1"/>
  <c r="CH83" i="5"/>
  <c r="CJ83" i="5" s="1"/>
  <c r="CH91" i="5"/>
  <c r="CJ91" i="5" s="1"/>
  <c r="CH107" i="5"/>
  <c r="CJ107" i="5" s="1"/>
  <c r="CH115" i="5"/>
  <c r="CJ115" i="5" s="1"/>
  <c r="CH123" i="5"/>
  <c r="CJ123" i="5" s="1"/>
  <c r="CH131" i="5"/>
  <c r="CJ131" i="5" s="1"/>
  <c r="CH139" i="5"/>
  <c r="CJ139" i="5" s="1"/>
  <c r="CH147" i="5"/>
  <c r="CJ147" i="5" s="1"/>
  <c r="CH163" i="5"/>
  <c r="CJ163" i="5" s="1"/>
  <c r="CH12" i="5"/>
  <c r="CJ12" i="5" s="1"/>
  <c r="CH84" i="5"/>
  <c r="CJ84" i="5" s="1"/>
  <c r="CH124" i="5"/>
  <c r="CJ124" i="5" s="1"/>
  <c r="CH5" i="5"/>
  <c r="CJ5" i="5" s="1"/>
  <c r="CH13" i="5"/>
  <c r="CJ13" i="5" s="1"/>
  <c r="CH21" i="5"/>
  <c r="CJ21" i="5" s="1"/>
  <c r="CH29" i="5"/>
  <c r="CJ29" i="5" s="1"/>
  <c r="CH37" i="5"/>
  <c r="CJ37" i="5" s="1"/>
  <c r="CH45" i="5"/>
  <c r="CJ45" i="5" s="1"/>
  <c r="CH53" i="5"/>
  <c r="CJ53" i="5" s="1"/>
  <c r="CH77" i="5"/>
  <c r="CJ77" i="5" s="1"/>
  <c r="CH85" i="5"/>
  <c r="CJ85" i="5" s="1"/>
  <c r="CH93" i="5"/>
  <c r="CJ93" i="5" s="1"/>
  <c r="CH101" i="5"/>
  <c r="CJ101" i="5" s="1"/>
  <c r="CH109" i="5"/>
  <c r="CJ109" i="5" s="1"/>
  <c r="CH117" i="5"/>
  <c r="CJ117" i="5" s="1"/>
  <c r="CH125" i="5"/>
  <c r="CJ125" i="5" s="1"/>
  <c r="CH133" i="5"/>
  <c r="CJ133" i="5" s="1"/>
  <c r="CH141" i="5"/>
  <c r="CJ141" i="5" s="1"/>
  <c r="CH149" i="5"/>
  <c r="CJ149" i="5" s="1"/>
  <c r="CH165" i="5"/>
  <c r="CJ165" i="5" s="1"/>
  <c r="CH16" i="5"/>
  <c r="CJ16" i="5" s="1"/>
  <c r="CH32" i="5"/>
  <c r="CJ32" i="5" s="1"/>
  <c r="CH48" i="5"/>
  <c r="CJ48" i="5" s="1"/>
  <c r="CH96" i="5"/>
  <c r="CJ96" i="5" s="1"/>
  <c r="CH112" i="5"/>
  <c r="CJ112" i="5" s="1"/>
  <c r="CH136" i="5"/>
  <c r="CJ136" i="5" s="1"/>
  <c r="CH6" i="5"/>
  <c r="CJ6" i="5" s="1"/>
  <c r="CH14" i="5"/>
  <c r="CK14" i="5" s="1"/>
  <c r="CK170" i="5" s="1"/>
  <c r="CK171" i="5" s="1"/>
  <c r="CH22" i="5"/>
  <c r="CJ22" i="5" s="1"/>
  <c r="CH30" i="5"/>
  <c r="CJ30" i="5" s="1"/>
  <c r="CH38" i="5"/>
  <c r="CJ38" i="5" s="1"/>
  <c r="CH46" i="5"/>
  <c r="CJ46" i="5" s="1"/>
  <c r="CH78" i="5"/>
  <c r="CJ78" i="5" s="1"/>
  <c r="CH86" i="5"/>
  <c r="CJ86" i="5" s="1"/>
  <c r="CH102" i="5"/>
  <c r="CJ102" i="5" s="1"/>
  <c r="CH110" i="5"/>
  <c r="CH118" i="5"/>
  <c r="CJ118" i="5" s="1"/>
  <c r="CH126" i="5"/>
  <c r="CJ126" i="5" s="1"/>
  <c r="CH134" i="5"/>
  <c r="CJ134" i="5" s="1"/>
  <c r="CH142" i="5"/>
  <c r="CJ142" i="5" s="1"/>
  <c r="CH158" i="5"/>
  <c r="CJ158" i="5" s="1"/>
  <c r="CH166" i="5"/>
  <c r="CJ166" i="5" s="1"/>
  <c r="CH8" i="5"/>
  <c r="CJ8" i="5" s="1"/>
  <c r="CH24" i="5"/>
  <c r="CJ24" i="5" s="1"/>
  <c r="CH40" i="5"/>
  <c r="CJ40" i="5" s="1"/>
  <c r="CH88" i="5"/>
  <c r="CJ88" i="5" s="1"/>
  <c r="CH104" i="5"/>
  <c r="CJ104" i="5" s="1"/>
  <c r="CH120" i="5"/>
  <c r="CJ120" i="5" s="1"/>
  <c r="CH144" i="5"/>
  <c r="CJ144" i="5" s="1"/>
  <c r="CH160" i="5"/>
  <c r="CJ160" i="5" s="1"/>
  <c r="CH7" i="5"/>
  <c r="CJ7" i="5" s="1"/>
  <c r="CH23" i="5"/>
  <c r="CJ23" i="5" s="1"/>
  <c r="CH31" i="5"/>
  <c r="CJ31" i="5" s="1"/>
  <c r="CH39" i="5"/>
  <c r="CJ39" i="5" s="1"/>
  <c r="CH47" i="5"/>
  <c r="CJ47" i="5" s="1"/>
  <c r="CH87" i="5"/>
  <c r="CJ87" i="5" s="1"/>
  <c r="CH95" i="5"/>
  <c r="CJ95" i="5" s="1"/>
  <c r="CH103" i="5"/>
  <c r="CJ103" i="5" s="1"/>
  <c r="CH111" i="5"/>
  <c r="CJ111" i="5" s="1"/>
  <c r="CH119" i="5"/>
  <c r="CJ119" i="5" s="1"/>
  <c r="CH127" i="5"/>
  <c r="CJ127" i="5" s="1"/>
  <c r="CH135" i="5"/>
  <c r="CJ135" i="5" s="1"/>
  <c r="CH143" i="5"/>
  <c r="CJ143" i="5" s="1"/>
  <c r="CH151" i="5"/>
  <c r="CJ151" i="5" s="1"/>
  <c r="CH159" i="5"/>
  <c r="CJ159" i="5" s="1"/>
  <c r="CH167" i="5"/>
  <c r="CJ167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110" i="5" l="1"/>
  <c r="CJ178" i="5" s="1"/>
  <c r="CJ179" i="5" s="1"/>
  <c r="CH178" i="5"/>
  <c r="CH179" i="5" s="1"/>
  <c r="CJ82" i="5"/>
  <c r="CJ176" i="5" s="1"/>
  <c r="CJ177" i="5" s="1"/>
  <c r="CH176" i="5"/>
  <c r="CH177" i="5" s="1"/>
  <c r="CJ52" i="5"/>
  <c r="CJ174" i="5" s="1"/>
  <c r="CJ175" i="5" s="1"/>
  <c r="CH174" i="5"/>
  <c r="CH175" i="5" s="1"/>
  <c r="CJ19" i="5"/>
  <c r="CJ172" i="5" s="1"/>
  <c r="CJ173" i="5" s="1"/>
  <c r="CH172" i="5"/>
  <c r="CH173" i="5" s="1"/>
  <c r="K6" i="10"/>
  <c r="L6" i="10" s="1"/>
  <c r="M12" i="12"/>
  <c r="CJ3" i="5"/>
  <c r="CJ170" i="5" s="1"/>
  <c r="CJ171" i="5" s="1"/>
  <c r="CH170" i="5"/>
  <c r="CH171" i="5" s="1"/>
  <c r="F80" i="9"/>
  <c r="F45" i="9"/>
  <c r="N22" i="9"/>
  <c r="N21" i="9"/>
  <c r="H51" i="9"/>
  <c r="I51" i="9"/>
  <c r="G51" i="9"/>
  <c r="G43" i="9" s="1"/>
  <c r="K37" i="10" l="1"/>
  <c r="M10" i="15"/>
  <c r="M10" i="14"/>
  <c r="K26" i="10"/>
  <c r="M10" i="13"/>
  <c r="K15" i="10"/>
  <c r="K4" i="10"/>
  <c r="M10" i="12"/>
  <c r="N12" i="12"/>
  <c r="M40" i="12"/>
  <c r="N40" i="12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13" i="15" l="1"/>
  <c r="M38" i="15"/>
  <c r="AB10" i="15"/>
  <c r="AC10" i="15" s="1"/>
  <c r="N10" i="15"/>
  <c r="N13" i="15" s="1"/>
  <c r="K40" i="10"/>
  <c r="L37" i="10"/>
  <c r="L40" i="10" s="1"/>
  <c r="K29" i="10"/>
  <c r="L26" i="10"/>
  <c r="L29" i="10" s="1"/>
  <c r="M38" i="14"/>
  <c r="M13" i="14"/>
  <c r="AB10" i="14"/>
  <c r="AC10" i="14" s="1"/>
  <c r="N10" i="14"/>
  <c r="N13" i="14" s="1"/>
  <c r="K18" i="10"/>
  <c r="L15" i="10"/>
  <c r="L18" i="10" s="1"/>
  <c r="M13" i="13"/>
  <c r="M38" i="13"/>
  <c r="N10" i="13"/>
  <c r="N13" i="13" s="1"/>
  <c r="AB10" i="13"/>
  <c r="AC10" i="13" s="1"/>
  <c r="M13" i="12"/>
  <c r="M38" i="12"/>
  <c r="AB10" i="12"/>
  <c r="AC10" i="12" s="1"/>
  <c r="N10" i="12"/>
  <c r="N13" i="12" s="1"/>
  <c r="K7" i="10"/>
  <c r="L4" i="10"/>
  <c r="L7" i="10" s="1"/>
  <c r="H44" i="9"/>
  <c r="N41" i="9"/>
  <c r="N38" i="9"/>
  <c r="J43" i="9"/>
  <c r="K43" i="9" s="1"/>
  <c r="I44" i="9"/>
  <c r="I67" i="9"/>
  <c r="M41" i="15" l="1"/>
  <c r="N38" i="15"/>
  <c r="AB38" i="15"/>
  <c r="M41" i="14"/>
  <c r="AB38" i="14"/>
  <c r="N38" i="14"/>
  <c r="N38" i="13"/>
  <c r="M41" i="13"/>
  <c r="AB38" i="13"/>
  <c r="AB38" i="12"/>
  <c r="M41" i="12"/>
  <c r="N38" i="12"/>
  <c r="I45" i="9"/>
  <c r="J44" i="9"/>
  <c r="K44" i="9" s="1"/>
  <c r="AB44" i="15" l="1"/>
  <c r="AC44" i="15" s="1"/>
  <c r="AC38" i="15"/>
  <c r="N41" i="15"/>
  <c r="I69" i="15"/>
  <c r="AB44" i="14"/>
  <c r="AC44" i="14" s="1"/>
  <c r="AC38" i="14"/>
  <c r="I69" i="14"/>
  <c r="N41" i="14"/>
  <c r="N41" i="13"/>
  <c r="I69" i="13"/>
  <c r="AB44" i="13"/>
  <c r="AC44" i="13" s="1"/>
  <c r="AC38" i="13"/>
  <c r="N41" i="12"/>
  <c r="I69" i="12"/>
  <c r="AB44" i="12"/>
  <c r="AC44" i="12" s="1"/>
  <c r="AC38" i="12"/>
  <c r="J67" i="9"/>
  <c r="J69" i="15" l="1"/>
  <c r="J75" i="15" s="1"/>
  <c r="J80" i="15" s="1"/>
  <c r="I75" i="15"/>
  <c r="I80" i="15" s="1"/>
  <c r="J69" i="14"/>
  <c r="J75" i="14" s="1"/>
  <c r="J80" i="14" s="1"/>
  <c r="I75" i="14"/>
  <c r="I80" i="14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39CAA3B-AA90-496C-BF82-6C36FE3C8E1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05CB94F-4A01-466A-B354-CEFD2E2C1E3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7C4BF91-C026-4A22-A3CE-03E8A403EE7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AE23A2A-94B9-4017-8A8D-DCA3AB90B91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DD7C171-23A7-4C2F-95CD-8B76762FFA5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48F6852-7C32-496B-A1F1-F1D2E7ED731D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B7B504D-1D8D-4E8E-B448-3F3511CA933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4C0C587-2214-4C77-9077-C3DE4C11DB5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E077026-171D-493D-898E-87F78D216EA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8A29630-7538-4AAF-8088-8F7FB7CC28D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4905CC0-41EC-49C3-A6E4-4DFA3268A11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C314242-66DF-43AE-A284-CA469F74D6F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71C319B-1D7F-4E75-A2AE-8C75A42E254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A47CD20-1E27-4BC5-B13F-80F4735B935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9C76BA0-DAE2-46DB-8408-59E0FD3EC18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E00930C-8889-4C15-AEA1-54CEDB52516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A5AB976F-335B-491A-A707-1FDE6A98F8F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F1F4166-8A9E-4EE2-8B24-D9828336913A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175CCB59-6C76-4043-8FE1-6CB891C4AE0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656A3EF-72FB-4C2B-9666-10D62844705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37669091-0141-4145-8723-8CD5BE7A457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D901F1A-D570-4A8E-9AE4-507BB00B6B63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F56DC90-6EDF-4B7A-A18A-E50BB35279F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D98B9EC-39E4-4247-920E-D205659E11DE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69A788F-048D-4E13-A28B-44AB1327679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6CB60190-D46E-4100-8A75-11158B3B856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3DC86E2-BC0D-4147-A42D-72E58AAD7B3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A264901-49FB-4480-A788-38820F4082D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B1A3954E-A7EE-4EBB-A0A6-0543BC3250B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33B2586-4820-4CBB-8984-4AB4AB0270F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EB1AD85-9064-4FB3-B4FE-CF163941FCB3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6D517BB-1FF3-47BF-9FEE-EDF10C1A42FD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B3D52A0-C6BE-4C46-9DD5-07B43615B34B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D774150-B6C5-4510-9D41-708FE553D8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58F55AC6-2471-49AE-A974-97740169DB2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EC4BADC-2412-486B-9D90-12CA18CD70AE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4690677-82FD-4019-9A52-F6032B77931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31F56D20-1E87-4A89-9C47-3432FDFE084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C48707EC-2467-41D7-962B-8301025379E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8098B370-AD6B-406A-8553-09384D43BCA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<sst xmlns="http://schemas.openxmlformats.org/spreadsheetml/2006/main" count="4665" uniqueCount="778">
  <si>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</si>
  <si>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</si>
  <si>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</si>
  <si>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</si>
  <si>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</si>
  <si>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</si>
  <si>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</si>
  <si>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</si>
  <si>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</si>
  <si>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</si>
  <si>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</si>
  <si>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</si>
  <si>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</si>
  <si>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</si>
  <si>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</si>
  <si>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</si>
  <si>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</si>
  <si>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</si>
  <si>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</si>
  <si>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</si>
  <si>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</si>
  <si>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</si>
  <si>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</si>
  <si>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</si>
  <si>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</si>
  <si>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</si>
  <si>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</si>
  <si>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</si>
  <si>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</si>
  <si>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</si>
  <si>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</si>
  <si>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</si>
  <si>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</si>
  <si>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</si>
  <si>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</si>
  <si>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</si>
  <si>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</si>
  <si>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</si>
  <si>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</si>
  <si>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</si>
  <si>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</si>
  <si>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</si>
  <si>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</si>
  <si>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</si>
  <si>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</si>
  <si>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</si>
  <si>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</si>
  <si>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</si>
  <si>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</si>
  <si>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</si>
  <si>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</si>
  <si>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</si>
  <si>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</si>
  <si>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</si>
  <si>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</si>
  <si>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</si>
  <si>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</si>
  <si>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</si>
  <si>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</si>
  <si>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</si>
  <si>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</si>
  <si>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</si>
  <si>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</si>
  <si>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</si>
  <si>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</si>
  <si>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</si>
  <si>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</si>
  <si>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</si>
  <si>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</si>
  <si>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</si>
  <si>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</si>
  <si>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</si>
  <si>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</si>
  <si>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</si>
  <si>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</si>
  <si>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</si>
  <si>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</si>
  <si>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</si>
  <si>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</si>
  <si>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</si>
  <si>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</si>
  <si>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</si>
  <si>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</si>
  <si>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</si>
  <si>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</si>
  <si>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</si>
  <si>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</si>
  <si>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</si>
  <si>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</si>
  <si>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</si>
  <si>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</si>
  <si>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</si>
  <si>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</si>
  <si>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</si>
  <si>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</si>
  <si>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</si>
  <si>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</si>
  <si>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</si>
  <si>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</si>
  <si>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</si>
  <si>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</si>
  <si>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</si>
  <si>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</si>
  <si>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</si>
  <si>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</si>
  <si>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</si>
  <si>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</si>
  <si>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</si>
  <si>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</si>
  <si>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</si>
  <si>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</si>
  <si>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</si>
  <si>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</si>
  <si>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</si>
  <si>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</si>
  <si>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</si>
  <si>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</si>
  <si>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</si>
  <si>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</si>
  <si>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</si>
  <si>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</si>
  <si>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</si>
  <si>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</si>
  <si>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</si>
  <si>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</si>
  <si>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</si>
  <si>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</si>
  <si>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</si>
  <si>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</si>
  <si>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</si>
  <si>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</si>
  <si>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</si>
  <si>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</si>
  <si>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</si>
  <si>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</si>
  <si>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</si>
  <si>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</si>
  <si>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</si>
  <si>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</si>
  <si>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</si>
  <si>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</si>
  <si>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</si>
  <si>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</si>
  <si>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</si>
  <si>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</si>
  <si>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</si>
  <si>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</si>
  <si>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</si>
  <si>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</si>
  <si>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</si>
  <si>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</si>
  <si>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</si>
  <si>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</si>
  <si>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</si>
  <si>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</si>
  <si>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</si>
  <si>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</si>
  <si>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</si>
  <si>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</si>
  <si>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</si>
  <si>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</si>
  <si>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</si>
  <si>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140</t>
  </si>
  <si>
    <t>0265</t>
  </si>
  <si>
    <t xml:space="preserve">IT ARCHITECT II     </t>
  </si>
  <si>
    <t>0001</t>
  </si>
  <si>
    <t>00</t>
  </si>
  <si>
    <t>SCAA</t>
  </si>
  <si>
    <t>001</t>
  </si>
  <si>
    <t>01738</t>
  </si>
  <si>
    <t>N</t>
  </si>
  <si>
    <t>F</t>
  </si>
  <si>
    <t>NR</t>
  </si>
  <si>
    <t xml:space="preserve">KOGANTI, NARENDER </t>
  </si>
  <si>
    <t>KOGANTI</t>
  </si>
  <si>
    <t>NARENDER</t>
  </si>
  <si>
    <t xml:space="preserve">              </t>
  </si>
  <si>
    <t>00000</t>
  </si>
  <si>
    <t>H</t>
  </si>
  <si>
    <t>FS</t>
  </si>
  <si>
    <t>E</t>
  </si>
  <si>
    <t>Y</t>
  </si>
  <si>
    <t xml:space="preserve">    </t>
  </si>
  <si>
    <t>0234</t>
  </si>
  <si>
    <t>HUMAN RESOURCE OFFIC</t>
  </si>
  <si>
    <t>004</t>
  </si>
  <si>
    <t>05131</t>
  </si>
  <si>
    <t>O</t>
  </si>
  <si>
    <t>HOLT, INGA R.</t>
  </si>
  <si>
    <t>HOLT</t>
  </si>
  <si>
    <t>INGA</t>
  </si>
  <si>
    <t>RENEE</t>
  </si>
  <si>
    <t>0232</t>
  </si>
  <si>
    <t xml:space="preserve">BUDGET OFFICER      </t>
  </si>
  <si>
    <t>22414</t>
  </si>
  <si>
    <t>DAVIS, CHRISTOPHER W.</t>
  </si>
  <si>
    <t>DAVIS</t>
  </si>
  <si>
    <t>CHRISTOPHER</t>
  </si>
  <si>
    <t>W</t>
  </si>
  <si>
    <t>0223</t>
  </si>
  <si>
    <t xml:space="preserve">ADMIN ASST 1        </t>
  </si>
  <si>
    <t>01235</t>
  </si>
  <si>
    <t xml:space="preserve">BARCLAY, ASHLEE </t>
  </si>
  <si>
    <t>BARCLAY</t>
  </si>
  <si>
    <t>ASHLEE</t>
  </si>
  <si>
    <t>0211</t>
  </si>
  <si>
    <t xml:space="preserve">PROGRAM COORDINATOR </t>
  </si>
  <si>
    <t>22431</t>
  </si>
  <si>
    <t>VALENZUELA, ANNETTE C.</t>
  </si>
  <si>
    <t>VALENZUELA</t>
  </si>
  <si>
    <t>ANNETTE</t>
  </si>
  <si>
    <t>C</t>
  </si>
  <si>
    <t>0135</t>
  </si>
  <si>
    <t xml:space="preserve">DEPUTY CONTROLLER   </t>
  </si>
  <si>
    <t>22430</t>
  </si>
  <si>
    <t>IASONIDES, JOHN N.</t>
  </si>
  <si>
    <t>IASONIDES</t>
  </si>
  <si>
    <t>JOHN</t>
  </si>
  <si>
    <t>0131</t>
  </si>
  <si>
    <t>COMMUNICATIONS MANAG</t>
  </si>
  <si>
    <t>005</t>
  </si>
  <si>
    <t>16173</t>
  </si>
  <si>
    <t>REATHAFORD, MACKENZIE N.</t>
  </si>
  <si>
    <t>REATHAFORD</t>
  </si>
  <si>
    <t>MACKENZIE</t>
  </si>
  <si>
    <t>0127</t>
  </si>
  <si>
    <t>DEPUTY CHIEF OF STAF</t>
  </si>
  <si>
    <t>22402</t>
  </si>
  <si>
    <t>BENJAMIN, BRIAN B.</t>
  </si>
  <si>
    <t>BENJAMIN</t>
  </si>
  <si>
    <t>BRIAN</t>
  </si>
  <si>
    <t>BIRDSALL</t>
  </si>
  <si>
    <t>0108</t>
  </si>
  <si>
    <t xml:space="preserve">EXECUTIVE ASSISTANT </t>
  </si>
  <si>
    <t>22215</t>
  </si>
  <si>
    <t>PETAIN, YVONNE B.</t>
  </si>
  <si>
    <t>PETAIN</t>
  </si>
  <si>
    <t>YVONNE</t>
  </si>
  <si>
    <t>B</t>
  </si>
  <si>
    <t>0107</t>
  </si>
  <si>
    <t>STATE SOCIAL SECURIT</t>
  </si>
  <si>
    <t>22435</t>
  </si>
  <si>
    <t>MCCLEVE, JACQUELINE G.</t>
  </si>
  <si>
    <t>MCCLEVE</t>
  </si>
  <si>
    <t>JACQUELINE</t>
  </si>
  <si>
    <t>GRACE</t>
  </si>
  <si>
    <t>PT</t>
  </si>
  <si>
    <t>0103</t>
  </si>
  <si>
    <t>RIBORDY, HEATH S.</t>
  </si>
  <si>
    <t>RIBORDY</t>
  </si>
  <si>
    <t>HEATH</t>
  </si>
  <si>
    <t>S</t>
  </si>
  <si>
    <t>0102</t>
  </si>
  <si>
    <t>CHIEF DEPUTY CONTROL</t>
  </si>
  <si>
    <t>22401</t>
  </si>
  <si>
    <t>WHITWORTH, JOSHUA C.</t>
  </si>
  <si>
    <t>WHITWORTH</t>
  </si>
  <si>
    <t>JOSHUA</t>
  </si>
  <si>
    <t>0101</t>
  </si>
  <si>
    <t xml:space="preserve">STATE CONTROLLER    </t>
  </si>
  <si>
    <t>22400</t>
  </si>
  <si>
    <t>WOOLF, BRANDON D.</t>
  </si>
  <si>
    <t>WOOLF</t>
  </si>
  <si>
    <t>BRANDON</t>
  </si>
  <si>
    <t>D</t>
  </si>
  <si>
    <t>A</t>
  </si>
  <si>
    <t>FE</t>
  </si>
  <si>
    <t>9993</t>
  </si>
  <si>
    <t xml:space="preserve">TEMPORARY EMPLOYEES </t>
  </si>
  <si>
    <t>95000</t>
  </si>
  <si>
    <t>NG</t>
  </si>
  <si>
    <t>0048</t>
  </si>
  <si>
    <t xml:space="preserve">FINANCIAL OFFICER   </t>
  </si>
  <si>
    <t>04241</t>
  </si>
  <si>
    <t>STRATTON, CHRISTOPHER W.</t>
  </si>
  <si>
    <t>STRATTON</t>
  </si>
  <si>
    <t>9666</t>
  </si>
  <si>
    <t xml:space="preserve">ACTUALS W/O POS     </t>
  </si>
  <si>
    <t xml:space="preserve">     </t>
  </si>
  <si>
    <t>0266</t>
  </si>
  <si>
    <t>41011</t>
  </si>
  <si>
    <t>V</t>
  </si>
  <si>
    <t>SCBA</t>
  </si>
  <si>
    <t>0104</t>
  </si>
  <si>
    <t xml:space="preserve">FINANCIAL TECHNICAL </t>
  </si>
  <si>
    <t>22405</t>
  </si>
  <si>
    <t>ESTENSON, CHARLES L.</t>
  </si>
  <si>
    <t>ESTENSON</t>
  </si>
  <si>
    <t>CHARLES</t>
  </si>
  <si>
    <t>L</t>
  </si>
  <si>
    <t>0262</t>
  </si>
  <si>
    <t>FINANCIAL SPECIALIST</t>
  </si>
  <si>
    <t>04245</t>
  </si>
  <si>
    <t>PRUETT, KIRSTEN L.</t>
  </si>
  <si>
    <t>PRUETT</t>
  </si>
  <si>
    <t>KIRSTEN</t>
  </si>
  <si>
    <t>0258</t>
  </si>
  <si>
    <t>04244</t>
  </si>
  <si>
    <t>M</t>
  </si>
  <si>
    <t>LEJEUNE, TIFFINI D.</t>
  </si>
  <si>
    <t>LEJEUNE</t>
  </si>
  <si>
    <t>TIFFINI</t>
  </si>
  <si>
    <t>0257</t>
  </si>
  <si>
    <t>04246</t>
  </si>
  <si>
    <t>K</t>
  </si>
  <si>
    <t>BONILLA, JENNIFER D.</t>
  </si>
  <si>
    <t>BONILLA</t>
  </si>
  <si>
    <t>JENNIFER</t>
  </si>
  <si>
    <t>0256</t>
  </si>
  <si>
    <t>STANDLEY, RONI L.</t>
  </si>
  <si>
    <t>STANDLEY</t>
  </si>
  <si>
    <t>RONI</t>
  </si>
  <si>
    <t>0252</t>
  </si>
  <si>
    <t xml:space="preserve">MILLER, CAROLYN </t>
  </si>
  <si>
    <t>MILLER</t>
  </si>
  <si>
    <t>CAROLYN</t>
  </si>
  <si>
    <t>9994</t>
  </si>
  <si>
    <t>0241</t>
  </si>
  <si>
    <t>FINANCIAL TECHNICIAN</t>
  </si>
  <si>
    <t>04248</t>
  </si>
  <si>
    <t>HOLT, HUNTER L.</t>
  </si>
  <si>
    <t>HUNTER</t>
  </si>
  <si>
    <t>LEE</t>
  </si>
  <si>
    <t>0240</t>
  </si>
  <si>
    <t>TISDALE, SANDRA L.</t>
  </si>
  <si>
    <t>TISDALE</t>
  </si>
  <si>
    <t>SANDRA</t>
  </si>
  <si>
    <t>0239</t>
  </si>
  <si>
    <t>BUR CHIEF, ACCOUNTIN</t>
  </si>
  <si>
    <t>20139</t>
  </si>
  <si>
    <t>MENJIVAR, PAMELA F.</t>
  </si>
  <si>
    <t>MENJIVAR</t>
  </si>
  <si>
    <t>PAMELA</t>
  </si>
  <si>
    <t>0238</t>
  </si>
  <si>
    <t xml:space="preserve">ANDERSON, CHRISTY </t>
  </si>
  <si>
    <t>ANDERSON</t>
  </si>
  <si>
    <t>CHRISTY</t>
  </si>
  <si>
    <t>0237</t>
  </si>
  <si>
    <t>FLOYD, CHRISTOPHER L.</t>
  </si>
  <si>
    <t>FLOYD</t>
  </si>
  <si>
    <t>0236</t>
  </si>
  <si>
    <t>DRAVES, ETHAN M.</t>
  </si>
  <si>
    <t>DRAVES</t>
  </si>
  <si>
    <t>ETHAN</t>
  </si>
  <si>
    <t>0231</t>
  </si>
  <si>
    <t xml:space="preserve">STEED, SUSAN </t>
  </si>
  <si>
    <t>STEED</t>
  </si>
  <si>
    <t>SUSAN</t>
  </si>
  <si>
    <t>0224</t>
  </si>
  <si>
    <t>BUR CHIEF, REPORTING</t>
  </si>
  <si>
    <t>20143</t>
  </si>
  <si>
    <t>PURCELL, JOHN B.</t>
  </si>
  <si>
    <t>PURCELL</t>
  </si>
  <si>
    <t>0122</t>
  </si>
  <si>
    <t>PILLAI, VIJAY N.</t>
  </si>
  <si>
    <t>PILLAI</t>
  </si>
  <si>
    <t>VIJAY</t>
  </si>
  <si>
    <t>NATARAJAN</t>
  </si>
  <si>
    <t>0118</t>
  </si>
  <si>
    <t>POTTER, LANAE A.</t>
  </si>
  <si>
    <t>POTTER</t>
  </si>
  <si>
    <t>LANAE</t>
  </si>
  <si>
    <t>0116</t>
  </si>
  <si>
    <t>POWELL, JUSTIN D.</t>
  </si>
  <si>
    <t>POWELL</t>
  </si>
  <si>
    <t>JUSTIN</t>
  </si>
  <si>
    <t>0110</t>
  </si>
  <si>
    <t>RICHARDSON, MINDY L.</t>
  </si>
  <si>
    <t>RICHARDSON</t>
  </si>
  <si>
    <t>MINDY</t>
  </si>
  <si>
    <t>0109</t>
  </si>
  <si>
    <t>HODGES, PATRICK E.</t>
  </si>
  <si>
    <t>HODGES</t>
  </si>
  <si>
    <t>PATRICK</t>
  </si>
  <si>
    <t>0126</t>
  </si>
  <si>
    <t>SCBI</t>
  </si>
  <si>
    <t>0114</t>
  </si>
  <si>
    <t>PRODUCTION SUPPORT L</t>
  </si>
  <si>
    <t>22421</t>
  </si>
  <si>
    <t>GRIMES, PATRICIA A.</t>
  </si>
  <si>
    <t>GRIMES</t>
  </si>
  <si>
    <t>PATRICIA</t>
  </si>
  <si>
    <t>ANN</t>
  </si>
  <si>
    <t>0113</t>
  </si>
  <si>
    <t>BUR CHIEF-SUPPORT SV</t>
  </si>
  <si>
    <t>22415</t>
  </si>
  <si>
    <t>BROOKE, ELIZABETH L.</t>
  </si>
  <si>
    <t>BROOKE</t>
  </si>
  <si>
    <t>ELIZABETH</t>
  </si>
  <si>
    <t>0106</t>
  </si>
  <si>
    <t>DETTON, STEVEN M.</t>
  </si>
  <si>
    <t>DETTON</t>
  </si>
  <si>
    <t>STEVEN</t>
  </si>
  <si>
    <t>22429</t>
  </si>
  <si>
    <t>0105</t>
  </si>
  <si>
    <t>PAYROLL SUPPORT SPEC</t>
  </si>
  <si>
    <t>22424</t>
  </si>
  <si>
    <t>GARCIA, CECILIA M.</t>
  </si>
  <si>
    <t>GARCIA</t>
  </si>
  <si>
    <t>CECILIA</t>
  </si>
  <si>
    <t>0039</t>
  </si>
  <si>
    <t xml:space="preserve">PROJECT MANAGER 3   </t>
  </si>
  <si>
    <t>05570</t>
  </si>
  <si>
    <t>P</t>
  </si>
  <si>
    <t>DUPLESSIE, JACQUES L.</t>
  </si>
  <si>
    <t>DUPLESSIE</t>
  </si>
  <si>
    <t>JACQUES</t>
  </si>
  <si>
    <t>9999</t>
  </si>
  <si>
    <t>9998</t>
  </si>
  <si>
    <t>0621</t>
  </si>
  <si>
    <t>LUMA PROCUREMENT LEA</t>
  </si>
  <si>
    <t>96003</t>
  </si>
  <si>
    <t>SKELTON, JASON S.</t>
  </si>
  <si>
    <t>SKELTON</t>
  </si>
  <si>
    <t>JASON</t>
  </si>
  <si>
    <t>0264</t>
  </si>
  <si>
    <t>22425</t>
  </si>
  <si>
    <t>ROMLEIN, KELLIE A.</t>
  </si>
  <si>
    <t>ROMLEIN</t>
  </si>
  <si>
    <t>KELLIE</t>
  </si>
  <si>
    <t>0249</t>
  </si>
  <si>
    <t>PROJECT COORDINATION</t>
  </si>
  <si>
    <t>22427</t>
  </si>
  <si>
    <t>HOKE, JODY L.</t>
  </si>
  <si>
    <t>HOKE</t>
  </si>
  <si>
    <t>JODY</t>
  </si>
  <si>
    <t>LYNN</t>
  </si>
  <si>
    <t>0235</t>
  </si>
  <si>
    <t>MCADOO, TAYLOR M.</t>
  </si>
  <si>
    <t>MCADOO</t>
  </si>
  <si>
    <t>TAYLOR</t>
  </si>
  <si>
    <t>0230</t>
  </si>
  <si>
    <t>BUR CHIEF-TECH SUPPO</t>
  </si>
  <si>
    <t>22416</t>
  </si>
  <si>
    <t>BROWN, AMBER C.</t>
  </si>
  <si>
    <t>BROWN</t>
  </si>
  <si>
    <t>AMBER</t>
  </si>
  <si>
    <t>0202</t>
  </si>
  <si>
    <t>IT SOFTWARE ENGINEER</t>
  </si>
  <si>
    <t>01716</t>
  </si>
  <si>
    <t>YOUNG, JERRY A.</t>
  </si>
  <si>
    <t>YOUNG</t>
  </si>
  <si>
    <t>JERRY</t>
  </si>
  <si>
    <t>0132</t>
  </si>
  <si>
    <t>COLES, SHEENA L.</t>
  </si>
  <si>
    <t>COLES</t>
  </si>
  <si>
    <t>SHEENA</t>
  </si>
  <si>
    <t>0130</t>
  </si>
  <si>
    <t>BUR CHIEF-PAYROLL SV</t>
  </si>
  <si>
    <t>22407</t>
  </si>
  <si>
    <t xml:space="preserve">MICKELSEN, LESLIE </t>
  </si>
  <si>
    <t>MICKELSEN</t>
  </si>
  <si>
    <t>LESLIE</t>
  </si>
  <si>
    <t>0128</t>
  </si>
  <si>
    <t xml:space="preserve">TRAINING SPEC       </t>
  </si>
  <si>
    <t>05122</t>
  </si>
  <si>
    <t>FENICOTTERO, DIANA M.</t>
  </si>
  <si>
    <t>FENICOTTERO</t>
  </si>
  <si>
    <t>DIANA</t>
  </si>
  <si>
    <t>MARIE</t>
  </si>
  <si>
    <t>SCCA</t>
  </si>
  <si>
    <t>0120</t>
  </si>
  <si>
    <t>PAYROLL SUPPORT ANAL</t>
  </si>
  <si>
    <t>22422</t>
  </si>
  <si>
    <t>NAYLOR-MORRIS, MEGHAN H.</t>
  </si>
  <si>
    <t>NAYLOR-MORRIS</t>
  </si>
  <si>
    <t>MEGHAN</t>
  </si>
  <si>
    <t>0263</t>
  </si>
  <si>
    <t>DOCUMENTATION SPECIA</t>
  </si>
  <si>
    <t>22423</t>
  </si>
  <si>
    <t>SZWEC, TARA A.</t>
  </si>
  <si>
    <t>SZWEC</t>
  </si>
  <si>
    <t>TARA</t>
  </si>
  <si>
    <t>0259</t>
  </si>
  <si>
    <t xml:space="preserve">PROJECT COORDINATOR </t>
  </si>
  <si>
    <t>02913</t>
  </si>
  <si>
    <t>MACE, ANDREW J.</t>
  </si>
  <si>
    <t>MACE</t>
  </si>
  <si>
    <t>ANDREW</t>
  </si>
  <si>
    <t>0125</t>
  </si>
  <si>
    <t>0246</t>
  </si>
  <si>
    <t>PAYROLL ACCT/TAX SPE</t>
  </si>
  <si>
    <t>22413</t>
  </si>
  <si>
    <t>JENKINS, JOSEPH A.</t>
  </si>
  <si>
    <t>JENKINS</t>
  </si>
  <si>
    <t>JOSEPH</t>
  </si>
  <si>
    <t>0244</t>
  </si>
  <si>
    <t>ETHRIDGE, BRANDELYNN M.</t>
  </si>
  <si>
    <t>ETHRIDGE</t>
  </si>
  <si>
    <t>BRANDELYNN</t>
  </si>
  <si>
    <t>MICHELLE</t>
  </si>
  <si>
    <t>0229</t>
  </si>
  <si>
    <t>REAGAN, SARAH M.</t>
  </si>
  <si>
    <t>REAGAN</t>
  </si>
  <si>
    <t>SARAH</t>
  </si>
  <si>
    <t>0204</t>
  </si>
  <si>
    <t>SMITH, SCOTT E.</t>
  </si>
  <si>
    <t>SMITH</t>
  </si>
  <si>
    <t>SCOTT</t>
  </si>
  <si>
    <t>0034</t>
  </si>
  <si>
    <t xml:space="preserve">IT OPS ANALYST, SCO </t>
  </si>
  <si>
    <t>0480</t>
  </si>
  <si>
    <t>SCDA</t>
  </si>
  <si>
    <t>22404</t>
  </si>
  <si>
    <t>MERKEL, DANIELLE N.</t>
  </si>
  <si>
    <t>MERKEL</t>
  </si>
  <si>
    <t>DANIELLE</t>
  </si>
  <si>
    <t>0248</t>
  </si>
  <si>
    <t>NIELSEN, BRIAN H.</t>
  </si>
  <si>
    <t>NIELSEN</t>
  </si>
  <si>
    <t>0033</t>
  </si>
  <si>
    <t>IT INFO SECURITY ENG</t>
  </si>
  <si>
    <t>01734</t>
  </si>
  <si>
    <t>DAVISON, DANNY J.</t>
  </si>
  <si>
    <t>DAVISON</t>
  </si>
  <si>
    <t>DANNY</t>
  </si>
  <si>
    <t>J</t>
  </si>
  <si>
    <t>0247</t>
  </si>
  <si>
    <t>VIGEANT, JARED A.</t>
  </si>
  <si>
    <t>VIGEANT</t>
  </si>
  <si>
    <t>JARED</t>
  </si>
  <si>
    <t>0032</t>
  </si>
  <si>
    <t>RIDDLE, JOHN R.</t>
  </si>
  <si>
    <t>RIDDLE</t>
  </si>
  <si>
    <t>R</t>
  </si>
  <si>
    <t>0243</t>
  </si>
  <si>
    <t>IT INFO SYS AND INFR</t>
  </si>
  <si>
    <t>01731</t>
  </si>
  <si>
    <t>TREVASKIS, STEVEN J.</t>
  </si>
  <si>
    <t>TREVASKIS</t>
  </si>
  <si>
    <t>0031</t>
  </si>
  <si>
    <t>01730</t>
  </si>
  <si>
    <t>ANDERSON, RYAN H.</t>
  </si>
  <si>
    <t>RYAN</t>
  </si>
  <si>
    <t>0242</t>
  </si>
  <si>
    <t xml:space="preserve">IT MANAGER II       </t>
  </si>
  <si>
    <t>01742</t>
  </si>
  <si>
    <t>BILLS, ANDREW J.</t>
  </si>
  <si>
    <t>BILLS</t>
  </si>
  <si>
    <t>0029</t>
  </si>
  <si>
    <t>BUR CHIEF, APP DEV S</t>
  </si>
  <si>
    <t>20138</t>
  </si>
  <si>
    <t>SCHENK, GREGORY A.</t>
  </si>
  <si>
    <t>SCHENK</t>
  </si>
  <si>
    <t>GREGORY</t>
  </si>
  <si>
    <t>ALVIN</t>
  </si>
  <si>
    <t>0026</t>
  </si>
  <si>
    <t>IT SYSTEMS OPERATOR,</t>
  </si>
  <si>
    <t>22438</t>
  </si>
  <si>
    <t>CLIFF, BRIAN A.</t>
  </si>
  <si>
    <t>CLIFF</t>
  </si>
  <si>
    <t>0025</t>
  </si>
  <si>
    <t>HOWLAND-GRINIUS, ZANE E.</t>
  </si>
  <si>
    <t>HOWLAND-GRINIUS</t>
  </si>
  <si>
    <t>ZANE</t>
  </si>
  <si>
    <t>0021</t>
  </si>
  <si>
    <t xml:space="preserve">IT MANAGER I        </t>
  </si>
  <si>
    <t>01741</t>
  </si>
  <si>
    <t>SWICKARD, KERRY L.</t>
  </si>
  <si>
    <t>SWICKARD</t>
  </si>
  <si>
    <t>KERRY</t>
  </si>
  <si>
    <t>LIN</t>
  </si>
  <si>
    <t>0222</t>
  </si>
  <si>
    <t>IT QUALITY ASSUR ANA</t>
  </si>
  <si>
    <t>22410</t>
  </si>
  <si>
    <t xml:space="preserve">AUGER, JOYCE </t>
  </si>
  <si>
    <t>AUGER</t>
  </si>
  <si>
    <t>JOYCE</t>
  </si>
  <si>
    <t>0017</t>
  </si>
  <si>
    <t>IT OPERATION ANALYST</t>
  </si>
  <si>
    <t>22406</t>
  </si>
  <si>
    <t xml:space="preserve">DUDLEY, CHRISTOPHER </t>
  </si>
  <si>
    <t>DUDLEY</t>
  </si>
  <si>
    <t>0221</t>
  </si>
  <si>
    <t>CONAWAY, LORI L.</t>
  </si>
  <si>
    <t>CONAWAY</t>
  </si>
  <si>
    <t>LORI</t>
  </si>
  <si>
    <t>LEIGH</t>
  </si>
  <si>
    <t>0015</t>
  </si>
  <si>
    <t xml:space="preserve">CRAUET, CYRIL </t>
  </si>
  <si>
    <t>CRAUET</t>
  </si>
  <si>
    <t>CYRIL</t>
  </si>
  <si>
    <t>0220</t>
  </si>
  <si>
    <t xml:space="preserve">IT MANAGER III      </t>
  </si>
  <si>
    <t>01743</t>
  </si>
  <si>
    <t>KIRBY, PATRICK R.</t>
  </si>
  <si>
    <t>KIRBY</t>
  </si>
  <si>
    <t>0014</t>
  </si>
  <si>
    <t>WHITMAN, DEBORAH A.</t>
  </si>
  <si>
    <t>WHITMAN</t>
  </si>
  <si>
    <t>DEBORAH</t>
  </si>
  <si>
    <t>0215</t>
  </si>
  <si>
    <t>TURNBOW, LOREN R.</t>
  </si>
  <si>
    <t>TURNBOW</t>
  </si>
  <si>
    <t>LOREN</t>
  </si>
  <si>
    <t>0013</t>
  </si>
  <si>
    <t>01715</t>
  </si>
  <si>
    <t>HIEB, JOHNN W.</t>
  </si>
  <si>
    <t>HIEB</t>
  </si>
  <si>
    <t>JOHNN</t>
  </si>
  <si>
    <t>0209</t>
  </si>
  <si>
    <t>01714</t>
  </si>
  <si>
    <t>VEST, DENNIS F.</t>
  </si>
  <si>
    <t>VEST</t>
  </si>
  <si>
    <t>DENNIS</t>
  </si>
  <si>
    <t>0010</t>
  </si>
  <si>
    <t>BUR CHIEF, IT TECHNI</t>
  </si>
  <si>
    <t>20137</t>
  </si>
  <si>
    <t>HOUGH, ROBERT B.</t>
  </si>
  <si>
    <t>HOUGH</t>
  </si>
  <si>
    <t>ROBERT</t>
  </si>
  <si>
    <t>0208</t>
  </si>
  <si>
    <t>LINESES, STEVEN R.</t>
  </si>
  <si>
    <t>LINESES</t>
  </si>
  <si>
    <t>0008</t>
  </si>
  <si>
    <t xml:space="preserve">PROJECT MANAGER 2   </t>
  </si>
  <si>
    <t>05568</t>
  </si>
  <si>
    <t>DEHAAS, LEANNE A.</t>
  </si>
  <si>
    <t>DEHAAS</t>
  </si>
  <si>
    <t>LEANNE</t>
  </si>
  <si>
    <t>0207</t>
  </si>
  <si>
    <t>01729</t>
  </si>
  <si>
    <t xml:space="preserve">MERRILL, JACOB </t>
  </si>
  <si>
    <t>MERRILL</t>
  </si>
  <si>
    <t>JACOB</t>
  </si>
  <si>
    <t>0007</t>
  </si>
  <si>
    <t>RICHARDSON, BRETT R.</t>
  </si>
  <si>
    <t>BRETT</t>
  </si>
  <si>
    <t>0206</t>
  </si>
  <si>
    <t xml:space="preserve">IT OPS &amp; SUPPORT SR </t>
  </si>
  <si>
    <t>01708</t>
  </si>
  <si>
    <t>AHRENS, DAVID R.</t>
  </si>
  <si>
    <t>AHRENS</t>
  </si>
  <si>
    <t>DAVID</t>
  </si>
  <si>
    <t>0005</t>
  </si>
  <si>
    <t>IT BUSINESS INTEG SP</t>
  </si>
  <si>
    <t>13250</t>
  </si>
  <si>
    <t>SKINNER, LYNNE M.</t>
  </si>
  <si>
    <t>SKINNER</t>
  </si>
  <si>
    <t>LYNNE</t>
  </si>
  <si>
    <t>0205</t>
  </si>
  <si>
    <t>BUR CHIEF, COMP OP S</t>
  </si>
  <si>
    <t>20136</t>
  </si>
  <si>
    <t>MINTER, CHRISTOPHER P.</t>
  </si>
  <si>
    <t>MINTER</t>
  </si>
  <si>
    <t>0004</t>
  </si>
  <si>
    <t xml:space="preserve">WILLIAMS, ANTHONY </t>
  </si>
  <si>
    <t>WILLIAMS</t>
  </si>
  <si>
    <t>ANTHONY</t>
  </si>
  <si>
    <t>0203</t>
  </si>
  <si>
    <t>WEYEN, MATTHEW C.</t>
  </si>
  <si>
    <t>WEYEN</t>
  </si>
  <si>
    <t>MATTHEW</t>
  </si>
  <si>
    <t>CLARK</t>
  </si>
  <si>
    <t>FORD, TERESA R.</t>
  </si>
  <si>
    <t>FORD</t>
  </si>
  <si>
    <t>TERESA</t>
  </si>
  <si>
    <t>0233</t>
  </si>
  <si>
    <t>0201</t>
  </si>
  <si>
    <t>0121</t>
  </si>
  <si>
    <t>IT OPS &amp; SUPPORT TEC</t>
  </si>
  <si>
    <t>01707</t>
  </si>
  <si>
    <t>I</t>
  </si>
  <si>
    <t>RICHY, NICHOLAS B.</t>
  </si>
  <si>
    <t>RICHY</t>
  </si>
  <si>
    <t>NICHOLAS</t>
  </si>
  <si>
    <t>0038</t>
  </si>
  <si>
    <t>0002</t>
  </si>
  <si>
    <t>0049</t>
  </si>
  <si>
    <t>HARLAN, MARY A.</t>
  </si>
  <si>
    <t>HARLAN</t>
  </si>
  <si>
    <t>MARY</t>
  </si>
  <si>
    <t>0042</t>
  </si>
  <si>
    <t>BENTON, MARIEA L.</t>
  </si>
  <si>
    <t>BENTON</t>
  </si>
  <si>
    <t>MARIEA</t>
  </si>
  <si>
    <t>0041</t>
  </si>
  <si>
    <t>MEATTE, TERESA M.</t>
  </si>
  <si>
    <t>MEATTE</t>
  </si>
  <si>
    <t>0040</t>
  </si>
  <si>
    <t>01736</t>
  </si>
  <si>
    <t>BENCKEN, ROCKY J.</t>
  </si>
  <si>
    <t>BENCKEN</t>
  </si>
  <si>
    <t>ROCKY</t>
  </si>
  <si>
    <t>0036</t>
  </si>
  <si>
    <t>CHELDELIN, KIRA L.</t>
  </si>
  <si>
    <t>CHELDELIN</t>
  </si>
  <si>
    <t>KIRA</t>
  </si>
  <si>
    <t>0261</t>
  </si>
  <si>
    <t>VON KOSTKA, CHEYENNE H.</t>
  </si>
  <si>
    <t>VON KOSTKA</t>
  </si>
  <si>
    <t>CHEYENNE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</si>
  <si>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</si>
  <si>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</si>
  <si>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</si>
  <si>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</si>
  <si>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</si>
  <si>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</si>
  <si>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</si>
  <si>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</si>
  <si>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</si>
  <si>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</si>
  <si>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</si>
  <si>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</si>
  <si>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</si>
  <si>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</si>
  <si>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</si>
  <si>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</si>
  <si>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</si>
  <si>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</si>
  <si>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</si>
  <si>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</si>
  <si>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</si>
  <si>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</si>
  <si>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</si>
  <si>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</si>
  <si>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</si>
  <si>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</si>
  <si>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</si>
  <si>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</si>
  <si>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</si>
  <si>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</si>
  <si>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</si>
  <si>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</si>
  <si>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</si>
  <si>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</si>
  <si>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</si>
  <si>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</si>
  <si>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</si>
  <si>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</si>
  <si>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</si>
  <si>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</si>
  <si>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</si>
  <si>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</si>
  <si>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</si>
  <si>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</si>
  <si>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</si>
  <si>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</si>
  <si>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</si>
  <si>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</si>
  <si>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SCAA 0001-00</t>
  </si>
  <si>
    <t>SCAA 0001</t>
  </si>
  <si>
    <t>State Controller</t>
  </si>
  <si>
    <t>Administration</t>
  </si>
  <si>
    <t>General</t>
  </si>
  <si>
    <t>0001-00</t>
  </si>
  <si>
    <t>10000</t>
  </si>
  <si>
    <t>Administration, General   SCAA-0001-00</t>
  </si>
  <si>
    <t>SCBA 0001-00</t>
  </si>
  <si>
    <t>SCBA 0001</t>
  </si>
  <si>
    <t>Statewide Accounting</t>
  </si>
  <si>
    <t>Statewide Accounting, General   SCBA-0001-00</t>
  </si>
  <si>
    <t>SCBI 0126-00</t>
  </si>
  <si>
    <t>SCBI 0126</t>
  </si>
  <si>
    <t>SCCA 0001-00</t>
  </si>
  <si>
    <t>SCCA 0001</t>
  </si>
  <si>
    <t>Statewide Payroll</t>
  </si>
  <si>
    <t>Statewide Payroll, General   SCCA-0001-00</t>
  </si>
  <si>
    <t>SCDA 0480-00</t>
  </si>
  <si>
    <t>SCDA 0480</t>
  </si>
  <si>
    <t>Computer Center</t>
  </si>
  <si>
    <t>Data Processing Services</t>
  </si>
  <si>
    <t>0480-00</t>
  </si>
  <si>
    <t>48000</t>
  </si>
  <si>
    <t>Computer Center, Data Processing Services   SCDA-0480-00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</si>
  <si>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</si>
  <si>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</si>
  <si>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</si>
  <si>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</si>
  <si>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</si>
  <si>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</si>
  <si>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</si>
  <si>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</si>
  <si>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Fund-0480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</si>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</sst>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1788-137B-4AA4-B812-0913CA89557E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742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140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742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746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743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167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744</v>
      </c>
      <c r="J5" s="410"/>
      <c r="K5" s="410"/>
      <c r="L5" s="409"/>
      <c r="M5" s="352" t="s">
        <v>115</v>
      </c>
      <c r="N5" s="32" t="s">
        <v>745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"&amp;'SCAA|0001-00'!FiscalYear-1&amp;" SALARY"</f>
        <v>FY 2022 SALARY</v>
      </c>
      <c r="H8" s="50" t="str">
        <f>"FY "&amp;'SCAA|0001-00'!FiscalYear-1&amp;" HEALTH BENEFITS"</f>
        <v>FY 2022 HEALTH BENEFITS</v>
      </c>
      <c r="I8" s="50" t="str">
        <f>"FY "&amp;'SCAA|0001-00'!FiscalYear-1&amp;" VAR BENEFITS"</f>
        <v>FY 2022 VAR BENEFITS</v>
      </c>
      <c r="J8" s="50" t="str">
        <f>"FY "&amp;'SCAA|0001-00'!FiscalYear-1&amp;" TOTAL"</f>
        <v>FY 2022 TOTAL</v>
      </c>
      <c r="K8" s="50" t="str">
        <f>"FY "&amp;'SCAA|0001-00'!FiscalYear&amp;" SALARY CHANGE"</f>
        <v>FY 2023 SALARY CHANGE</v>
      </c>
      <c r="L8" s="50" t="str">
        <f>"FY "&amp;'SCAA|0001-00'!FiscalYear&amp;" CHG HEALTH BENEFITS"</f>
        <v>FY 2023 CHG HEALTH BENEFITS</v>
      </c>
      <c r="M8" s="50" t="str">
        <f>"FY "&amp;'SCAA|0001-00'!FiscalYear&amp;"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[0]!SCAA000100col_INC_FTI</f>
        <v>5.2550000000000008</v>
      </c>
      <c r="G10" s="218">
        <f>[0]!SCAA000100col_FTI_SALARY_PERM</f>
        <v>442032.03</v>
      </c>
      <c r="H10" s="218">
        <f>[0]!SCAA000100col_HEALTH_PERM</f>
        <v>63259.5</v>
      </c>
      <c r="I10" s="218">
        <f>[0]!SCAA000100col_TOT_VB_PERM</f>
        <v>92875.349823300014</v>
      </c>
      <c r="J10" s="219">
        <f>SUM(G10:I10)</f>
        <v>598166.87982330006</v>
      </c>
      <c r="K10" s="219">
        <f>[0]!SCAA000100col_1_27TH_PP</f>
        <v>0</v>
      </c>
      <c r="L10" s="218">
        <f>[0]!SCAA000100col_HEALTH_PERM_CHG</f>
        <v>0</v>
      </c>
      <c r="M10" s="218">
        <f>[0]!SCAA000100col_TOT_VB_PERM_CHG</f>
        <v>-2298.5665559999998</v>
      </c>
      <c r="N10" s="218">
        <f>SUM(L10:M10)</f>
        <v>-2298.5665559999998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4400</v>
      </c>
      <c r="AB10" s="335">
        <f>ROUND(PermVarBen*CECPerm+(CECPerm*PermVarBenChg),-2)</f>
        <v>900</v>
      </c>
      <c r="AC10" s="335">
        <f>SUM(AA10:AB10)</f>
        <v>5300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[0]!SCAA000100col_Group_Salary</f>
        <v>17819.419999999998</v>
      </c>
      <c r="H11" s="218">
        <v>0</v>
      </c>
      <c r="I11" s="218">
        <f>[0]!SCAA000100col_Group_Ben</f>
        <v>2603.4</v>
      </c>
      <c r="J11" s="219">
        <f>SUM(G11:I11)</f>
        <v>20422.82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200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[0]!SCAA000100col_TOTAL_ELECT_PCN_FTI</f>
        <v>1</v>
      </c>
      <c r="G12" s="218">
        <f>[0]!SCAA000100col_FTI_SALARY_ELECT</f>
        <v>117556.7</v>
      </c>
      <c r="H12" s="218">
        <f>[0]!SCAA000100col_HEALTH_ELECT</f>
        <v>11650</v>
      </c>
      <c r="I12" s="218">
        <f>[0]!SCAA000100col_TOT_VB_ELECT</f>
        <v>24123.810407000001</v>
      </c>
      <c r="J12" s="219">
        <f>SUM(G12:I12)</f>
        <v>153330.51040699999</v>
      </c>
      <c r="K12" s="268"/>
      <c r="L12" s="218">
        <f>[0]!SCAA000100col_HEALTH_ELECT_CHG</f>
        <v>0</v>
      </c>
      <c r="M12" s="218">
        <f>[0]!SCAA000100col_TOT_VB_ELECT_CHG</f>
        <v>-35.267009999999992</v>
      </c>
      <c r="N12" s="219">
        <f>SUM(L12:M12)</f>
        <v>-35.267009999999992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6.2550000000000008</v>
      </c>
      <c r="G13" s="221">
        <f>SUM(G10:G12)</f>
        <v>577408.15</v>
      </c>
      <c r="H13" s="221">
        <f>SUM(H10:H12)</f>
        <v>74909.5</v>
      </c>
      <c r="I13" s="221">
        <f>SUM(I10:I12)</f>
        <v>119602.56023030001</v>
      </c>
      <c r="J13" s="219">
        <f>SUM(G13:I13)</f>
        <v>771920.21023029997</v>
      </c>
      <c r="K13" s="268"/>
      <c r="L13" s="219">
        <f>SUM(L10:L12)</f>
        <v>0</v>
      </c>
      <c r="M13" s="219">
        <f>SUM(M10:M12)</f>
        <v>-2333.8335659999998</v>
      </c>
      <c r="N13" s="219">
        <f>SUM(N10:N12)</f>
        <v>-2333.8335659999998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"&amp;'SCAA|0001-00'!FiscalYear-1</f>
        <v>FY 2022</v>
      </c>
      <c r="D15" s="158" t="s">
        <v>31</v>
      </c>
      <c r="E15" s="355">
        <v>1165700</v>
      </c>
      <c r="F15" s="55">
        <v>10.3</v>
      </c>
      <c r="G15" s="223">
        <f>IF(OrigApprop=0,0,(G13/$J$13)*OrigApprop)</f>
        <v>871961.46898937563</v>
      </c>
      <c r="H15" s="223">
        <f>IF(OrigApprop=0,0,(H13/$J$13)*OrigApprop)</f>
        <v>113123.09613444083</v>
      </c>
      <c r="I15" s="223">
        <f>IF(G15=0,0,(I13/$J$13)*OrigApprop)</f>
        <v>180615.43487618363</v>
      </c>
      <c r="J15" s="223">
        <f>SUM(G15:I15)</f>
        <v>1165700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4.0449999999999999</v>
      </c>
      <c r="G16" s="162">
        <f>G15-G13</f>
        <v>294553.31898937561</v>
      </c>
      <c r="H16" s="162">
        <f>H15-H13</f>
        <v>38213.596134440828</v>
      </c>
      <c r="I16" s="162">
        <f>I15-I13</f>
        <v>61012.874645883625</v>
      </c>
      <c r="J16" s="162">
        <f>J15-J13</f>
        <v>393779.78976970003</v>
      </c>
      <c r="K16" s="269"/>
      <c r="L16" s="56" t="str">
        <f>IF('SCAA|0001-00'!OrigApprop=0,"ERROR! Enter Original Appropriation amount in DU 3.00!","Calculated "&amp;IF('SCAA|0001-00'!AdjustedTotal&gt;0,"overfunding ","underfunding ")&amp;"is "&amp;TEXT('SCAA|0001-00'!AdjustedTotal/'SCAA|0001-00'!AppropTotal,"#.0%;(#.0% );0% ;")&amp;" of Original Appropriation")</f>
        <v>Calculated overfunding is 33.8%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5.2550000000000008</v>
      </c>
      <c r="G38" s="191">
        <f>SUMIF($E10:$E35,$E38,$G10:$G35)</f>
        <v>442032.03</v>
      </c>
      <c r="H38" s="192">
        <f>SUMIF($E10:$E35,$E38,$H10:$H35)</f>
        <v>63259.5</v>
      </c>
      <c r="I38" s="192">
        <f>SUMIF($E10:$E35,$E38,$I10:$I35)</f>
        <v>92875.349823300014</v>
      </c>
      <c r="J38" s="192">
        <f>SUM(G38:I38)</f>
        <v>598166.87982330006</v>
      </c>
      <c r="K38" s="166"/>
      <c r="L38" s="191">
        <f>SUMIF($E10:$E35,$E38,$L10:$L35)</f>
        <v>0</v>
      </c>
      <c r="M38" s="192">
        <f>SUMIF($E10:$E35,$E38,$M10:$M35)</f>
        <v>-2298.5665559999998</v>
      </c>
      <c r="N38" s="192">
        <f>SUM(L38:M38)</f>
        <v>-2298.5665559999998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4400</v>
      </c>
      <c r="AB38" s="338">
        <f>ROUND((AdjPermVB*CECPerm+AdjPermVBBY*CECPerm),-2)</f>
        <v>900</v>
      </c>
      <c r="AC38" s="338">
        <f>SUM(AA38:AB38)</f>
        <v>5300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17819.419999999998</v>
      </c>
      <c r="H39" s="152">
        <f>SUMIF($E10:$E35,$E39,$H10:$H35)</f>
        <v>0</v>
      </c>
      <c r="I39" s="152">
        <f>SUMIF($E10:$E35,$E39,$I10:$I35)</f>
        <v>2603.4</v>
      </c>
      <c r="J39" s="152">
        <f>SUM(G39:I39)</f>
        <v>20422.82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200</v>
      </c>
      <c r="AB39" s="338">
        <f>ROUND(AdjGroupVB*CECGroup,-2)</f>
        <v>0</v>
      </c>
      <c r="AC39" s="338">
        <f>SUM(AA39:AB39)</f>
        <v>200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1</v>
      </c>
      <c r="G40" s="193">
        <f>SUMIF($E10:$E35,$E40,$G10:$G35)</f>
        <v>117556.7</v>
      </c>
      <c r="H40" s="152">
        <f>SUMIF($E10:$E35,$E40,$H10:$H35)</f>
        <v>11650</v>
      </c>
      <c r="I40" s="152">
        <f>SUMIF($E10:$E35,$E40,$I10:$I35)</f>
        <v>24123.810407000001</v>
      </c>
      <c r="J40" s="152">
        <f>SUM(G40:I40)</f>
        <v>153330.51040699999</v>
      </c>
      <c r="K40" s="259"/>
      <c r="L40" s="193">
        <f>SUMIF($E10:$E35,$E40,$L10:$L35)</f>
        <v>0</v>
      </c>
      <c r="M40" s="152">
        <f>SUMIF($E10:$E35,$E40,$M10:$M35)</f>
        <v>-35.267009999999992</v>
      </c>
      <c r="N40" s="152">
        <f>SUM(L40:M40)</f>
        <v>-35.267009999999992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6.2550000000000008</v>
      </c>
      <c r="G41" s="195">
        <f>SUM($G$38:$G$40)</f>
        <v>577408.15</v>
      </c>
      <c r="H41" s="162">
        <f>SUM($H$38:$H$40)</f>
        <v>74909.5</v>
      </c>
      <c r="I41" s="162">
        <f>SUM($I$38:$I$40)</f>
        <v>119602.56023030001</v>
      </c>
      <c r="J41" s="162">
        <f>SUM($J$38:$J$40)</f>
        <v>771920.21023029997</v>
      </c>
      <c r="K41" s="259"/>
      <c r="L41" s="195">
        <f>SUM($L$38:$L$40)</f>
        <v>0</v>
      </c>
      <c r="M41" s="162">
        <f>SUM($M$38:$M$40)</f>
        <v>-2333.8335659999998</v>
      </c>
      <c r="N41" s="162">
        <f>SUM(L41:M41)</f>
        <v>-2333.8335659999998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4.05</v>
      </c>
      <c r="G43" s="206">
        <f>ROUND(G51-G41,-2)</f>
        <v>294600</v>
      </c>
      <c r="H43" s="159">
        <f>ROUND(H51-H41,-2)</f>
        <v>38200</v>
      </c>
      <c r="I43" s="159">
        <f>ROUND(I51-I41,-2)</f>
        <v>61000</v>
      </c>
      <c r="J43" s="159">
        <f>SUM(G43:I43)</f>
        <v>393800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33.8%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4.05</v>
      </c>
      <c r="G44" s="206">
        <f>ROUND(G60-G41,-2)</f>
        <v>294600</v>
      </c>
      <c r="H44" s="159">
        <f>ROUND(H60-H41,-2)</f>
        <v>38200</v>
      </c>
      <c r="I44" s="159">
        <f>ROUND(I60-I41,-2)</f>
        <v>61000</v>
      </c>
      <c r="J44" s="159">
        <f>SUM(G44:I44)</f>
        <v>393800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33.8%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4.05</v>
      </c>
      <c r="G45" s="206">
        <f>ROUND(G67-G41-G63,-2)</f>
        <v>294600</v>
      </c>
      <c r="H45" s="206">
        <f>ROUND(H67-H41-H63,-2)</f>
        <v>38200</v>
      </c>
      <c r="I45" s="206">
        <f>ROUND(I67-I41-I63,-2)</f>
        <v>61000</v>
      </c>
      <c r="J45" s="159">
        <f>SUM(G45:I45)</f>
        <v>393800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33.8%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1165700</v>
      </c>
      <c r="F51" s="272">
        <f>AppropFTP</f>
        <v>10.3</v>
      </c>
      <c r="G51" s="274">
        <f>IF(E51=0,0,(G41/$J$41)*$E$51)</f>
        <v>871961.46898937563</v>
      </c>
      <c r="H51" s="274">
        <f>IF(E51=0,0,(H41/$J$41)*$E$51)</f>
        <v>113123.09613444083</v>
      </c>
      <c r="I51" s="275">
        <f>IF(E51=0,0,(I41/$J$41)*$E$51)</f>
        <v>180615.43487618363</v>
      </c>
      <c r="J51" s="90">
        <f>SUM(G51:I51)</f>
        <v>1165700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10.3</v>
      </c>
      <c r="G52" s="79">
        <f>ROUND(G51,-2)</f>
        <v>872000</v>
      </c>
      <c r="H52" s="79">
        <f>ROUND(H51,-2)</f>
        <v>113100</v>
      </c>
      <c r="I52" s="266">
        <f>ROUND(I51,-2)</f>
        <v>180600</v>
      </c>
      <c r="J52" s="80">
        <f>ROUND(J51,-2)</f>
        <v>1165700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10.3</v>
      </c>
      <c r="G56" s="80">
        <f>SUM(G52:G55)</f>
        <v>872000</v>
      </c>
      <c r="H56" s="80">
        <f>SUM(H52:H55)</f>
        <v>113100</v>
      </c>
      <c r="I56" s="260">
        <f>SUM(I52:I55)</f>
        <v>180600</v>
      </c>
      <c r="J56" s="80">
        <f>SUM(J52:J55)</f>
        <v>1165700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10.3</v>
      </c>
      <c r="G60" s="80">
        <f>SUM(G56:G59)</f>
        <v>872000</v>
      </c>
      <c r="H60" s="80">
        <f>SUM(H56:H59)</f>
        <v>113100</v>
      </c>
      <c r="I60" s="260">
        <f>SUM(I56:I59)</f>
        <v>180600</v>
      </c>
      <c r="J60" s="80">
        <f>SUM(J56:J59)</f>
        <v>1165700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10.3</v>
      </c>
      <c r="G67" s="80">
        <f>SUM(G60:G64)</f>
        <v>872000</v>
      </c>
      <c r="H67" s="80">
        <f>SUM(H60:H64)</f>
        <v>113100</v>
      </c>
      <c r="I67" s="80">
        <f>SUM(I60:I64)</f>
        <v>180600</v>
      </c>
      <c r="J67" s="80">
        <f>SUM(J60:J64)</f>
        <v>1165700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-2300</v>
      </c>
      <c r="J69" s="287">
        <f>SUM(G69:I69)</f>
        <v>-2300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4400</v>
      </c>
      <c r="H72" s="287"/>
      <c r="I72" s="287">
        <f>ROUND(($G72*PermVBBY+$G72*Retire1BY),-2)</f>
        <v>900</v>
      </c>
      <c r="J72" s="113">
        <f>SUM(G72:I72)</f>
        <v>5300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200</v>
      </c>
      <c r="H73" s="287"/>
      <c r="I73" s="287">
        <f>ROUND(($G73*GroupVBBY),-2)</f>
        <v>0</v>
      </c>
      <c r="J73" s="113">
        <f t="shared" si="11"/>
        <v>200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10.3</v>
      </c>
      <c r="G75" s="80">
        <f>SUM(G67:G74)</f>
        <v>876600</v>
      </c>
      <c r="H75" s="80">
        <f>SUM(H67:H74)</f>
        <v>113100</v>
      </c>
      <c r="I75" s="80">
        <f>SUM(I67:I74)</f>
        <v>179200</v>
      </c>
      <c r="J75" s="80">
        <f>SUM(J67:K74)</f>
        <v>1168900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10.3</v>
      </c>
      <c r="G80" s="80">
        <f>SUM(G75:G79)</f>
        <v>876600</v>
      </c>
      <c r="H80" s="80">
        <f>SUM(H75:H79)</f>
        <v>113100</v>
      </c>
      <c r="I80" s="80">
        <f>SUM(I75:I79)</f>
        <v>179200</v>
      </c>
      <c r="J80" s="80">
        <f>SUM(J75:J79)</f>
        <v>1168900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8" priority="5">
      <formula>$J$44&lt;0</formula>
    </cfRule>
  </conditionalFormatting>
  <conditionalFormatting sqref="K43">
    <cfRule type="expression" dxfId="27" priority="4">
      <formula>$J$43&lt;0</formula>
    </cfRule>
  </conditionalFormatting>
  <conditionalFormatting sqref="L16">
    <cfRule type="expression" dxfId="26" priority="3">
      <formula>$J$16&lt;0</formula>
    </cfRule>
  </conditionalFormatting>
  <conditionalFormatting sqref="K45">
    <cfRule type="expression" dxfId="25" priority="2">
      <formula>$J$44&lt;0</formula>
    </cfRule>
  </conditionalFormatting>
  <conditionalFormatting sqref="K43:N45">
    <cfRule type="containsText" dxfId="2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831B2A-7253-48EB-A806-D5F4C49C78E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AF45-67DE-4EFD-8700-C02C06F0E2F4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742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140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742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746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750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282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744</v>
      </c>
      <c r="J5" s="410"/>
      <c r="K5" s="410"/>
      <c r="L5" s="409"/>
      <c r="M5" s="352" t="s">
        <v>115</v>
      </c>
      <c r="N5" s="32" t="s">
        <v>745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"&amp;'SCBA|0001-00'!FiscalYear-1&amp;" SALARY"</f>
        <v>FY 2022 SALARY</v>
      </c>
      <c r="H8" s="50" t="str">
        <f>"FY "&amp;'SCBA|0001-00'!FiscalYear-1&amp;" HEALTH BENEFITS"</f>
        <v>FY 2022 HEALTH BENEFITS</v>
      </c>
      <c r="I8" s="50" t="str">
        <f>"FY "&amp;'SCBA|0001-00'!FiscalYear-1&amp;" VAR BENEFITS"</f>
        <v>FY 2022 VAR BENEFITS</v>
      </c>
      <c r="J8" s="50" t="str">
        <f>"FY "&amp;'SCBA|0001-00'!FiscalYear-1&amp;" TOTAL"</f>
        <v>FY 2022 TOTAL</v>
      </c>
      <c r="K8" s="50" t="str">
        <f>"FY "&amp;'SCBA|0001-00'!FiscalYear&amp;" SALARY CHANGE"</f>
        <v>FY 2023 SALARY CHANGE</v>
      </c>
      <c r="L8" s="50" t="str">
        <f>"FY "&amp;'SCBA|0001-00'!FiscalYear&amp;" CHG HEALTH BENEFITS"</f>
        <v>FY 2023 CHG HEALTH BENEFITS</v>
      </c>
      <c r="M8" s="50" t="str">
        <f>"FY "&amp;'SCBA|0001-00'!FiscalYear&amp;"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[0]!SCBA000100col_INC_FTI</f>
        <v>19.600000000000001</v>
      </c>
      <c r="G10" s="218">
        <f>[0]!SCBA000100col_FTI_SALARY_PERM</f>
        <v>1311430.0099999998</v>
      </c>
      <c r="H10" s="218">
        <f>[0]!SCBA000100col_HEALTH_PERM</f>
        <v>228340</v>
      </c>
      <c r="I10" s="218">
        <f>[0]!SCBA000100col_TOT_VB_PERM</f>
        <v>275544.55940109998</v>
      </c>
      <c r="J10" s="219">
        <f>SUM(G10:I10)</f>
        <v>1815314.5694010998</v>
      </c>
      <c r="K10" s="219">
        <f>[0]!SCBA000100col_1_27TH_PP</f>
        <v>0</v>
      </c>
      <c r="L10" s="218">
        <f>[0]!SCBA000100col_HEALTH_PERM_CHG</f>
        <v>0</v>
      </c>
      <c r="M10" s="218">
        <f>[0]!SCBA000100col_TOT_VB_PERM_CHG</f>
        <v>-6819.4360519999991</v>
      </c>
      <c r="N10" s="218">
        <f>SUM(L10:M10)</f>
        <v>-6819.4360519999991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13100</v>
      </c>
      <c r="AB10" s="335">
        <f>ROUND(PermVarBen*CECPerm+(CECPerm*PermVarBenChg),-2)</f>
        <v>2700</v>
      </c>
      <c r="AC10" s="335">
        <f>SUM(AA10:AB10)</f>
        <v>15800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[0]!SCBA000100col_Group_Salary</f>
        <v>9337.36</v>
      </c>
      <c r="H11" s="218">
        <v>0</v>
      </c>
      <c r="I11" s="218">
        <f>[0]!SCBA000100col_Group_Ben</f>
        <v>5492.85</v>
      </c>
      <c r="J11" s="219">
        <f>SUM(G11:I11)</f>
        <v>14830.210000000001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[0]!SCBA000100col_TOTAL_ELECT_PCN_FTI</f>
        <v>0</v>
      </c>
      <c r="G12" s="218">
        <f>[0]!SCBA000100col_FTI_SALARY_ELECT</f>
        <v>0</v>
      </c>
      <c r="H12" s="218">
        <f>[0]!SCBA000100col_HEALTH_ELECT</f>
        <v>0</v>
      </c>
      <c r="I12" s="218">
        <f>[0]!SCBA000100col_TOT_VB_ELECT</f>
        <v>0</v>
      </c>
      <c r="J12" s="219">
        <f>SUM(G12:I12)</f>
        <v>0</v>
      </c>
      <c r="K12" s="268"/>
      <c r="L12" s="218">
        <f>[0]!SCBA000100col_HEALTH_ELECT_CHG</f>
        <v>0</v>
      </c>
      <c r="M12" s="218">
        <f>[0]!SCBA000100col_TOT_VB_ELECT_CHG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19.600000000000001</v>
      </c>
      <c r="G13" s="221">
        <f>SUM(G10:G12)</f>
        <v>1320767.3699999999</v>
      </c>
      <c r="H13" s="221">
        <f>SUM(H10:H12)</f>
        <v>228340</v>
      </c>
      <c r="I13" s="221">
        <f>SUM(I10:I12)</f>
        <v>281037.40940109995</v>
      </c>
      <c r="J13" s="219">
        <f>SUM(G13:I13)</f>
        <v>1830144.7794010998</v>
      </c>
      <c r="K13" s="268"/>
      <c r="L13" s="219">
        <f>SUM(L10:L12)</f>
        <v>0</v>
      </c>
      <c r="M13" s="219">
        <f>SUM(M10:M12)</f>
        <v>-6819.4360519999991</v>
      </c>
      <c r="N13" s="219">
        <f>SUM(N10:N12)</f>
        <v>-6819.4360519999991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"&amp;'SCBA|0001-00'!FiscalYear-1</f>
        <v>FY 2022</v>
      </c>
      <c r="D15" s="158" t="s">
        <v>31</v>
      </c>
      <c r="E15" s="355">
        <v>1879400</v>
      </c>
      <c r="F15" s="55">
        <v>23.7</v>
      </c>
      <c r="G15" s="223">
        <f>IF(OrigApprop=0,0,(G13/$J$13)*OrigApprop)</f>
        <v>1356313.5677114553</v>
      </c>
      <c r="H15" s="223">
        <f>IF(OrigApprop=0,0,(H13/$J$13)*OrigApprop)</f>
        <v>234485.38106391416</v>
      </c>
      <c r="I15" s="223">
        <f>IF(G15=0,0,(I13/$J$13)*OrigApprop)</f>
        <v>288601.05122463073</v>
      </c>
      <c r="J15" s="223">
        <f>SUM(G15:I15)</f>
        <v>1879400.0000000002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4.0999999999999979</v>
      </c>
      <c r="G16" s="162">
        <f>G15-G13</f>
        <v>35546.197711455403</v>
      </c>
      <c r="H16" s="162">
        <f>H15-H13</f>
        <v>6145.3810639141593</v>
      </c>
      <c r="I16" s="162">
        <f>I15-I13</f>
        <v>7563.6418235307792</v>
      </c>
      <c r="J16" s="162">
        <f>J15-J13</f>
        <v>49255.220598900458</v>
      </c>
      <c r="K16" s="269"/>
      <c r="L16" s="56" t="str">
        <f>IF('SCBA|0001-00'!OrigApprop=0,"ERROR! Enter Original Appropriation amount in DU 3.00!","Calculated "&amp;IF('SCBA|0001-00'!AdjustedTotal&gt;0,"overfunding ","underfunding ")&amp;"is "&amp;TEXT('SCBA|0001-00'!AdjustedTotal/'SCBA|0001-00'!AppropTotal,"#.0%;(#.0% );0% ;")&amp;" of Original Appropriation")</f>
        <v>Calculated overfunding is 2.6%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19.600000000000001</v>
      </c>
      <c r="G38" s="191">
        <f>SUMIF($E10:$E35,$E38,$G10:$G35)</f>
        <v>1311430.0099999998</v>
      </c>
      <c r="H38" s="192">
        <f>SUMIF($E10:$E35,$E38,$H10:$H35)</f>
        <v>228340</v>
      </c>
      <c r="I38" s="192">
        <f>SUMIF($E10:$E35,$E38,$I10:$I35)</f>
        <v>275544.55940109998</v>
      </c>
      <c r="J38" s="192">
        <f>SUM(G38:I38)</f>
        <v>1815314.5694010998</v>
      </c>
      <c r="K38" s="166"/>
      <c r="L38" s="191">
        <f>SUMIF($E10:$E35,$E38,$L10:$L35)</f>
        <v>0</v>
      </c>
      <c r="M38" s="192">
        <f>SUMIF($E10:$E35,$E38,$M10:$M35)</f>
        <v>-6819.4360519999991</v>
      </c>
      <c r="N38" s="192">
        <f>SUM(L38:M38)</f>
        <v>-6819.4360519999991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13100</v>
      </c>
      <c r="AB38" s="338">
        <f>ROUND((AdjPermVB*CECPerm+AdjPermVBBY*CECPerm),-2)</f>
        <v>2700</v>
      </c>
      <c r="AC38" s="338">
        <f>SUM(AA38:AB38)</f>
        <v>15800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9337.36</v>
      </c>
      <c r="H39" s="152">
        <f>SUMIF($E10:$E35,$E39,$H10:$H35)</f>
        <v>0</v>
      </c>
      <c r="I39" s="152">
        <f>SUMIF($E10:$E35,$E39,$I10:$I35)</f>
        <v>5492.85</v>
      </c>
      <c r="J39" s="152">
        <f>SUM(G39:I39)</f>
        <v>14830.210000000001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100</v>
      </c>
      <c r="AC39" s="338">
        <f>SUM(AA39:AB39)</f>
        <v>200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19.600000000000001</v>
      </c>
      <c r="G41" s="195">
        <f>SUM($G$38:$G$40)</f>
        <v>1320767.3699999999</v>
      </c>
      <c r="H41" s="162">
        <f>SUM($H$38:$H$40)</f>
        <v>228340</v>
      </c>
      <c r="I41" s="162">
        <f>SUM($I$38:$I$40)</f>
        <v>281037.40940109995</v>
      </c>
      <c r="J41" s="162">
        <f>SUM($J$38:$J$40)</f>
        <v>1830144.7794010998</v>
      </c>
      <c r="K41" s="259"/>
      <c r="L41" s="195">
        <f>SUM($L$38:$L$40)</f>
        <v>0</v>
      </c>
      <c r="M41" s="162">
        <f>SUM($M$38:$M$40)</f>
        <v>-6819.4360519999991</v>
      </c>
      <c r="N41" s="162">
        <f>SUM(L41:M41)</f>
        <v>-6819.4360519999991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4.0999999999999996</v>
      </c>
      <c r="G43" s="206">
        <f>ROUND(G51-G41,-2)</f>
        <v>35500</v>
      </c>
      <c r="H43" s="159">
        <f>ROUND(H51-H41,-2)</f>
        <v>6100</v>
      </c>
      <c r="I43" s="159">
        <f>ROUND(I51-I41,-2)</f>
        <v>7600</v>
      </c>
      <c r="J43" s="159">
        <f>SUM(G43:I43)</f>
        <v>49200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2.6%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4.0999999999999996</v>
      </c>
      <c r="G44" s="206">
        <f>ROUND(G60-G41,-2)</f>
        <v>35500</v>
      </c>
      <c r="H44" s="159">
        <f>ROUND(H60-H41,-2)</f>
        <v>6200</v>
      </c>
      <c r="I44" s="159">
        <f>ROUND(I60-I41,-2)</f>
        <v>7600</v>
      </c>
      <c r="J44" s="159">
        <f>SUM(G44:I44)</f>
        <v>49300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2.6%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4.0999999999999996</v>
      </c>
      <c r="G45" s="206">
        <f>ROUND(G67-G41-G63,-2)</f>
        <v>35500</v>
      </c>
      <c r="H45" s="206">
        <f>ROUND(H67-H41-H63,-2)</f>
        <v>6200</v>
      </c>
      <c r="I45" s="206">
        <f>ROUND(I67-I41-I63,-2)</f>
        <v>7600</v>
      </c>
      <c r="J45" s="159">
        <f>SUM(G45:I45)</f>
        <v>49300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2.6%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1879400</v>
      </c>
      <c r="F51" s="272">
        <f>AppropFTP</f>
        <v>23.7</v>
      </c>
      <c r="G51" s="274">
        <f>IF(E51=0,0,(G41/$J$41)*$E$51)</f>
        <v>1356313.5677114553</v>
      </c>
      <c r="H51" s="274">
        <f>IF(E51=0,0,(H41/$J$41)*$E$51)</f>
        <v>234485.38106391416</v>
      </c>
      <c r="I51" s="275">
        <f>IF(E51=0,0,(I41/$J$41)*$E$51)</f>
        <v>288601.05122463073</v>
      </c>
      <c r="J51" s="90">
        <f>SUM(G51:I51)</f>
        <v>1879400.0000000002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23.7</v>
      </c>
      <c r="G52" s="79">
        <f>ROUND(G51,-2)</f>
        <v>1356300</v>
      </c>
      <c r="H52" s="79">
        <f>ROUND(H51,-2)</f>
        <v>234500</v>
      </c>
      <c r="I52" s="266">
        <f>ROUND(I51,-2)</f>
        <v>288600</v>
      </c>
      <c r="J52" s="80">
        <f>ROUND(J51,-2)</f>
        <v>1879400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23.7</v>
      </c>
      <c r="G56" s="80">
        <f>SUM(G52:G55)</f>
        <v>1356300</v>
      </c>
      <c r="H56" s="80">
        <f>SUM(H52:H55)</f>
        <v>234500</v>
      </c>
      <c r="I56" s="260">
        <f>SUM(I52:I55)</f>
        <v>288600</v>
      </c>
      <c r="J56" s="80">
        <f>SUM(J52:J55)</f>
        <v>1879400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23.7</v>
      </c>
      <c r="G60" s="80">
        <f>SUM(G56:G59)</f>
        <v>1356300</v>
      </c>
      <c r="H60" s="80">
        <f>SUM(H56:H59)</f>
        <v>234500</v>
      </c>
      <c r="I60" s="260">
        <f>SUM(I56:I59)</f>
        <v>288600</v>
      </c>
      <c r="J60" s="80">
        <f>SUM(J56:J59)</f>
        <v>1879400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23.7</v>
      </c>
      <c r="G67" s="80">
        <f>SUM(G60:G64)</f>
        <v>1356300</v>
      </c>
      <c r="H67" s="80">
        <f>SUM(H60:H64)</f>
        <v>234500</v>
      </c>
      <c r="I67" s="80">
        <f>SUM(I60:I64)</f>
        <v>288600</v>
      </c>
      <c r="J67" s="80">
        <f>SUM(J60:J64)</f>
        <v>1879400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-6800</v>
      </c>
      <c r="J69" s="287">
        <f>SUM(G69:I69)</f>
        <v>-6800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13100</v>
      </c>
      <c r="H72" s="287"/>
      <c r="I72" s="287">
        <f>ROUND(($G72*PermVBBY+$G72*Retire1BY),-2)</f>
        <v>2700</v>
      </c>
      <c r="J72" s="113">
        <f>SUM(G72:I72)</f>
        <v>15800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23.7</v>
      </c>
      <c r="G75" s="80">
        <f>SUM(G67:G74)</f>
        <v>1369500</v>
      </c>
      <c r="H75" s="80">
        <f>SUM(H67:H74)</f>
        <v>234500</v>
      </c>
      <c r="I75" s="80">
        <f>SUM(I67:I74)</f>
        <v>284500</v>
      </c>
      <c r="J75" s="80">
        <f>SUM(J67:K74)</f>
        <v>1888500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23.7</v>
      </c>
      <c r="G80" s="80">
        <f>SUM(G75:G79)</f>
        <v>1369500</v>
      </c>
      <c r="H80" s="80">
        <f>SUM(H75:H79)</f>
        <v>234500</v>
      </c>
      <c r="I80" s="80">
        <f>SUM(I75:I79)</f>
        <v>284500</v>
      </c>
      <c r="J80" s="80">
        <f>SUM(J75:J79)</f>
        <v>1888500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3" priority="5">
      <formula>$J$44&lt;0</formula>
    </cfRule>
  </conditionalFormatting>
  <conditionalFormatting sqref="K43">
    <cfRule type="expression" dxfId="22" priority="4">
      <formula>$J$43&lt;0</formula>
    </cfRule>
  </conditionalFormatting>
  <conditionalFormatting sqref="L16">
    <cfRule type="expression" dxfId="21" priority="3">
      <formula>$J$16&lt;0</formula>
    </cfRule>
  </conditionalFormatting>
  <conditionalFormatting sqref="K45">
    <cfRule type="expression" dxfId="20" priority="2">
      <formula>$J$44&lt;0</formula>
    </cfRule>
  </conditionalFormatting>
  <conditionalFormatting sqref="K43:N45">
    <cfRule type="containsText" dxfId="19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84532C-B096-4C7A-B34F-2B15846CB57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6A590-18CC-43D5-A9E3-69788114BFC0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742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140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742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746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756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460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744</v>
      </c>
      <c r="J5" s="410"/>
      <c r="K5" s="410"/>
      <c r="L5" s="409"/>
      <c r="M5" s="352" t="s">
        <v>115</v>
      </c>
      <c r="N5" s="32" t="s">
        <v>745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"&amp;'SCCA|0001-00'!FiscalYear-1&amp;" SALARY"</f>
        <v>FY 2022 SALARY</v>
      </c>
      <c r="H8" s="50" t="str">
        <f>"FY "&amp;'SCCA|0001-00'!FiscalYear-1&amp;" HEALTH BENEFITS"</f>
        <v>FY 2022 HEALTH BENEFITS</v>
      </c>
      <c r="I8" s="50" t="str">
        <f>"FY "&amp;'SCCA|0001-00'!FiscalYear-1&amp;" VAR BENEFITS"</f>
        <v>FY 2022 VAR BENEFITS</v>
      </c>
      <c r="J8" s="50" t="str">
        <f>"FY "&amp;'SCCA|0001-00'!FiscalYear-1&amp;" TOTAL"</f>
        <v>FY 2022 TOTAL</v>
      </c>
      <c r="K8" s="50" t="str">
        <f>"FY "&amp;'SCCA|0001-00'!FiscalYear&amp;" SALARY CHANGE"</f>
        <v>FY 2023 SALARY CHANGE</v>
      </c>
      <c r="L8" s="50" t="str">
        <f>"FY "&amp;'SCCA|0001-00'!FiscalYear&amp;" CHG HEALTH BENEFITS"</f>
        <v>FY 2023 CHG HEALTH BENEFITS</v>
      </c>
      <c r="M8" s="50" t="str">
        <f>"FY "&amp;'SCCA|0001-00'!FiscalYear&amp;"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[0]!SCCA000100col_INC_FTI</f>
        <v>16.600000000000001</v>
      </c>
      <c r="G10" s="218">
        <f>[0]!SCCA000100col_FTI_SALARY_PERM</f>
        <v>1071439.6100000001</v>
      </c>
      <c r="H10" s="218">
        <f>[0]!SCCA000100col_HEALTH_PERM</f>
        <v>193390</v>
      </c>
      <c r="I10" s="218">
        <f>[0]!SCCA000100col_TOT_VB_PERM</f>
        <v>225120.17645709999</v>
      </c>
      <c r="J10" s="219">
        <f>SUM(G10:I10)</f>
        <v>1489949.7864571002</v>
      </c>
      <c r="K10" s="219">
        <f>[0]!SCCA000100col_1_27TH_PP</f>
        <v>0</v>
      </c>
      <c r="L10" s="218">
        <f>[0]!SCCA000100col_HEALTH_PERM_CHG</f>
        <v>0</v>
      </c>
      <c r="M10" s="218">
        <f>[0]!SCCA000100col_TOT_VB_PERM_CHG</f>
        <v>-5571.4859719999986</v>
      </c>
      <c r="N10" s="218">
        <f>SUM(L10:M10)</f>
        <v>-5571.4859719999986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10700</v>
      </c>
      <c r="AB10" s="335">
        <f>ROUND(PermVarBen*CECPerm+(CECPerm*PermVarBenChg),-2)</f>
        <v>2200</v>
      </c>
      <c r="AC10" s="335">
        <f>SUM(AA10:AB10)</f>
        <v>12900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[0]!SCCA000100col_Group_Salary</f>
        <v>3165.65</v>
      </c>
      <c r="H11" s="218">
        <v>0</v>
      </c>
      <c r="I11" s="218">
        <f>[0]!SCCA000100col_Group_Ben</f>
        <v>1781.94</v>
      </c>
      <c r="J11" s="219">
        <f>SUM(G11:I11)</f>
        <v>4947.59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[0]!SCCA000100col_TOTAL_ELECT_PCN_FTI</f>
        <v>0</v>
      </c>
      <c r="G12" s="218">
        <f>[0]!SCCA000100col_FTI_SALARY_ELECT</f>
        <v>0</v>
      </c>
      <c r="H12" s="218">
        <f>[0]!SCCA000100col_HEALTH_ELECT</f>
        <v>0</v>
      </c>
      <c r="I12" s="218">
        <f>[0]!SCCA000100col_TOT_VB_ELECT</f>
        <v>0</v>
      </c>
      <c r="J12" s="219">
        <f>SUM(G12:I12)</f>
        <v>0</v>
      </c>
      <c r="K12" s="268"/>
      <c r="L12" s="218">
        <f>[0]!SCCA000100col_HEALTH_ELECT_CHG</f>
        <v>0</v>
      </c>
      <c r="M12" s="218">
        <f>[0]!SCCA000100col_TOT_VB_ELECT_CHG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16.600000000000001</v>
      </c>
      <c r="G13" s="221">
        <f>SUM(G10:G12)</f>
        <v>1074605.26</v>
      </c>
      <c r="H13" s="221">
        <f>SUM(H10:H12)</f>
        <v>193390</v>
      </c>
      <c r="I13" s="221">
        <f>SUM(I10:I12)</f>
        <v>226902.1164571</v>
      </c>
      <c r="J13" s="219">
        <f>SUM(G13:I13)</f>
        <v>1494897.3764571</v>
      </c>
      <c r="K13" s="268"/>
      <c r="L13" s="219">
        <f>SUM(L10:L12)</f>
        <v>0</v>
      </c>
      <c r="M13" s="219">
        <f>SUM(M10:M12)</f>
        <v>-5571.4859719999986</v>
      </c>
      <c r="N13" s="219">
        <f>SUM(N10:N12)</f>
        <v>-5571.4859719999986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"&amp;'SCCA|0001-00'!FiscalYear-1</f>
        <v>FY 2022</v>
      </c>
      <c r="D15" s="158" t="s">
        <v>31</v>
      </c>
      <c r="E15" s="355">
        <v>1590699.88</v>
      </c>
      <c r="F15" s="55">
        <v>17.7</v>
      </c>
      <c r="G15" s="223">
        <f>IF(OrigApprop=0,0,(G13/$J$13)*OrigApprop)</f>
        <v>1143472.7795031511</v>
      </c>
      <c r="H15" s="223">
        <f>IF(OrigApprop=0,0,(H13/$J$13)*OrigApprop)</f>
        <v>205783.65755264813</v>
      </c>
      <c r="I15" s="223">
        <f>IF(G15=0,0,(I13/$J$13)*OrigApprop)</f>
        <v>241443.44294420059</v>
      </c>
      <c r="J15" s="223">
        <f>SUM(G15:I15)</f>
        <v>1590699.88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1.0999999999999979</v>
      </c>
      <c r="G16" s="162">
        <f>G15-G13</f>
        <v>68867.519503151067</v>
      </c>
      <c r="H16" s="162">
        <f>H15-H13</f>
        <v>12393.657552648132</v>
      </c>
      <c r="I16" s="162">
        <f>I15-I13</f>
        <v>14541.326487100596</v>
      </c>
      <c r="J16" s="162">
        <f>J15-J13</f>
        <v>95802.503542899853</v>
      </c>
      <c r="K16" s="269"/>
      <c r="L16" s="56" t="str">
        <f>IF('SCCA|0001-00'!OrigApprop=0,"ERROR! Enter Original Appropriation amount in DU 3.00!","Calculated "&amp;IF('SCCA|0001-00'!AdjustedTotal&gt;0,"overfunding ","underfunding ")&amp;"is "&amp;TEXT('SCCA|0001-00'!AdjustedTotal/'SCCA|0001-00'!AppropTotal,"#.0%;(#.0% );0% ;")&amp;" of Original Appropriation")</f>
        <v>Calculated overfunding is 6.0%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16.600000000000001</v>
      </c>
      <c r="G38" s="191">
        <f>SUMIF($E10:$E35,$E38,$G10:$G35)</f>
        <v>1071439.6100000001</v>
      </c>
      <c r="H38" s="192">
        <f>SUMIF($E10:$E35,$E38,$H10:$H35)</f>
        <v>193390</v>
      </c>
      <c r="I38" s="192">
        <f>SUMIF($E10:$E35,$E38,$I10:$I35)</f>
        <v>225120.17645709999</v>
      </c>
      <c r="J38" s="192">
        <f>SUM(G38:I38)</f>
        <v>1489949.7864571002</v>
      </c>
      <c r="K38" s="166"/>
      <c r="L38" s="191">
        <f>SUMIF($E10:$E35,$E38,$L10:$L35)</f>
        <v>0</v>
      </c>
      <c r="M38" s="192">
        <f>SUMIF($E10:$E35,$E38,$M10:$M35)</f>
        <v>-5571.4859719999986</v>
      </c>
      <c r="N38" s="192">
        <f>SUM(L38:M38)</f>
        <v>-5571.4859719999986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10700</v>
      </c>
      <c r="AB38" s="338">
        <f>ROUND((AdjPermVB*CECPerm+AdjPermVBBY*CECPerm),-2)</f>
        <v>2200</v>
      </c>
      <c r="AC38" s="338">
        <f>SUM(AA38:AB38)</f>
        <v>12900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3165.65</v>
      </c>
      <c r="H39" s="152">
        <f>SUMIF($E10:$E35,$E39,$H10:$H35)</f>
        <v>0</v>
      </c>
      <c r="I39" s="152">
        <f>SUMIF($E10:$E35,$E39,$I10:$I35)</f>
        <v>1781.94</v>
      </c>
      <c r="J39" s="152">
        <f>SUM(G39:I39)</f>
        <v>4947.59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16.600000000000001</v>
      </c>
      <c r="G41" s="195">
        <f>SUM($G$38:$G$40)</f>
        <v>1074605.26</v>
      </c>
      <c r="H41" s="162">
        <f>SUM($H$38:$H$40)</f>
        <v>193390</v>
      </c>
      <c r="I41" s="162">
        <f>SUM($I$38:$I$40)</f>
        <v>226902.1164571</v>
      </c>
      <c r="J41" s="162">
        <f>SUM($J$38:$J$40)</f>
        <v>1494897.3764571003</v>
      </c>
      <c r="K41" s="259"/>
      <c r="L41" s="195">
        <f>SUM($L$38:$L$40)</f>
        <v>0</v>
      </c>
      <c r="M41" s="162">
        <f>SUM($M$38:$M$40)</f>
        <v>-5571.4859719999986</v>
      </c>
      <c r="N41" s="162">
        <f>SUM(L41:M41)</f>
        <v>-5571.4859719999986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1.1000000000000001</v>
      </c>
      <c r="G43" s="206">
        <f>ROUND(G51-G41,-2)</f>
        <v>68900</v>
      </c>
      <c r="H43" s="159">
        <f>ROUND(H51-H41,-2)</f>
        <v>12400</v>
      </c>
      <c r="I43" s="159">
        <f>ROUND(I51-I41,-2)</f>
        <v>14500</v>
      </c>
      <c r="J43" s="159">
        <f>SUM(G43:I43)</f>
        <v>95800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6.0%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1.1000000000000001</v>
      </c>
      <c r="G44" s="206">
        <f>ROUND(G60-G41,-2)</f>
        <v>68900</v>
      </c>
      <c r="H44" s="159">
        <f>ROUND(H60-H41,-2)</f>
        <v>12400</v>
      </c>
      <c r="I44" s="159">
        <f>ROUND(I60-I41,-2)</f>
        <v>14500</v>
      </c>
      <c r="J44" s="159">
        <f>SUM(G44:I44)</f>
        <v>95800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6.0%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1.1000000000000001</v>
      </c>
      <c r="G45" s="206">
        <f>ROUND(G67-G41-G63,-2)</f>
        <v>68900</v>
      </c>
      <c r="H45" s="206">
        <f>ROUND(H67-H41-H63,-2)</f>
        <v>12400</v>
      </c>
      <c r="I45" s="206">
        <f>ROUND(I67-I41-I63,-2)</f>
        <v>14500</v>
      </c>
      <c r="J45" s="159">
        <f>SUM(G45:I45)</f>
        <v>95800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6.0%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1590699.88</v>
      </c>
      <c r="F51" s="272">
        <f>AppropFTP</f>
        <v>17.7</v>
      </c>
      <c r="G51" s="274">
        <f>IF(E51=0,0,(G41/$J$41)*$E$51)</f>
        <v>1143472.7795031511</v>
      </c>
      <c r="H51" s="274">
        <f>IF(E51=0,0,(H41/$J$41)*$E$51)</f>
        <v>205783.6575526481</v>
      </c>
      <c r="I51" s="275">
        <f>IF(E51=0,0,(I41/$J$41)*$E$51)</f>
        <v>241443.44294420053</v>
      </c>
      <c r="J51" s="90">
        <f>SUM(G51:I51)</f>
        <v>1590699.8799999997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17.7</v>
      </c>
      <c r="G52" s="79">
        <f>ROUND(G51,-2)</f>
        <v>1143500</v>
      </c>
      <c r="H52" s="79">
        <f>ROUND(H51,-2)</f>
        <v>205800</v>
      </c>
      <c r="I52" s="266">
        <f>ROUND(I51,-2)</f>
        <v>241400</v>
      </c>
      <c r="J52" s="80">
        <f>ROUND(J51,-2)</f>
        <v>1590700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17.7</v>
      </c>
      <c r="G56" s="80">
        <f>SUM(G52:G55)</f>
        <v>1143500</v>
      </c>
      <c r="H56" s="80">
        <f>SUM(H52:H55)</f>
        <v>205800</v>
      </c>
      <c r="I56" s="260">
        <f>SUM(I52:I55)</f>
        <v>241400</v>
      </c>
      <c r="J56" s="80">
        <f>SUM(J52:J55)</f>
        <v>1590700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17.7</v>
      </c>
      <c r="G60" s="80">
        <f>SUM(G56:G59)</f>
        <v>1143500</v>
      </c>
      <c r="H60" s="80">
        <f>SUM(H56:H59)</f>
        <v>205800</v>
      </c>
      <c r="I60" s="260">
        <f>SUM(I56:I59)</f>
        <v>241400</v>
      </c>
      <c r="J60" s="80">
        <f>SUM(J56:J59)</f>
        <v>1590700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17.7</v>
      </c>
      <c r="G67" s="80">
        <f>SUM(G60:G64)</f>
        <v>1143500</v>
      </c>
      <c r="H67" s="80">
        <f>SUM(H60:H64)</f>
        <v>205800</v>
      </c>
      <c r="I67" s="80">
        <f>SUM(I60:I64)</f>
        <v>241400</v>
      </c>
      <c r="J67" s="80">
        <f>SUM(J60:J64)</f>
        <v>1590700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-5600</v>
      </c>
      <c r="J69" s="287">
        <f>SUM(G69:I69)</f>
        <v>-5600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10700</v>
      </c>
      <c r="H72" s="287"/>
      <c r="I72" s="287">
        <f>ROUND(($G72*PermVBBY+$G72*Retire1BY),-2)</f>
        <v>2200</v>
      </c>
      <c r="J72" s="113">
        <f>SUM(G72:I72)</f>
        <v>12900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17.7</v>
      </c>
      <c r="G75" s="80">
        <f>SUM(G67:G74)</f>
        <v>1154200</v>
      </c>
      <c r="H75" s="80">
        <f>SUM(H67:H74)</f>
        <v>205800</v>
      </c>
      <c r="I75" s="80">
        <f>SUM(I67:I74)</f>
        <v>238000</v>
      </c>
      <c r="J75" s="80">
        <f>SUM(J67:K74)</f>
        <v>1598000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17.7</v>
      </c>
      <c r="G80" s="80">
        <f>SUM(G75:G79)</f>
        <v>1154200</v>
      </c>
      <c r="H80" s="80">
        <f>SUM(H75:H79)</f>
        <v>205800</v>
      </c>
      <c r="I80" s="80">
        <f>SUM(I75:I79)</f>
        <v>238000</v>
      </c>
      <c r="J80" s="80">
        <f>SUM(J75:J79)</f>
        <v>1598000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8" priority="5">
      <formula>$J$44&lt;0</formula>
    </cfRule>
  </conditionalFormatting>
  <conditionalFormatting sqref="K43">
    <cfRule type="expression" dxfId="17" priority="4">
      <formula>$J$43&lt;0</formula>
    </cfRule>
  </conditionalFormatting>
  <conditionalFormatting sqref="L16">
    <cfRule type="expression" dxfId="16" priority="3">
      <formula>$J$16&lt;0</formula>
    </cfRule>
  </conditionalFormatting>
  <conditionalFormatting sqref="K45">
    <cfRule type="expression" dxfId="15" priority="2">
      <formula>$J$44&lt;0</formula>
    </cfRule>
  </conditionalFormatting>
  <conditionalFormatting sqref="K43:N45">
    <cfRule type="containsText" dxfId="1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051363-7791-49C2-A9D1-2BBBF570597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4685-57B4-4BB3-A0E8-FF452496A2D0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742</v>
      </c>
      <c r="E1" s="15"/>
      <c r="F1" s="15"/>
      <c r="G1" s="15"/>
      <c r="H1" s="15"/>
      <c r="I1" s="15"/>
      <c r="J1" s="15"/>
      <c r="K1" s="15"/>
      <c r="L1" s="16" t="s">
        <v>14</v>
      </c>
      <c r="M1" s="406">
        <v>140</v>
      </c>
      <c r="N1" s="407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742</v>
      </c>
      <c r="E2" s="21"/>
      <c r="F2" s="21"/>
      <c r="G2" s="21"/>
      <c r="H2" s="21"/>
      <c r="I2" s="21"/>
      <c r="J2" s="20"/>
      <c r="K2" s="20"/>
      <c r="L2" s="22" t="s">
        <v>113</v>
      </c>
      <c r="M2" s="408" t="s">
        <v>763</v>
      </c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760</v>
      </c>
      <c r="E3" s="24"/>
      <c r="F3" s="25"/>
      <c r="G3" s="25"/>
      <c r="H3" s="25"/>
      <c r="I3" s="26"/>
      <c r="J3" s="20"/>
      <c r="K3" s="20"/>
      <c r="L3" s="22" t="s">
        <v>114</v>
      </c>
      <c r="M3" s="406" t="s">
        <v>502</v>
      </c>
      <c r="N3" s="407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 t="s">
        <v>761</v>
      </c>
      <c r="J5" s="410"/>
      <c r="K5" s="410"/>
      <c r="L5" s="409"/>
      <c r="M5" s="352" t="s">
        <v>115</v>
      </c>
      <c r="N5" s="32" t="s">
        <v>762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11" t="s">
        <v>22</v>
      </c>
      <c r="D8" s="412"/>
      <c r="E8" s="370" t="s">
        <v>23</v>
      </c>
      <c r="F8" s="49" t="s">
        <v>24</v>
      </c>
      <c r="G8" s="50" t="str">
        <f>"FY "&amp;'SCDA|0480-00'!FiscalYear-1&amp;" SALARY"</f>
        <v>FY 2022 SALARY</v>
      </c>
      <c r="H8" s="50" t="str">
        <f>"FY "&amp;'SCDA|0480-00'!FiscalYear-1&amp;" HEALTH BENEFITS"</f>
        <v>FY 2022 HEALTH BENEFITS</v>
      </c>
      <c r="I8" s="50" t="str">
        <f>"FY "&amp;'SCDA|0480-00'!FiscalYear-1&amp;" VAR BENEFITS"</f>
        <v>FY 2022 VAR BENEFITS</v>
      </c>
      <c r="J8" s="50" t="str">
        <f>"FY "&amp;'SCDA|0480-00'!FiscalYear-1&amp;" TOTAL"</f>
        <v>FY 2022 TOTAL</v>
      </c>
      <c r="K8" s="50" t="str">
        <f>"FY "&amp;'SCDA|0480-00'!FiscalYear&amp;" SALARY CHANGE"</f>
        <v>FY 2023 SALARY CHANGE</v>
      </c>
      <c r="L8" s="50" t="str">
        <f>"FY "&amp;'SCDA|0480-00'!FiscalYear&amp;" CHG HEALTH BENEFITS"</f>
        <v>FY 2023 CHG HEALTH BENEFITS</v>
      </c>
      <c r="M8" s="50" t="str">
        <f>"FY "&amp;'SCDA|0480-00'!FiscalYear&amp;"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f>[0]!SCDA048000col_INC_FTI</f>
        <v>45.819999999999993</v>
      </c>
      <c r="G10" s="218">
        <f>[0]!SCDA048000col_FTI_SALARY_PERM</f>
        <v>3518620.9699999997</v>
      </c>
      <c r="H10" s="218">
        <f>[0]!SCDA048000col_HEALTH_PERM</f>
        <v>536133</v>
      </c>
      <c r="I10" s="218">
        <f>[0]!SCDA048000col_TOT_VB_PERM</f>
        <v>739297.45200669998</v>
      </c>
      <c r="J10" s="219">
        <f>SUM(G10:I10)</f>
        <v>4794051.4220067002</v>
      </c>
      <c r="K10" s="219">
        <f>[0]!SCDA048000col_1_27TH_PP</f>
        <v>0</v>
      </c>
      <c r="L10" s="218">
        <f>[0]!SCDA048000col_HEALTH_PERM_CHG</f>
        <v>0</v>
      </c>
      <c r="M10" s="218">
        <f>[0]!SCDA048000col_TOT_VB_PERM_CHG</f>
        <v>-18296.829044000002</v>
      </c>
      <c r="N10" s="218">
        <f>SUM(L10:M10)</f>
        <v>-18296.829044000002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35200</v>
      </c>
      <c r="AB10" s="335">
        <f>ROUND(PermVarBen*CECPerm+(CECPerm*PermVarBenChg),-2)</f>
        <v>7200</v>
      </c>
      <c r="AC10" s="335">
        <f>SUM(AA10:AB10)</f>
        <v>42400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f>[0]!SCDA048000col_Group_Salary</f>
        <v>8996.1200000000008</v>
      </c>
      <c r="H11" s="218">
        <v>0</v>
      </c>
      <c r="I11" s="218">
        <f>[0]!SCDA048000col_Group_Ben</f>
        <v>5270.9000000000005</v>
      </c>
      <c r="J11" s="219">
        <f>SUM(G11:I11)</f>
        <v>14267.02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f>[0]!SCDA048000col_TOTAL_ELECT_PCN_FTI</f>
        <v>0</v>
      </c>
      <c r="G12" s="218">
        <f>[0]!SCDA048000col_FTI_SALARY_ELECT</f>
        <v>0</v>
      </c>
      <c r="H12" s="218">
        <f>[0]!SCDA048000col_HEALTH_ELECT</f>
        <v>0</v>
      </c>
      <c r="I12" s="218">
        <f>[0]!SCDA048000col_TOT_VB_ELECT</f>
        <v>0</v>
      </c>
      <c r="J12" s="219">
        <f>SUM(G12:I12)</f>
        <v>0</v>
      </c>
      <c r="K12" s="268"/>
      <c r="L12" s="218">
        <f>[0]!SCDA048000col_HEALTH_ELECT_CHG</f>
        <v>0</v>
      </c>
      <c r="M12" s="218">
        <f>[0]!SCDA048000col_TOT_VB_ELECT_CHG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45.819999999999993</v>
      </c>
      <c r="G13" s="221">
        <f>SUM(G10:G12)</f>
        <v>3527617.09</v>
      </c>
      <c r="H13" s="221">
        <f>SUM(H10:H12)</f>
        <v>536133</v>
      </c>
      <c r="I13" s="221">
        <f>SUM(I10:I12)</f>
        <v>744568.35200670001</v>
      </c>
      <c r="J13" s="219">
        <f>SUM(G13:I13)</f>
        <v>4808318.4420066997</v>
      </c>
      <c r="K13" s="268"/>
      <c r="L13" s="219">
        <f>SUM(L10:L12)</f>
        <v>0</v>
      </c>
      <c r="M13" s="219">
        <f>SUM(M10:M12)</f>
        <v>-18296.829044000002</v>
      </c>
      <c r="N13" s="219">
        <f>SUM(N10:N12)</f>
        <v>-18296.829044000002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"&amp;'SCDA|0480-00'!FiscalYear-1</f>
        <v>FY 2022</v>
      </c>
      <c r="D15" s="158" t="s">
        <v>31</v>
      </c>
      <c r="E15" s="355">
        <v>5309200</v>
      </c>
      <c r="F15" s="55">
        <v>52.3</v>
      </c>
      <c r="G15" s="223">
        <f>IF(OrigApprop=0,0,(G13/$J$13)*OrigApprop)</f>
        <v>3895088.2476102659</v>
      </c>
      <c r="H15" s="223">
        <f>IF(OrigApprop=0,0,(H13/$J$13)*OrigApprop)</f>
        <v>591981.86599556205</v>
      </c>
      <c r="I15" s="223">
        <f>IF(G15=0,0,(I13/$J$13)*OrigApprop)</f>
        <v>822129.88639417232</v>
      </c>
      <c r="J15" s="223">
        <f>SUM(G15:I15)</f>
        <v>5309200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6.480000000000004</v>
      </c>
      <c r="G16" s="162">
        <f>G15-G13</f>
        <v>367471.157610266</v>
      </c>
      <c r="H16" s="162">
        <f>H15-H13</f>
        <v>55848.865995562053</v>
      </c>
      <c r="I16" s="162">
        <f>I15-I13</f>
        <v>77561.534387472318</v>
      </c>
      <c r="J16" s="162">
        <f>J15-J13</f>
        <v>500881.55799330026</v>
      </c>
      <c r="K16" s="269"/>
      <c r="L16" s="56" t="str">
        <f>IF('SCDA|0480-00'!OrigApprop=0,"ERROR! Enter Original Appropriation amount in DU 3.00!","Calculated "&amp;IF('SCDA|0480-00'!AdjustedTotal&gt;0,"overfunding ","underfunding ")&amp;"is "&amp;TEXT('SCDA|0480-00'!AdjustedTotal/'SCDA|0480-00'!AppropTotal,"#.0%;(#.0% );0% ;")&amp;" of Original Appropriation")</f>
        <v>Calculated overfunding is 9.4%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45.819999999999993</v>
      </c>
      <c r="G38" s="191">
        <f>SUMIF($E10:$E35,$E38,$G10:$G35)</f>
        <v>3518620.9699999997</v>
      </c>
      <c r="H38" s="192">
        <f>SUMIF($E10:$E35,$E38,$H10:$H35)</f>
        <v>536133</v>
      </c>
      <c r="I38" s="192">
        <f>SUMIF($E10:$E35,$E38,$I10:$I35)</f>
        <v>739297.45200669998</v>
      </c>
      <c r="J38" s="192">
        <f>SUM(G38:I38)</f>
        <v>4794051.4220067002</v>
      </c>
      <c r="K38" s="166"/>
      <c r="L38" s="191">
        <f>SUMIF($E10:$E35,$E38,$L10:$L35)</f>
        <v>0</v>
      </c>
      <c r="M38" s="192">
        <f>SUMIF($E10:$E35,$E38,$M10:$M35)</f>
        <v>-18296.829044000002</v>
      </c>
      <c r="N38" s="192">
        <f>SUM(L38:M38)</f>
        <v>-18296.829044000002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35200</v>
      </c>
      <c r="AB38" s="338">
        <f>ROUND((AdjPermVB*CECPerm+AdjPermVBBY*CECPerm),-2)</f>
        <v>7200</v>
      </c>
      <c r="AC38" s="338">
        <f>SUM(AA38:AB38)</f>
        <v>42400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8996.1200000000008</v>
      </c>
      <c r="H39" s="152">
        <f>SUMIF($E10:$E35,$E39,$H10:$H35)</f>
        <v>0</v>
      </c>
      <c r="I39" s="152">
        <f>SUMIF($E10:$E35,$E39,$I10:$I35)</f>
        <v>5270.9000000000005</v>
      </c>
      <c r="J39" s="152">
        <f>SUM(G39:I39)</f>
        <v>14267.02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100</v>
      </c>
      <c r="AC39" s="338">
        <f>SUM(AA39:AB39)</f>
        <v>200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45.819999999999993</v>
      </c>
      <c r="G41" s="195">
        <f>SUM($G$38:$G$40)</f>
        <v>3527617.09</v>
      </c>
      <c r="H41" s="162">
        <f>SUM($H$38:$H$40)</f>
        <v>536133</v>
      </c>
      <c r="I41" s="162">
        <f>SUM($I$38:$I$40)</f>
        <v>744568.35200670001</v>
      </c>
      <c r="J41" s="162">
        <f>SUM($J$38:$J$40)</f>
        <v>4808318.4420066997</v>
      </c>
      <c r="K41" s="259"/>
      <c r="L41" s="195">
        <f>SUM($L$38:$L$40)</f>
        <v>0</v>
      </c>
      <c r="M41" s="162">
        <f>SUM($M$38:$M$40)</f>
        <v>-18296.829044000002</v>
      </c>
      <c r="N41" s="162">
        <f>SUM(L41:M41)</f>
        <v>-18296.829044000002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6.48</v>
      </c>
      <c r="G43" s="206">
        <f>ROUND(G51-G41,-2)</f>
        <v>367500</v>
      </c>
      <c r="H43" s="159">
        <f>ROUND(H51-H41,-2)</f>
        <v>55800</v>
      </c>
      <c r="I43" s="159">
        <f>ROUND(I51-I41,-2)</f>
        <v>77600</v>
      </c>
      <c r="J43" s="159">
        <f>SUM(G43:I43)</f>
        <v>500900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Calculated overfunding is 9.4% of Original Appropriation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6.48</v>
      </c>
      <c r="G44" s="206">
        <f>ROUND(G60-G41,-2)</f>
        <v>367500</v>
      </c>
      <c r="H44" s="159">
        <f>ROUND(H60-H41,-2)</f>
        <v>55900</v>
      </c>
      <c r="I44" s="159">
        <f>ROUND(I60-I41,-2)</f>
        <v>77500</v>
      </c>
      <c r="J44" s="159">
        <f>SUM(G44:I44)</f>
        <v>500900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Calculated overfunding is 9.4% of Estimated Expenditures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6.48</v>
      </c>
      <c r="G45" s="206">
        <f>ROUND(G67-G41-G63,-2)</f>
        <v>367500</v>
      </c>
      <c r="H45" s="206">
        <f>ROUND(H67-H41-H63,-2)</f>
        <v>55900</v>
      </c>
      <c r="I45" s="206">
        <f>ROUND(I67-I41-I63,-2)</f>
        <v>77500</v>
      </c>
      <c r="J45" s="159">
        <f>SUM(G45:I45)</f>
        <v>500900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9.4% of the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100</v>
      </c>
      <c r="AC45" s="338">
        <f>SUM(AA45:AB45)</f>
        <v>100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5309200</v>
      </c>
      <c r="F51" s="272">
        <f>AppropFTP</f>
        <v>52.3</v>
      </c>
      <c r="G51" s="274">
        <f>IF(E51=0,0,(G41/$J$41)*$E$51)</f>
        <v>3895088.2476102659</v>
      </c>
      <c r="H51" s="274">
        <f>IF(E51=0,0,(H41/$J$41)*$E$51)</f>
        <v>591981.86599556205</v>
      </c>
      <c r="I51" s="275">
        <f>IF(E51=0,0,(I41/$J$41)*$E$51)</f>
        <v>822129.88639417232</v>
      </c>
      <c r="J51" s="90">
        <f>SUM(G51:I51)</f>
        <v>5309200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52.3</v>
      </c>
      <c r="G52" s="79">
        <f>ROUND(G51,-2)</f>
        <v>3895100</v>
      </c>
      <c r="H52" s="79">
        <f>ROUND(H51,-2)</f>
        <v>592000</v>
      </c>
      <c r="I52" s="266">
        <f>ROUND(I51,-2)</f>
        <v>822100</v>
      </c>
      <c r="J52" s="80">
        <f>ROUND(J51,-2)</f>
        <v>5309200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52.3</v>
      </c>
      <c r="G56" s="80">
        <f>SUM(G52:G55)</f>
        <v>3895100</v>
      </c>
      <c r="H56" s="80">
        <f>SUM(H52:H55)</f>
        <v>592000</v>
      </c>
      <c r="I56" s="260">
        <f>SUM(I52:I55)</f>
        <v>822100</v>
      </c>
      <c r="J56" s="80">
        <f>SUM(J52:J55)</f>
        <v>5309200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52.3</v>
      </c>
      <c r="G60" s="80">
        <f>SUM(G56:G59)</f>
        <v>3895100</v>
      </c>
      <c r="H60" s="80">
        <f>SUM(H56:H59)</f>
        <v>592000</v>
      </c>
      <c r="I60" s="260">
        <f>SUM(I56:I59)</f>
        <v>822100</v>
      </c>
      <c r="J60" s="80">
        <f>SUM(J56:J59)</f>
        <v>5309200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52.3</v>
      </c>
      <c r="G67" s="80">
        <f>SUM(G60:G64)</f>
        <v>3895100</v>
      </c>
      <c r="H67" s="80">
        <f>SUM(H60:H64)</f>
        <v>592000</v>
      </c>
      <c r="I67" s="80">
        <f>SUM(I60:I64)</f>
        <v>822100</v>
      </c>
      <c r="J67" s="80">
        <f>SUM(J60:J64)</f>
        <v>5309200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-18300</v>
      </c>
      <c r="J69" s="287">
        <f>SUM(G69:I69)</f>
        <v>-18300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35200</v>
      </c>
      <c r="H72" s="287"/>
      <c r="I72" s="287">
        <f>ROUND(($G72*PermVBBY+$G72*Retire1BY),-2)</f>
        <v>7200</v>
      </c>
      <c r="J72" s="113">
        <f>SUM(G72:I72)</f>
        <v>42400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52.3</v>
      </c>
      <c r="G75" s="80">
        <f>SUM(G67:G74)</f>
        <v>3930400</v>
      </c>
      <c r="H75" s="80">
        <f>SUM(H67:H74)</f>
        <v>592000</v>
      </c>
      <c r="I75" s="80">
        <f>SUM(I67:I74)</f>
        <v>811000</v>
      </c>
      <c r="J75" s="80">
        <f>SUM(J67:K74)</f>
        <v>5333400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52.3</v>
      </c>
      <c r="G80" s="80">
        <f>SUM(G75:G79)</f>
        <v>3930400</v>
      </c>
      <c r="H80" s="80">
        <f>SUM(H75:H79)</f>
        <v>592000</v>
      </c>
      <c r="I80" s="80">
        <f>SUM(I75:I79)</f>
        <v>811000</v>
      </c>
      <c r="J80" s="80">
        <f>SUM(J75:J79)</f>
        <v>5333400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3" priority="5">
      <formula>$J$44&lt;0</formula>
    </cfRule>
  </conditionalFormatting>
  <conditionalFormatting sqref="K43">
    <cfRule type="expression" dxfId="12" priority="4">
      <formula>$J$43&lt;0</formula>
    </cfRule>
  </conditionalFormatting>
  <conditionalFormatting sqref="L16">
    <cfRule type="expression" dxfId="11" priority="3">
      <formula>$J$16&lt;0</formula>
    </cfRule>
  </conditionalFormatting>
  <conditionalFormatting sqref="K45">
    <cfRule type="expression" dxfId="10" priority="2">
      <formula>$J$44&lt;0</formula>
    </cfRule>
  </conditionalFormatting>
  <conditionalFormatting sqref="K43:N45">
    <cfRule type="containsText" dxfId="9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09D006-C54F-4270-B0F8-536B76D9E73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K202"/>
  <sheetViews>
    <sheetView workbookViewId="0">
      <pane xSplit="3" ySplit="1" topLeftCell="AM180" activePane="bottomRight" state="frozen"/>
      <selection pane="topRight" activeCell="D1" sqref="D1"/>
      <selection pane="bottomLeft" activeCell="A2" sqref="A2"/>
      <selection pane="bottomRight" activeCell="AS187" sqref="AS187:BA202"/>
    </sheetView>
  </sheetViews>
  <sheetFormatPr defaultRowHeight="15" x14ac:dyDescent="0.25"/>
  <cols>
    <col min="45" max="53" width="15.7109375" customWidth="1"/>
    <col min="54" max="54" width="11.85546875" bestFit="1" customWidth="1"/>
    <col min="55" max="55" width="10.85546875" bestFit="1" customWidth="1"/>
    <col min="56" max="56" width="11.7109375" bestFit="1" customWidth="1"/>
    <col min="57" max="57" width="10.7109375" bestFit="1" customWidth="1"/>
    <col min="58" max="58" width="11.85546875" bestFit="1" customWidth="1"/>
    <col min="59" max="60" width="10.5703125" bestFit="1" customWidth="1"/>
    <col min="61" max="61" width="9.28515625" bestFit="1" customWidth="1"/>
    <col min="62" max="62" width="9.7109375" bestFit="1" customWidth="1"/>
    <col min="63" max="63" width="9.28515625" bestFit="1" customWidth="1"/>
    <col min="64" max="64" width="11.85546875" bestFit="1" customWidth="1"/>
    <col min="65" max="65" width="10.85546875" bestFit="1" customWidth="1"/>
    <col min="66" max="66" width="11.85546875" bestFit="1" customWidth="1"/>
    <col min="67" max="67" width="10.85546875" bestFit="1" customWidth="1"/>
    <col min="68" max="68" width="11.7109375" bestFit="1" customWidth="1"/>
    <col min="69" max="69" width="10.7109375" bestFit="1" customWidth="1"/>
    <col min="70" max="70" width="11.85546875" bestFit="1" customWidth="1"/>
    <col min="71" max="71" width="10.5703125" bestFit="1" customWidth="1"/>
    <col min="72" max="73" width="9.28515625" bestFit="1" customWidth="1"/>
    <col min="74" max="74" width="9.7109375" bestFit="1" customWidth="1"/>
    <col min="75" max="75" width="9.28515625" bestFit="1" customWidth="1"/>
    <col min="76" max="76" width="11.85546875" bestFit="1" customWidth="1"/>
    <col min="77" max="77" width="10.85546875" bestFit="1" customWidth="1"/>
    <col min="78" max="83" width="9.28515625" bestFit="1" customWidth="1"/>
    <col min="84" max="84" width="11.28515625" bestFit="1" customWidth="1"/>
    <col min="85" max="85" width="9.28515625" bestFit="1" customWidth="1"/>
    <col min="86" max="86" width="10.140625" bestFit="1" customWidth="1"/>
    <col min="87" max="87" width="9.28515625" bestFit="1" customWidth="1"/>
    <col min="88" max="88" width="11.28515625" bestFit="1" customWidth="1"/>
    <col min="89" max="89" width="9.28515625" bestFit="1" customWidth="1"/>
    <col min="90" max="90" width="13.5703125" bestFit="1" customWidth="1"/>
    <col min="91" max="91" width="11.710937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692</v>
      </c>
      <c r="AT1" s="385" t="s">
        <v>693</v>
      </c>
      <c r="AU1" s="385" t="s">
        <v>694</v>
      </c>
      <c r="AV1" s="385" t="s">
        <v>695</v>
      </c>
      <c r="AW1" s="385" t="s">
        <v>696</v>
      </c>
      <c r="AX1" s="385" t="s">
        <v>697</v>
      </c>
      <c r="AY1" s="385" t="s">
        <v>698</v>
      </c>
      <c r="AZ1" s="385" t="s">
        <v>699</v>
      </c>
      <c r="BA1" s="387" t="s">
        <v>700</v>
      </c>
      <c r="BB1" s="388" t="s">
        <v>701</v>
      </c>
      <c r="BC1" s="388" t="s">
        <v>702</v>
      </c>
      <c r="BD1" s="388" t="s">
        <v>703</v>
      </c>
      <c r="BE1" s="388" t="s">
        <v>704</v>
      </c>
      <c r="BF1" s="388" t="s">
        <v>705</v>
      </c>
      <c r="BG1" s="388" t="s">
        <v>706</v>
      </c>
      <c r="BH1" s="388" t="s">
        <v>707</v>
      </c>
      <c r="BI1" s="388" t="s">
        <v>708</v>
      </c>
      <c r="BJ1" s="388" t="s">
        <v>709</v>
      </c>
      <c r="BK1" s="388" t="s">
        <v>710</v>
      </c>
      <c r="BL1" s="389" t="s">
        <v>711</v>
      </c>
      <c r="BM1" s="389" t="s">
        <v>712</v>
      </c>
      <c r="BN1" s="388" t="s">
        <v>713</v>
      </c>
      <c r="BO1" s="388" t="s">
        <v>714</v>
      </c>
      <c r="BP1" s="388" t="s">
        <v>715</v>
      </c>
      <c r="BQ1" s="388" t="s">
        <v>716</v>
      </c>
      <c r="BR1" s="388" t="s">
        <v>717</v>
      </c>
      <c r="BS1" s="388" t="s">
        <v>718</v>
      </c>
      <c r="BT1" s="388" t="s">
        <v>719</v>
      </c>
      <c r="BU1" s="388" t="s">
        <v>720</v>
      </c>
      <c r="BV1" s="388" t="s">
        <v>721</v>
      </c>
      <c r="BW1" s="388" t="s">
        <v>722</v>
      </c>
      <c r="BX1" s="389" t="s">
        <v>723</v>
      </c>
      <c r="BY1" s="389" t="s">
        <v>724</v>
      </c>
      <c r="BZ1" s="388" t="s">
        <v>725</v>
      </c>
      <c r="CA1" s="388" t="s">
        <v>726</v>
      </c>
      <c r="CB1" s="388" t="s">
        <v>727</v>
      </c>
      <c r="CC1" s="388" t="s">
        <v>728</v>
      </c>
      <c r="CD1" s="388" t="s">
        <v>729</v>
      </c>
      <c r="CE1" s="388" t="s">
        <v>730</v>
      </c>
      <c r="CF1" s="388" t="s">
        <v>731</v>
      </c>
      <c r="CG1" s="388" t="s">
        <v>732</v>
      </c>
      <c r="CH1" s="388" t="s">
        <v>733</v>
      </c>
      <c r="CI1" s="388" t="s">
        <v>734</v>
      </c>
      <c r="CJ1" s="389" t="s">
        <v>735</v>
      </c>
      <c r="CK1" s="389" t="s">
        <v>736</v>
      </c>
      <c r="CL1" s="390" t="s">
        <v>737</v>
      </c>
      <c r="CM1" s="390" t="s">
        <v>738</v>
      </c>
      <c r="CN1" s="390" t="s">
        <v>739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384">
        <v>0</v>
      </c>
      <c r="Q2" s="384">
        <v>0</v>
      </c>
      <c r="R2" s="380">
        <v>80</v>
      </c>
      <c r="S2" s="384">
        <v>0</v>
      </c>
      <c r="T2" s="380">
        <v>15360</v>
      </c>
      <c r="U2" s="380">
        <v>0</v>
      </c>
      <c r="V2" s="380">
        <v>6024.78</v>
      </c>
      <c r="W2" s="380">
        <v>0</v>
      </c>
      <c r="X2" s="380">
        <v>0</v>
      </c>
      <c r="Y2" s="380">
        <v>0</v>
      </c>
      <c r="Z2" s="380">
        <v>0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178</v>
      </c>
      <c r="AH2" s="381">
        <v>48.96</v>
      </c>
      <c r="AI2" s="379">
        <v>1200</v>
      </c>
      <c r="AJ2" s="376" t="s">
        <v>179</v>
      </c>
      <c r="AK2" s="376" t="s">
        <v>180</v>
      </c>
      <c r="AL2" s="376" t="s">
        <v>170</v>
      </c>
      <c r="AM2" s="376" t="s">
        <v>181</v>
      </c>
      <c r="AN2" s="376" t="s">
        <v>68</v>
      </c>
      <c r="AO2" s="379">
        <v>80</v>
      </c>
      <c r="AP2" s="384">
        <v>1</v>
      </c>
      <c r="AQ2" s="384">
        <v>0</v>
      </c>
      <c r="AR2" s="382" t="s">
        <v>182</v>
      </c>
      <c r="AS2" s="386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6" t="str">
        <f>IF(AT2=0,"",IF(AND(AT2=1,M2="F",SUMIF(C2:C167,C2,AS2:AS167)&lt;=1),SUMIF(C2:C167,C2,AS2:AS167),IF(AND(AT2=1,M2="F",SUMIF(C2:C167,C2,AS2:AS167)&gt;1),1,"")))</f>
        <v/>
      </c>
      <c r="AV2" s="386" t="str">
        <f>IF(AT2=0,"",IF(AND(AT2=3,M2="F",SUMIF(C2:C167,C2,AS2:AS167)&lt;=1),SUMIF(C2:C167,C2,AS2:AS167),IF(AND(AT2=3,M2="F",SUMIF(C2:C167,C2,AS2:AS167)&gt;1),1,"")))</f>
        <v/>
      </c>
      <c r="AW2" s="386">
        <f>SUMIF(C2:C167,C2,O2:O167)</f>
        <v>2</v>
      </c>
      <c r="AX2" s="386">
        <f>IF(AND(M2="F",AS2&lt;&gt;0),SUMIF(C2:C167,C2,W2:W167),0)</f>
        <v>0</v>
      </c>
      <c r="AY2" s="386" t="str">
        <f>IF(AT2=1,W2,"")</f>
        <v/>
      </c>
      <c r="AZ2" s="386" t="str">
        <f>IF(AT2=3,W2,"")</f>
        <v/>
      </c>
      <c r="BA2" s="386">
        <f>IF(AT2=1,Y2-W2,0)</f>
        <v>0</v>
      </c>
      <c r="BB2" s="386">
        <f t="shared" ref="BB2:BB33" si="0">IF(AND(AT2=1,AK2="E",AU2&gt;=0.75,AW2=1),Health,IF(AND(AT2=1,AK2="E",AU2&gt;=0.75),Health*P2,IF(AND(AT2=1,AK2="E",AU2&gt;=0.5,AW2=1),PTHealth,IF(AND(AT2=1,AK2="E",AU2&gt;=0.5),PTHealth*P2,0))))</f>
        <v>0</v>
      </c>
      <c r="BC2" s="386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33" si="2">IF(AND(AT2&lt;&gt;0,AX2&gt;=MAXSSDI),SSDI*MAXSSDI*P2,IF(AT2&lt;&gt;0,SSDI*W2,0))</f>
        <v>0</v>
      </c>
      <c r="BE2" s="386">
        <f t="shared" ref="BE2:BE33" si="3">IF(AT2&lt;&gt;0,SSHI*W2,0)</f>
        <v>0</v>
      </c>
      <c r="BF2" s="386">
        <f t="shared" ref="BF2:BF33" si="4">IF(AND(AT2&lt;&gt;0,AN2&lt;&gt;"NE"),VLOOKUP(AN2,Retirement_Rates,3,FALSE)*W2,0)</f>
        <v>0</v>
      </c>
      <c r="BG2" s="386">
        <f t="shared" ref="BG2:BG33" si="5">IF(AND(AT2&lt;&gt;0,AJ2&lt;&gt;"PF"),Life*W2,0)</f>
        <v>0</v>
      </c>
      <c r="BH2" s="386">
        <f t="shared" ref="BH2:BH33" si="6">IF(AND(AT2&lt;&gt;0,AM2="Y"),UI*W2,0)</f>
        <v>0</v>
      </c>
      <c r="BI2" s="386">
        <f t="shared" ref="BI2:BI33" si="7">IF(AND(AT2&lt;&gt;0,N2&lt;&gt;"NR"),DHR*W2,0)</f>
        <v>0</v>
      </c>
      <c r="BJ2" s="386">
        <f t="shared" ref="BJ2:BJ33" si="8">IF(AT2&lt;&gt;0,WC*W2,0)</f>
        <v>0</v>
      </c>
      <c r="BK2" s="386">
        <f t="shared" ref="BK2:BK33" si="9">IF(OR(AND(AT2&lt;&gt;0,AJ2&lt;&gt;"PF",AN2&lt;&gt;"NE",AG2&lt;&gt;"A"),AND(AL2="E",OR(AT2=1,AT2=3))),Sick*W2,0)</f>
        <v>0</v>
      </c>
      <c r="BL2" s="386">
        <f>IF(AT2=1,SUM(BD2:BK2),0)</f>
        <v>0</v>
      </c>
      <c r="BM2" s="386">
        <f>IF(AT2=3,SUM(BD2:BK2),0)</f>
        <v>0</v>
      </c>
      <c r="BN2" s="386">
        <f t="shared" ref="BN2:BN33" si="10">IF(AND(AT2=1,AK2="E",AU2&gt;=0.75,AW2=1),HealthBY,IF(AND(AT2=1,AK2="E",AU2&gt;=0.75),HealthBY*P2,IF(AND(AT2=1,AK2="E",AU2&gt;=0.5,AW2=1),PTHealthBY,IF(AND(AT2=1,AK2="E",AU2&gt;=0.5),PTHealthBY*P2,0))))</f>
        <v>0</v>
      </c>
      <c r="BO2" s="386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33" si="12">IF(AND(AT2&lt;&gt;0,(AX2+BA2)&gt;=MAXSSDIBY),SSDIBY*MAXSSDIBY*P2,IF(AT2&lt;&gt;0,SSDIBY*W2,0))</f>
        <v>0</v>
      </c>
      <c r="BQ2" s="386">
        <f t="shared" ref="BQ2:BQ33" si="13">IF(AT2&lt;&gt;0,SSHIBY*W2,0)</f>
        <v>0</v>
      </c>
      <c r="BR2" s="386">
        <f t="shared" ref="BR2:BR33" si="14">IF(AND(AT2&lt;&gt;0,AN2&lt;&gt;"NE"),VLOOKUP(AN2,Retirement_Rates,4,FALSE)*W2,0)</f>
        <v>0</v>
      </c>
      <c r="BS2" s="386">
        <f t="shared" ref="BS2:BS33" si="15">IF(AND(AT2&lt;&gt;0,AJ2&lt;&gt;"PF"),LifeBY*W2,0)</f>
        <v>0</v>
      </c>
      <c r="BT2" s="386">
        <f t="shared" ref="BT2:BT33" si="16">IF(AND(AT2&lt;&gt;0,AM2="Y"),UIBY*W2,0)</f>
        <v>0</v>
      </c>
      <c r="BU2" s="386">
        <f t="shared" ref="BU2:BU33" si="17">IF(AND(AT2&lt;&gt;0,N2&lt;&gt;"NR"),DHRBY*W2,0)</f>
        <v>0</v>
      </c>
      <c r="BV2" s="386">
        <f t="shared" ref="BV2:BV33" si="18">IF(AT2&lt;&gt;0,WCBY*W2,0)</f>
        <v>0</v>
      </c>
      <c r="BW2" s="386">
        <f t="shared" ref="BW2:BW33" si="19">IF(OR(AND(AT2&lt;&gt;0,AJ2&lt;&gt;"PF",AN2&lt;&gt;"NE",AG2&lt;&gt;"A"),AND(AL2="E",OR(AT2=1,AT2=3))),SickBY*W2,0)</f>
        <v>0</v>
      </c>
      <c r="BX2" s="386">
        <f>IF(AT2=1,SUM(BP2:BW2),0)</f>
        <v>0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33" si="20">IF(AT2&lt;&gt;0,SSHICHG*Y2,0)</f>
        <v>0</v>
      </c>
      <c r="CD2" s="386">
        <f t="shared" ref="CD2:CD33" si="21">IF(AND(AT2&lt;&gt;0,AN2&lt;&gt;"NE"),VLOOKUP(AN2,Retirement_Rates,5,FALSE)*Y2,0)</f>
        <v>0</v>
      </c>
      <c r="CE2" s="386">
        <f t="shared" ref="CE2:CE33" si="22">IF(AND(AT2&lt;&gt;0,AJ2&lt;&gt;"PF"),LifeCHG*Y2,0)</f>
        <v>0</v>
      </c>
      <c r="CF2" s="386">
        <f t="shared" ref="CF2:CF33" si="23">IF(AND(AT2&lt;&gt;0,AM2="Y"),UICHG*Y2,0)</f>
        <v>0</v>
      </c>
      <c r="CG2" s="386">
        <f t="shared" ref="CG2:CG33" si="24">IF(AND(AT2&lt;&gt;0,N2&lt;&gt;"NR"),DHRCHG*Y2,0)</f>
        <v>0</v>
      </c>
      <c r="CH2" s="386">
        <f t="shared" ref="CH2:CH33" si="25">IF(AT2&lt;&gt;0,WCCHG*Y2,0)</f>
        <v>0</v>
      </c>
      <c r="CI2" s="386">
        <f t="shared" ref="CI2:CI33" si="26">IF(OR(AND(AT2&lt;&gt;0,AJ2&lt;&gt;"PF",AN2&lt;&gt;"NE",AG2&lt;&gt;"A"),AND(AL2="E",OR(AT2=1,AT2=3))),SickCHG*Y2,0)</f>
        <v>0</v>
      </c>
      <c r="CJ2" s="386">
        <f>IF(AT2=1,SUM(CB2:CI2),0)</f>
        <v>0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183</v>
      </c>
      <c r="D3" s="376" t="s">
        <v>184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185</v>
      </c>
      <c r="K3" s="376" t="s">
        <v>186</v>
      </c>
      <c r="L3" s="376" t="s">
        <v>187</v>
      </c>
      <c r="M3" s="376" t="s">
        <v>171</v>
      </c>
      <c r="N3" s="376" t="s">
        <v>172</v>
      </c>
      <c r="O3" s="379">
        <v>1</v>
      </c>
      <c r="P3" s="384">
        <v>0.2</v>
      </c>
      <c r="Q3" s="384">
        <v>0.2</v>
      </c>
      <c r="R3" s="380">
        <v>80</v>
      </c>
      <c r="S3" s="384">
        <v>0.2</v>
      </c>
      <c r="T3" s="380">
        <v>14332.84</v>
      </c>
      <c r="U3" s="380">
        <v>0</v>
      </c>
      <c r="V3" s="380">
        <v>5241.1000000000004</v>
      </c>
      <c r="W3" s="380">
        <v>14938.56</v>
      </c>
      <c r="X3" s="380">
        <v>5468.73</v>
      </c>
      <c r="Y3" s="380">
        <v>14938.56</v>
      </c>
      <c r="Z3" s="380">
        <v>5391.05</v>
      </c>
      <c r="AA3" s="376" t="s">
        <v>188</v>
      </c>
      <c r="AB3" s="376" t="s">
        <v>189</v>
      </c>
      <c r="AC3" s="376" t="s">
        <v>190</v>
      </c>
      <c r="AD3" s="376" t="s">
        <v>191</v>
      </c>
      <c r="AE3" s="376" t="s">
        <v>186</v>
      </c>
      <c r="AF3" s="376" t="s">
        <v>177</v>
      </c>
      <c r="AG3" s="376" t="s">
        <v>178</v>
      </c>
      <c r="AH3" s="381">
        <v>35.909999999999997</v>
      </c>
      <c r="AI3" s="381">
        <v>17168.2</v>
      </c>
      <c r="AJ3" s="376" t="s">
        <v>179</v>
      </c>
      <c r="AK3" s="376" t="s">
        <v>180</v>
      </c>
      <c r="AL3" s="376" t="s">
        <v>170</v>
      </c>
      <c r="AM3" s="376" t="s">
        <v>181</v>
      </c>
      <c r="AN3" s="376" t="s">
        <v>68</v>
      </c>
      <c r="AO3" s="379">
        <v>80</v>
      </c>
      <c r="AP3" s="384">
        <v>1</v>
      </c>
      <c r="AQ3" s="384">
        <v>0.2</v>
      </c>
      <c r="AR3" s="382" t="s">
        <v>182</v>
      </c>
      <c r="AS3" s="386">
        <f t="shared" ref="AS3:AS66" si="27">IF(((AO3/80)*AP3*P3)&gt;1,AQ3,((AO3/80)*AP3*P3))</f>
        <v>0.2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IF(AT3=0,"",IF(AND(AT3=1,M3="F",SUMIF(C2:C167,C3,AS2:AS167)&lt;=1),SUMIF(C2:C167,C3,AS2:AS167),IF(AND(AT3=1,M3="F",SUMIF(C2:C167,C3,AS2:AS167)&gt;1),1,"")))</f>
        <v>1</v>
      </c>
      <c r="AV3" s="386" t="str">
        <f>IF(AT3=0,"",IF(AND(AT3=3,M3="F",SUMIF(C2:C167,C3,AS2:AS167)&lt;=1),SUMIF(C2:C167,C3,AS2:AS167),IF(AND(AT3=3,M3="F",SUMIF(C2:C167,C3,AS2:AS167)&gt;1),1,"")))</f>
        <v/>
      </c>
      <c r="AW3" s="386">
        <f>SUMIF(C2:C167,C3,O2:O167)</f>
        <v>4</v>
      </c>
      <c r="AX3" s="386">
        <f>IF(AND(M3="F",AS3&lt;&gt;0),SUMIF(C2:C167,C3,W2:W167),0)</f>
        <v>74692.800000000003</v>
      </c>
      <c r="AY3" s="386">
        <f t="shared" ref="AY3:AY66" si="29">IF(AT3=1,W3,"")</f>
        <v>14938.56</v>
      </c>
      <c r="AZ3" s="386" t="str">
        <f t="shared" ref="AZ3:AZ66" si="30">IF(AT3=3,W3,"")</f>
        <v/>
      </c>
      <c r="BA3" s="386">
        <f t="shared" ref="BA3:BA66" si="31">IF(AT3=1,Y3-W3,0)</f>
        <v>0</v>
      </c>
      <c r="BB3" s="386">
        <f t="shared" si="0"/>
        <v>2330</v>
      </c>
      <c r="BC3" s="386">
        <f t="shared" si="1"/>
        <v>0</v>
      </c>
      <c r="BD3" s="386">
        <f t="shared" si="2"/>
        <v>926.19071999999994</v>
      </c>
      <c r="BE3" s="386">
        <f t="shared" si="3"/>
        <v>216.60911999999999</v>
      </c>
      <c r="BF3" s="386">
        <f t="shared" si="4"/>
        <v>1783.6640640000001</v>
      </c>
      <c r="BG3" s="386">
        <f t="shared" si="5"/>
        <v>107.7070176</v>
      </c>
      <c r="BH3" s="386">
        <f t="shared" si="6"/>
        <v>73.198943999999997</v>
      </c>
      <c r="BI3" s="386">
        <f t="shared" si="7"/>
        <v>0</v>
      </c>
      <c r="BJ3" s="386">
        <f t="shared" si="8"/>
        <v>31.370975999999995</v>
      </c>
      <c r="BK3" s="386">
        <f t="shared" si="9"/>
        <v>0</v>
      </c>
      <c r="BL3" s="386">
        <f t="shared" ref="BL3:BL66" si="32">IF(AT3=1,SUM(BD3:BK3),0)</f>
        <v>3138.7408416000007</v>
      </c>
      <c r="BM3" s="386">
        <f t="shared" ref="BM3:BM66" si="33">IF(AT3=3,SUM(BD3:BK3),0)</f>
        <v>0</v>
      </c>
      <c r="BN3" s="386">
        <f t="shared" si="10"/>
        <v>2330</v>
      </c>
      <c r="BO3" s="386">
        <f t="shared" si="11"/>
        <v>0</v>
      </c>
      <c r="BP3" s="386">
        <f t="shared" si="12"/>
        <v>926.19071999999994</v>
      </c>
      <c r="BQ3" s="386">
        <f t="shared" si="13"/>
        <v>216.60911999999999</v>
      </c>
      <c r="BR3" s="386">
        <f t="shared" si="14"/>
        <v>1783.6640640000001</v>
      </c>
      <c r="BS3" s="386">
        <f t="shared" si="15"/>
        <v>107.7070176</v>
      </c>
      <c r="BT3" s="386">
        <f t="shared" si="16"/>
        <v>0</v>
      </c>
      <c r="BU3" s="386">
        <f t="shared" si="17"/>
        <v>0</v>
      </c>
      <c r="BV3" s="386">
        <f t="shared" si="18"/>
        <v>26.889408</v>
      </c>
      <c r="BW3" s="386">
        <f t="shared" si="19"/>
        <v>0</v>
      </c>
      <c r="BX3" s="386">
        <f t="shared" ref="BX3:BX66" si="34">IF(AT3=1,SUM(BP3:BW3),0)</f>
        <v>3061.0603296000004</v>
      </c>
      <c r="BY3" s="386">
        <f t="shared" ref="BY3:BY66" si="35">IF(AT3=3,SUM(BP3:BW3),0)</f>
        <v>0</v>
      </c>
      <c r="BZ3" s="386">
        <f t="shared" ref="BZ3:BZ66" si="36">IF(AT3=1,BN3-BB3,0)</f>
        <v>0</v>
      </c>
      <c r="CA3" s="386">
        <f t="shared" ref="CA3:CA66" si="37">IF(AT3=3,BO3-BC3,0)</f>
        <v>0</v>
      </c>
      <c r="CB3" s="386">
        <f t="shared" ref="CB3:CB66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-73.198943999999997</v>
      </c>
      <c r="CG3" s="386">
        <f t="shared" si="24"/>
        <v>0</v>
      </c>
      <c r="CH3" s="386">
        <f t="shared" si="25"/>
        <v>-4.4815679999999984</v>
      </c>
      <c r="CI3" s="386">
        <f t="shared" si="26"/>
        <v>0</v>
      </c>
      <c r="CJ3" s="386">
        <f t="shared" ref="CJ3:CJ66" si="39">IF(AT3=1,SUM(CB3:CI3),0)</f>
        <v>-77.680511999999993</v>
      </c>
      <c r="CK3" s="386" t="str">
        <f t="shared" ref="CK3:CK66" si="40">IF(AT3=3,SUM(CB3:CI3),"")</f>
        <v/>
      </c>
      <c r="CL3" s="386" t="str">
        <f t="shared" ref="CL3:CL66" si="41">IF(OR(N3="NG",AG3="D"),(T3+U3),"")</f>
        <v/>
      </c>
      <c r="CM3" s="386" t="str">
        <f t="shared" ref="CM3:CM66" si="42">IF(OR(N3="NG",AG3="D"),V3,"")</f>
        <v/>
      </c>
      <c r="CN3" s="386" t="str">
        <f t="shared" ref="CN3:CN66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192</v>
      </c>
      <c r="D4" s="376" t="s">
        <v>193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185</v>
      </c>
      <c r="K4" s="376" t="s">
        <v>194</v>
      </c>
      <c r="L4" s="376" t="s">
        <v>166</v>
      </c>
      <c r="M4" s="376" t="s">
        <v>171</v>
      </c>
      <c r="N4" s="376" t="s">
        <v>172</v>
      </c>
      <c r="O4" s="379">
        <v>1</v>
      </c>
      <c r="P4" s="384">
        <v>0.15</v>
      </c>
      <c r="Q4" s="384">
        <v>0.15</v>
      </c>
      <c r="R4" s="380">
        <v>80</v>
      </c>
      <c r="S4" s="384">
        <v>0.15</v>
      </c>
      <c r="T4" s="380">
        <v>13378.41</v>
      </c>
      <c r="U4" s="380">
        <v>0</v>
      </c>
      <c r="V4" s="380">
        <v>4263</v>
      </c>
      <c r="W4" s="380">
        <v>13656.24</v>
      </c>
      <c r="X4" s="380">
        <v>4616.8</v>
      </c>
      <c r="Y4" s="380">
        <v>13656.24</v>
      </c>
      <c r="Z4" s="380">
        <v>4545.79</v>
      </c>
      <c r="AA4" s="376" t="s">
        <v>195</v>
      </c>
      <c r="AB4" s="376" t="s">
        <v>196</v>
      </c>
      <c r="AC4" s="376" t="s">
        <v>197</v>
      </c>
      <c r="AD4" s="376" t="s">
        <v>198</v>
      </c>
      <c r="AE4" s="376" t="s">
        <v>194</v>
      </c>
      <c r="AF4" s="376" t="s">
        <v>177</v>
      </c>
      <c r="AG4" s="376" t="s">
        <v>178</v>
      </c>
      <c r="AH4" s="381">
        <v>43.77</v>
      </c>
      <c r="AI4" s="381">
        <v>6572.5</v>
      </c>
      <c r="AJ4" s="376" t="s">
        <v>179</v>
      </c>
      <c r="AK4" s="376" t="s">
        <v>180</v>
      </c>
      <c r="AL4" s="376" t="s">
        <v>170</v>
      </c>
      <c r="AM4" s="376" t="s">
        <v>181</v>
      </c>
      <c r="AN4" s="376" t="s">
        <v>68</v>
      </c>
      <c r="AO4" s="379">
        <v>80</v>
      </c>
      <c r="AP4" s="384">
        <v>1</v>
      </c>
      <c r="AQ4" s="384">
        <v>0.15</v>
      </c>
      <c r="AR4" s="382" t="s">
        <v>182</v>
      </c>
      <c r="AS4" s="386">
        <f t="shared" si="27"/>
        <v>0.15</v>
      </c>
      <c r="AT4">
        <f t="shared" si="28"/>
        <v>1</v>
      </c>
      <c r="AU4" s="386">
        <f>IF(AT4=0,"",IF(AND(AT4=1,M4="F",SUMIF(C2:C167,C4,AS2:AS167)&lt;=1),SUMIF(C2:C167,C4,AS2:AS167),IF(AND(AT4=1,M4="F",SUMIF(C2:C167,C4,AS2:AS167)&gt;1),1,"")))</f>
        <v>1</v>
      </c>
      <c r="AV4" s="386" t="str">
        <f>IF(AT4=0,"",IF(AND(AT4=3,M4="F",SUMIF(C2:C167,C4,AS2:AS167)&lt;=1),SUMIF(C2:C167,C4,AS2:AS167),IF(AND(AT4=3,M4="F",SUMIF(C2:C167,C4,AS2:AS167)&gt;1),1,"")))</f>
        <v/>
      </c>
      <c r="AW4" s="386">
        <f>SUMIF(C2:C167,C4,O2:O167)</f>
        <v>5</v>
      </c>
      <c r="AX4" s="386">
        <f>IF(AND(M4="F",AS4&lt;&gt;0),SUMIF(C2:C167,C4,W2:W167),0)</f>
        <v>91041.600000000006</v>
      </c>
      <c r="AY4" s="386">
        <f t="shared" si="29"/>
        <v>13656.24</v>
      </c>
      <c r="AZ4" s="386" t="str">
        <f t="shared" si="30"/>
        <v/>
      </c>
      <c r="BA4" s="386">
        <f t="shared" si="31"/>
        <v>0</v>
      </c>
      <c r="BB4" s="386">
        <f t="shared" si="0"/>
        <v>1747.5</v>
      </c>
      <c r="BC4" s="386">
        <f t="shared" si="1"/>
        <v>0</v>
      </c>
      <c r="BD4" s="386">
        <f t="shared" si="2"/>
        <v>846.68687999999997</v>
      </c>
      <c r="BE4" s="386">
        <f t="shared" si="3"/>
        <v>198.01548</v>
      </c>
      <c r="BF4" s="386">
        <f t="shared" si="4"/>
        <v>1630.5550560000001</v>
      </c>
      <c r="BG4" s="386">
        <f t="shared" si="5"/>
        <v>98.461490400000002</v>
      </c>
      <c r="BH4" s="386">
        <f t="shared" si="6"/>
        <v>66.915576000000001</v>
      </c>
      <c r="BI4" s="386">
        <f t="shared" si="7"/>
        <v>0</v>
      </c>
      <c r="BJ4" s="386">
        <f t="shared" si="8"/>
        <v>28.678103999999998</v>
      </c>
      <c r="BK4" s="386">
        <f t="shared" si="9"/>
        <v>0</v>
      </c>
      <c r="BL4" s="386">
        <f t="shared" si="32"/>
        <v>2869.3125864000003</v>
      </c>
      <c r="BM4" s="386">
        <f t="shared" si="33"/>
        <v>0</v>
      </c>
      <c r="BN4" s="386">
        <f t="shared" si="10"/>
        <v>1747.5</v>
      </c>
      <c r="BO4" s="386">
        <f t="shared" si="11"/>
        <v>0</v>
      </c>
      <c r="BP4" s="386">
        <f t="shared" si="12"/>
        <v>846.68687999999997</v>
      </c>
      <c r="BQ4" s="386">
        <f t="shared" si="13"/>
        <v>198.01548</v>
      </c>
      <c r="BR4" s="386">
        <f t="shared" si="14"/>
        <v>1630.5550560000001</v>
      </c>
      <c r="BS4" s="386">
        <f t="shared" si="15"/>
        <v>98.461490400000002</v>
      </c>
      <c r="BT4" s="386">
        <f t="shared" si="16"/>
        <v>0</v>
      </c>
      <c r="BU4" s="386">
        <f t="shared" si="17"/>
        <v>0</v>
      </c>
      <c r="BV4" s="386">
        <f t="shared" si="18"/>
        <v>24.581232</v>
      </c>
      <c r="BW4" s="386">
        <f t="shared" si="19"/>
        <v>0</v>
      </c>
      <c r="BX4" s="386">
        <f t="shared" si="34"/>
        <v>2798.3001384000004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-66.915576000000001</v>
      </c>
      <c r="CG4" s="386">
        <f t="shared" si="24"/>
        <v>0</v>
      </c>
      <c r="CH4" s="386">
        <f t="shared" si="25"/>
        <v>-4.0968719999999985</v>
      </c>
      <c r="CI4" s="386">
        <f t="shared" si="26"/>
        <v>0</v>
      </c>
      <c r="CJ4" s="386">
        <f t="shared" si="39"/>
        <v>-71.012448000000006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199</v>
      </c>
      <c r="D5" s="376" t="s">
        <v>200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185</v>
      </c>
      <c r="K5" s="376" t="s">
        <v>201</v>
      </c>
      <c r="L5" s="376" t="s">
        <v>178</v>
      </c>
      <c r="M5" s="376" t="s">
        <v>171</v>
      </c>
      <c r="N5" s="376" t="s">
        <v>172</v>
      </c>
      <c r="O5" s="379">
        <v>1</v>
      </c>
      <c r="P5" s="384">
        <v>0.35</v>
      </c>
      <c r="Q5" s="384">
        <v>0.35</v>
      </c>
      <c r="R5" s="380">
        <v>80</v>
      </c>
      <c r="S5" s="384">
        <v>0.35</v>
      </c>
      <c r="T5" s="380">
        <v>10634.41</v>
      </c>
      <c r="U5" s="380">
        <v>0</v>
      </c>
      <c r="V5" s="380">
        <v>5319.73</v>
      </c>
      <c r="W5" s="380">
        <v>14560</v>
      </c>
      <c r="X5" s="380">
        <v>7136.69</v>
      </c>
      <c r="Y5" s="380">
        <v>14560</v>
      </c>
      <c r="Z5" s="380">
        <v>7060.98</v>
      </c>
      <c r="AA5" s="376" t="s">
        <v>202</v>
      </c>
      <c r="AB5" s="376" t="s">
        <v>203</v>
      </c>
      <c r="AC5" s="376" t="s">
        <v>204</v>
      </c>
      <c r="AD5" s="376" t="s">
        <v>176</v>
      </c>
      <c r="AE5" s="376" t="s">
        <v>201</v>
      </c>
      <c r="AF5" s="376" t="s">
        <v>177</v>
      </c>
      <c r="AG5" s="376" t="s">
        <v>178</v>
      </c>
      <c r="AH5" s="379">
        <v>20</v>
      </c>
      <c r="AI5" s="379">
        <v>769</v>
      </c>
      <c r="AJ5" s="376" t="s">
        <v>179</v>
      </c>
      <c r="AK5" s="376" t="s">
        <v>180</v>
      </c>
      <c r="AL5" s="376" t="s">
        <v>170</v>
      </c>
      <c r="AM5" s="376" t="s">
        <v>181</v>
      </c>
      <c r="AN5" s="376" t="s">
        <v>68</v>
      </c>
      <c r="AO5" s="379">
        <v>80</v>
      </c>
      <c r="AP5" s="384">
        <v>1</v>
      </c>
      <c r="AQ5" s="384">
        <v>0.35</v>
      </c>
      <c r="AR5" s="382" t="s">
        <v>182</v>
      </c>
      <c r="AS5" s="386">
        <f t="shared" si="27"/>
        <v>0.35</v>
      </c>
      <c r="AT5">
        <f t="shared" si="28"/>
        <v>1</v>
      </c>
      <c r="AU5" s="386">
        <f>IF(AT5=0,"",IF(AND(AT5=1,M5="F",SUMIF(C2:C167,C5,AS2:AS167)&lt;=1),SUMIF(C2:C167,C5,AS2:AS167),IF(AND(AT5=1,M5="F",SUMIF(C2:C167,C5,AS2:AS167)&gt;1),1,"")))</f>
        <v>1</v>
      </c>
      <c r="AV5" s="386" t="str">
        <f>IF(AT5=0,"",IF(AND(AT5=3,M5="F",SUMIF(C2:C167,C5,AS2:AS167)&lt;=1),SUMIF(C2:C167,C5,AS2:AS167),IF(AND(AT5=3,M5="F",SUMIF(C2:C167,C5,AS2:AS167)&gt;1),1,"")))</f>
        <v/>
      </c>
      <c r="AW5" s="386">
        <f>SUMIF(C2:C167,C5,O2:O167)</f>
        <v>4</v>
      </c>
      <c r="AX5" s="386">
        <f>IF(AND(M5="F",AS5&lt;&gt;0),SUMIF(C2:C167,C5,W2:W167),0)</f>
        <v>41600</v>
      </c>
      <c r="AY5" s="386">
        <f t="shared" si="29"/>
        <v>14560</v>
      </c>
      <c r="AZ5" s="386" t="str">
        <f t="shared" si="30"/>
        <v/>
      </c>
      <c r="BA5" s="386">
        <f t="shared" si="31"/>
        <v>0</v>
      </c>
      <c r="BB5" s="386">
        <f t="shared" si="0"/>
        <v>4077.4999999999995</v>
      </c>
      <c r="BC5" s="386">
        <f t="shared" si="1"/>
        <v>0</v>
      </c>
      <c r="BD5" s="386">
        <f t="shared" si="2"/>
        <v>902.72</v>
      </c>
      <c r="BE5" s="386">
        <f t="shared" si="3"/>
        <v>211.12</v>
      </c>
      <c r="BF5" s="386">
        <f t="shared" si="4"/>
        <v>1738.4640000000002</v>
      </c>
      <c r="BG5" s="386">
        <f t="shared" si="5"/>
        <v>104.97760000000001</v>
      </c>
      <c r="BH5" s="386">
        <f t="shared" si="6"/>
        <v>71.343999999999994</v>
      </c>
      <c r="BI5" s="386">
        <f t="shared" si="7"/>
        <v>0</v>
      </c>
      <c r="BJ5" s="386">
        <f t="shared" si="8"/>
        <v>30.575999999999997</v>
      </c>
      <c r="BK5" s="386">
        <f t="shared" si="9"/>
        <v>0</v>
      </c>
      <c r="BL5" s="386">
        <f t="shared" si="32"/>
        <v>3059.2016000000003</v>
      </c>
      <c r="BM5" s="386">
        <f t="shared" si="33"/>
        <v>0</v>
      </c>
      <c r="BN5" s="386">
        <f t="shared" si="10"/>
        <v>4077.4999999999995</v>
      </c>
      <c r="BO5" s="386">
        <f t="shared" si="11"/>
        <v>0</v>
      </c>
      <c r="BP5" s="386">
        <f t="shared" si="12"/>
        <v>902.72</v>
      </c>
      <c r="BQ5" s="386">
        <f t="shared" si="13"/>
        <v>211.12</v>
      </c>
      <c r="BR5" s="386">
        <f t="shared" si="14"/>
        <v>1738.4640000000002</v>
      </c>
      <c r="BS5" s="386">
        <f t="shared" si="15"/>
        <v>104.97760000000001</v>
      </c>
      <c r="BT5" s="386">
        <f t="shared" si="16"/>
        <v>0</v>
      </c>
      <c r="BU5" s="386">
        <f t="shared" si="17"/>
        <v>0</v>
      </c>
      <c r="BV5" s="386">
        <f t="shared" si="18"/>
        <v>26.207999999999998</v>
      </c>
      <c r="BW5" s="386">
        <f t="shared" si="19"/>
        <v>0</v>
      </c>
      <c r="BX5" s="386">
        <f t="shared" si="34"/>
        <v>2983.4896000000003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-71.343999999999994</v>
      </c>
      <c r="CG5" s="386">
        <f t="shared" si="24"/>
        <v>0</v>
      </c>
      <c r="CH5" s="386">
        <f t="shared" si="25"/>
        <v>-4.3679999999999986</v>
      </c>
      <c r="CI5" s="386">
        <f t="shared" si="26"/>
        <v>0</v>
      </c>
      <c r="CJ5" s="386">
        <f t="shared" si="39"/>
        <v>-75.711999999999989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205</v>
      </c>
      <c r="D6" s="376" t="s">
        <v>206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207</v>
      </c>
      <c r="L6" s="376" t="s">
        <v>166</v>
      </c>
      <c r="M6" s="376" t="s">
        <v>171</v>
      </c>
      <c r="N6" s="376" t="s">
        <v>172</v>
      </c>
      <c r="O6" s="379">
        <v>1</v>
      </c>
      <c r="P6" s="384">
        <v>1</v>
      </c>
      <c r="Q6" s="384">
        <v>1</v>
      </c>
      <c r="R6" s="380">
        <v>80</v>
      </c>
      <c r="S6" s="384">
        <v>1</v>
      </c>
      <c r="T6" s="380">
        <v>80704.59</v>
      </c>
      <c r="U6" s="380">
        <v>0</v>
      </c>
      <c r="V6" s="380">
        <v>27903.48</v>
      </c>
      <c r="W6" s="380">
        <v>80080</v>
      </c>
      <c r="X6" s="380">
        <v>28475.59</v>
      </c>
      <c r="Y6" s="380">
        <v>80080</v>
      </c>
      <c r="Z6" s="380">
        <v>28059.18</v>
      </c>
      <c r="AA6" s="376" t="s">
        <v>208</v>
      </c>
      <c r="AB6" s="376" t="s">
        <v>209</v>
      </c>
      <c r="AC6" s="376" t="s">
        <v>210</v>
      </c>
      <c r="AD6" s="376" t="s">
        <v>211</v>
      </c>
      <c r="AE6" s="376" t="s">
        <v>207</v>
      </c>
      <c r="AF6" s="376" t="s">
        <v>177</v>
      </c>
      <c r="AG6" s="376" t="s">
        <v>178</v>
      </c>
      <c r="AH6" s="381">
        <v>38.5</v>
      </c>
      <c r="AI6" s="381">
        <v>4622.6000000000004</v>
      </c>
      <c r="AJ6" s="376" t="s">
        <v>179</v>
      </c>
      <c r="AK6" s="376" t="s">
        <v>180</v>
      </c>
      <c r="AL6" s="376" t="s">
        <v>170</v>
      </c>
      <c r="AM6" s="376" t="s">
        <v>181</v>
      </c>
      <c r="AN6" s="376" t="s">
        <v>68</v>
      </c>
      <c r="AO6" s="379">
        <v>80</v>
      </c>
      <c r="AP6" s="384">
        <v>1</v>
      </c>
      <c r="AQ6" s="384">
        <v>1</v>
      </c>
      <c r="AR6" s="382" t="s">
        <v>182</v>
      </c>
      <c r="AS6" s="386">
        <f t="shared" si="27"/>
        <v>1</v>
      </c>
      <c r="AT6">
        <f t="shared" si="28"/>
        <v>1</v>
      </c>
      <c r="AU6" s="386">
        <f>IF(AT6=0,"",IF(AND(AT6=1,M6="F",SUMIF(C2:C167,C6,AS2:AS167)&lt;=1),SUMIF(C2:C167,C6,AS2:AS167),IF(AND(AT6=1,M6="F",SUMIF(C2:C167,C6,AS2:AS167)&gt;1),1,"")))</f>
        <v>1</v>
      </c>
      <c r="AV6" s="386" t="str">
        <f>IF(AT6=0,"",IF(AND(AT6=3,M6="F",SUMIF(C2:C167,C6,AS2:AS167)&lt;=1),SUMIF(C2:C167,C6,AS2:AS167),IF(AND(AT6=3,M6="F",SUMIF(C2:C167,C6,AS2:AS167)&gt;1),1,"")))</f>
        <v/>
      </c>
      <c r="AW6" s="386">
        <f>SUMIF(C2:C167,C6,O2:O167)</f>
        <v>1</v>
      </c>
      <c r="AX6" s="386">
        <f>IF(AND(M6="F",AS6&lt;&gt;0),SUMIF(C2:C167,C6,W2:W167),0)</f>
        <v>80080</v>
      </c>
      <c r="AY6" s="386">
        <f t="shared" si="29"/>
        <v>80080</v>
      </c>
      <c r="AZ6" s="386" t="str">
        <f t="shared" si="30"/>
        <v/>
      </c>
      <c r="BA6" s="386">
        <f t="shared" si="31"/>
        <v>0</v>
      </c>
      <c r="BB6" s="386">
        <f t="shared" si="0"/>
        <v>11650</v>
      </c>
      <c r="BC6" s="386">
        <f t="shared" si="1"/>
        <v>0</v>
      </c>
      <c r="BD6" s="386">
        <f t="shared" si="2"/>
        <v>4964.96</v>
      </c>
      <c r="BE6" s="386">
        <f t="shared" si="3"/>
        <v>1161.1600000000001</v>
      </c>
      <c r="BF6" s="386">
        <f t="shared" si="4"/>
        <v>9561.5519999999997</v>
      </c>
      <c r="BG6" s="386">
        <f t="shared" si="5"/>
        <v>577.3768</v>
      </c>
      <c r="BH6" s="386">
        <f t="shared" si="6"/>
        <v>392.392</v>
      </c>
      <c r="BI6" s="386">
        <f t="shared" si="7"/>
        <v>0</v>
      </c>
      <c r="BJ6" s="386">
        <f t="shared" si="8"/>
        <v>168.16799999999998</v>
      </c>
      <c r="BK6" s="386">
        <f t="shared" si="9"/>
        <v>0</v>
      </c>
      <c r="BL6" s="386">
        <f t="shared" si="32"/>
        <v>16825.608800000002</v>
      </c>
      <c r="BM6" s="386">
        <f t="shared" si="33"/>
        <v>0</v>
      </c>
      <c r="BN6" s="386">
        <f t="shared" si="10"/>
        <v>11650</v>
      </c>
      <c r="BO6" s="386">
        <f t="shared" si="11"/>
        <v>0</v>
      </c>
      <c r="BP6" s="386">
        <f t="shared" si="12"/>
        <v>4964.96</v>
      </c>
      <c r="BQ6" s="386">
        <f t="shared" si="13"/>
        <v>1161.1600000000001</v>
      </c>
      <c r="BR6" s="386">
        <f t="shared" si="14"/>
        <v>9561.5519999999997</v>
      </c>
      <c r="BS6" s="386">
        <f t="shared" si="15"/>
        <v>577.3768</v>
      </c>
      <c r="BT6" s="386">
        <f t="shared" si="16"/>
        <v>0</v>
      </c>
      <c r="BU6" s="386">
        <f t="shared" si="17"/>
        <v>0</v>
      </c>
      <c r="BV6" s="386">
        <f t="shared" si="18"/>
        <v>144.14400000000001</v>
      </c>
      <c r="BW6" s="386">
        <f t="shared" si="19"/>
        <v>0</v>
      </c>
      <c r="BX6" s="386">
        <f t="shared" si="34"/>
        <v>16409.192799999997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-392.392</v>
      </c>
      <c r="CG6" s="386">
        <f t="shared" si="24"/>
        <v>0</v>
      </c>
      <c r="CH6" s="386">
        <f t="shared" si="25"/>
        <v>-24.023999999999994</v>
      </c>
      <c r="CI6" s="386">
        <f t="shared" si="26"/>
        <v>0</v>
      </c>
      <c r="CJ6" s="386">
        <f t="shared" si="39"/>
        <v>-416.416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212</v>
      </c>
      <c r="D7" s="376" t="s">
        <v>213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185</v>
      </c>
      <c r="K7" s="376" t="s">
        <v>214</v>
      </c>
      <c r="L7" s="376" t="s">
        <v>166</v>
      </c>
      <c r="M7" s="376" t="s">
        <v>171</v>
      </c>
      <c r="N7" s="376" t="s">
        <v>172</v>
      </c>
      <c r="O7" s="379">
        <v>1</v>
      </c>
      <c r="P7" s="384">
        <v>0.75</v>
      </c>
      <c r="Q7" s="384">
        <v>0.75</v>
      </c>
      <c r="R7" s="380">
        <v>80</v>
      </c>
      <c r="S7" s="384">
        <v>0.75</v>
      </c>
      <c r="T7" s="380">
        <v>76465.87</v>
      </c>
      <c r="U7" s="380">
        <v>0</v>
      </c>
      <c r="V7" s="380">
        <v>23620.84</v>
      </c>
      <c r="W7" s="380">
        <v>88701.6</v>
      </c>
      <c r="X7" s="380">
        <v>27374.560000000001</v>
      </c>
      <c r="Y7" s="380">
        <v>88701.6</v>
      </c>
      <c r="Z7" s="380">
        <v>26913.32</v>
      </c>
      <c r="AA7" s="376" t="s">
        <v>215</v>
      </c>
      <c r="AB7" s="376" t="s">
        <v>216</v>
      </c>
      <c r="AC7" s="376" t="s">
        <v>217</v>
      </c>
      <c r="AD7" s="376" t="s">
        <v>170</v>
      </c>
      <c r="AE7" s="376" t="s">
        <v>214</v>
      </c>
      <c r="AF7" s="376" t="s">
        <v>177</v>
      </c>
      <c r="AG7" s="376" t="s">
        <v>178</v>
      </c>
      <c r="AH7" s="381">
        <v>56.86</v>
      </c>
      <c r="AI7" s="379">
        <v>2817</v>
      </c>
      <c r="AJ7" s="376" t="s">
        <v>179</v>
      </c>
      <c r="AK7" s="376" t="s">
        <v>180</v>
      </c>
      <c r="AL7" s="376" t="s">
        <v>170</v>
      </c>
      <c r="AM7" s="376" t="s">
        <v>181</v>
      </c>
      <c r="AN7" s="376" t="s">
        <v>68</v>
      </c>
      <c r="AO7" s="379">
        <v>80</v>
      </c>
      <c r="AP7" s="384">
        <v>1</v>
      </c>
      <c r="AQ7" s="384">
        <v>0.75</v>
      </c>
      <c r="AR7" s="382" t="s">
        <v>182</v>
      </c>
      <c r="AS7" s="386">
        <f t="shared" si="27"/>
        <v>0.75</v>
      </c>
      <c r="AT7">
        <f t="shared" si="28"/>
        <v>1</v>
      </c>
      <c r="AU7" s="386">
        <f>IF(AT7=0,"",IF(AND(AT7=1,M7="F",SUMIF(C2:C167,C7,AS2:AS167)&lt;=1),SUMIF(C2:C167,C7,AS2:AS167),IF(AND(AT7=1,M7="F",SUMIF(C2:C167,C7,AS2:AS167)&gt;1),1,"")))</f>
        <v>1</v>
      </c>
      <c r="AV7" s="386" t="str">
        <f>IF(AT7=0,"",IF(AND(AT7=3,M7="F",SUMIF(C2:C167,C7,AS2:AS167)&lt;=1),SUMIF(C2:C167,C7,AS2:AS167),IF(AND(AT7=3,M7="F",SUMIF(C2:C167,C7,AS2:AS167)&gt;1),1,"")))</f>
        <v/>
      </c>
      <c r="AW7" s="386">
        <f>SUMIF(C2:C167,C7,O2:O167)</f>
        <v>5</v>
      </c>
      <c r="AX7" s="386">
        <f>IF(AND(M7="F",AS7&lt;&gt;0),SUMIF(C2:C167,C7,W2:W167),0)</f>
        <v>118268.80000000002</v>
      </c>
      <c r="AY7" s="386">
        <f t="shared" si="29"/>
        <v>88701.6</v>
      </c>
      <c r="AZ7" s="386" t="str">
        <f t="shared" si="30"/>
        <v/>
      </c>
      <c r="BA7" s="386">
        <f t="shared" si="31"/>
        <v>0</v>
      </c>
      <c r="BB7" s="386">
        <f t="shared" si="0"/>
        <v>8737.5</v>
      </c>
      <c r="BC7" s="386">
        <f t="shared" si="1"/>
        <v>0</v>
      </c>
      <c r="BD7" s="386">
        <f t="shared" si="2"/>
        <v>5499.4992000000002</v>
      </c>
      <c r="BE7" s="386">
        <f t="shared" si="3"/>
        <v>1286.1732000000002</v>
      </c>
      <c r="BF7" s="386">
        <f t="shared" si="4"/>
        <v>10590.97104</v>
      </c>
      <c r="BG7" s="386">
        <f t="shared" si="5"/>
        <v>639.53853600000002</v>
      </c>
      <c r="BH7" s="386">
        <f t="shared" si="6"/>
        <v>434.63784000000004</v>
      </c>
      <c r="BI7" s="386">
        <f t="shared" si="7"/>
        <v>0</v>
      </c>
      <c r="BJ7" s="386">
        <f t="shared" si="8"/>
        <v>186.27336</v>
      </c>
      <c r="BK7" s="386">
        <f t="shared" si="9"/>
        <v>0</v>
      </c>
      <c r="BL7" s="386">
        <f t="shared" si="32"/>
        <v>18637.093175999998</v>
      </c>
      <c r="BM7" s="386">
        <f t="shared" si="33"/>
        <v>0</v>
      </c>
      <c r="BN7" s="386">
        <f t="shared" si="10"/>
        <v>8737.5</v>
      </c>
      <c r="BO7" s="386">
        <f t="shared" si="11"/>
        <v>0</v>
      </c>
      <c r="BP7" s="386">
        <f t="shared" si="12"/>
        <v>5499.4992000000002</v>
      </c>
      <c r="BQ7" s="386">
        <f t="shared" si="13"/>
        <v>1286.1732000000002</v>
      </c>
      <c r="BR7" s="386">
        <f t="shared" si="14"/>
        <v>10590.97104</v>
      </c>
      <c r="BS7" s="386">
        <f t="shared" si="15"/>
        <v>639.53853600000002</v>
      </c>
      <c r="BT7" s="386">
        <f t="shared" si="16"/>
        <v>0</v>
      </c>
      <c r="BU7" s="386">
        <f t="shared" si="17"/>
        <v>0</v>
      </c>
      <c r="BV7" s="386">
        <f t="shared" si="18"/>
        <v>159.66288</v>
      </c>
      <c r="BW7" s="386">
        <f t="shared" si="19"/>
        <v>0</v>
      </c>
      <c r="BX7" s="386">
        <f t="shared" si="34"/>
        <v>18175.844856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-434.63784000000004</v>
      </c>
      <c r="CG7" s="386">
        <f t="shared" si="24"/>
        <v>0</v>
      </c>
      <c r="CH7" s="386">
        <f t="shared" si="25"/>
        <v>-26.610479999999995</v>
      </c>
      <c r="CI7" s="386">
        <f t="shared" si="26"/>
        <v>0</v>
      </c>
      <c r="CJ7" s="386">
        <f t="shared" si="39"/>
        <v>-461.24832000000004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218</v>
      </c>
      <c r="D8" s="376" t="s">
        <v>219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220</v>
      </c>
      <c r="K8" s="376" t="s">
        <v>221</v>
      </c>
      <c r="L8" s="376" t="s">
        <v>166</v>
      </c>
      <c r="M8" s="376" t="s">
        <v>171</v>
      </c>
      <c r="N8" s="376" t="s">
        <v>172</v>
      </c>
      <c r="O8" s="379">
        <v>1</v>
      </c>
      <c r="P8" s="384">
        <v>0.22</v>
      </c>
      <c r="Q8" s="384">
        <v>0.22</v>
      </c>
      <c r="R8" s="380">
        <v>80</v>
      </c>
      <c r="S8" s="384">
        <v>0.22</v>
      </c>
      <c r="T8" s="380">
        <v>28717.919999999998</v>
      </c>
      <c r="U8" s="380">
        <v>0</v>
      </c>
      <c r="V8" s="380">
        <v>10860.2</v>
      </c>
      <c r="W8" s="380">
        <v>14002.56</v>
      </c>
      <c r="X8" s="380">
        <v>5505.07</v>
      </c>
      <c r="Y8" s="380">
        <v>14002.56</v>
      </c>
      <c r="Z8" s="380">
        <v>5432.25</v>
      </c>
      <c r="AA8" s="376" t="s">
        <v>222</v>
      </c>
      <c r="AB8" s="376" t="s">
        <v>223</v>
      </c>
      <c r="AC8" s="376" t="s">
        <v>224</v>
      </c>
      <c r="AD8" s="376" t="s">
        <v>170</v>
      </c>
      <c r="AE8" s="376" t="s">
        <v>221</v>
      </c>
      <c r="AF8" s="376" t="s">
        <v>177</v>
      </c>
      <c r="AG8" s="376" t="s">
        <v>178</v>
      </c>
      <c r="AH8" s="381">
        <v>30.6</v>
      </c>
      <c r="AI8" s="379">
        <v>6405</v>
      </c>
      <c r="AJ8" s="376" t="s">
        <v>179</v>
      </c>
      <c r="AK8" s="376" t="s">
        <v>180</v>
      </c>
      <c r="AL8" s="376" t="s">
        <v>170</v>
      </c>
      <c r="AM8" s="376" t="s">
        <v>181</v>
      </c>
      <c r="AN8" s="376" t="s">
        <v>68</v>
      </c>
      <c r="AO8" s="379">
        <v>80</v>
      </c>
      <c r="AP8" s="384">
        <v>1</v>
      </c>
      <c r="AQ8" s="384">
        <v>0.22</v>
      </c>
      <c r="AR8" s="382" t="s">
        <v>182</v>
      </c>
      <c r="AS8" s="386">
        <f t="shared" si="27"/>
        <v>0.22</v>
      </c>
      <c r="AT8">
        <f t="shared" si="28"/>
        <v>1</v>
      </c>
      <c r="AU8" s="386">
        <f>IF(AT8=0,"",IF(AND(AT8=1,M8="F",SUMIF(C2:C167,C8,AS2:AS167)&lt;=1),SUMIF(C2:C167,C8,AS2:AS167),IF(AND(AT8=1,M8="F",SUMIF(C2:C167,C8,AS2:AS167)&gt;1),1,"")))</f>
        <v>1</v>
      </c>
      <c r="AV8" s="386" t="str">
        <f>IF(AT8=0,"",IF(AND(AT8=3,M8="F",SUMIF(C2:C167,C8,AS2:AS167)&lt;=1),SUMIF(C2:C167,C8,AS2:AS167),IF(AND(AT8=3,M8="F",SUMIF(C2:C167,C8,AS2:AS167)&gt;1),1,"")))</f>
        <v/>
      </c>
      <c r="AW8" s="386">
        <f>SUMIF(C2:C167,C8,O2:O167)</f>
        <v>5</v>
      </c>
      <c r="AX8" s="386">
        <f>IF(AND(M8="F",AS8&lt;&gt;0),SUMIF(C2:C167,C8,W2:W167),0)</f>
        <v>63647.999999999993</v>
      </c>
      <c r="AY8" s="386">
        <f t="shared" si="29"/>
        <v>14002.56</v>
      </c>
      <c r="AZ8" s="386" t="str">
        <f t="shared" si="30"/>
        <v/>
      </c>
      <c r="BA8" s="386">
        <f t="shared" si="31"/>
        <v>0</v>
      </c>
      <c r="BB8" s="386">
        <f t="shared" si="0"/>
        <v>2563</v>
      </c>
      <c r="BC8" s="386">
        <f t="shared" si="1"/>
        <v>0</v>
      </c>
      <c r="BD8" s="386">
        <f t="shared" si="2"/>
        <v>868.15872000000002</v>
      </c>
      <c r="BE8" s="386">
        <f t="shared" si="3"/>
        <v>203.03712000000002</v>
      </c>
      <c r="BF8" s="386">
        <f t="shared" si="4"/>
        <v>1671.9056640000001</v>
      </c>
      <c r="BG8" s="386">
        <f t="shared" si="5"/>
        <v>100.9584576</v>
      </c>
      <c r="BH8" s="386">
        <f t="shared" si="6"/>
        <v>68.612544</v>
      </c>
      <c r="BI8" s="386">
        <f t="shared" si="7"/>
        <v>0</v>
      </c>
      <c r="BJ8" s="386">
        <f t="shared" si="8"/>
        <v>29.405375999999997</v>
      </c>
      <c r="BK8" s="386">
        <f t="shared" si="9"/>
        <v>0</v>
      </c>
      <c r="BL8" s="386">
        <f t="shared" si="32"/>
        <v>2942.0778816000006</v>
      </c>
      <c r="BM8" s="386">
        <f t="shared" si="33"/>
        <v>0</v>
      </c>
      <c r="BN8" s="386">
        <f t="shared" si="10"/>
        <v>2563</v>
      </c>
      <c r="BO8" s="386">
        <f t="shared" si="11"/>
        <v>0</v>
      </c>
      <c r="BP8" s="386">
        <f t="shared" si="12"/>
        <v>868.15872000000002</v>
      </c>
      <c r="BQ8" s="386">
        <f t="shared" si="13"/>
        <v>203.03712000000002</v>
      </c>
      <c r="BR8" s="386">
        <f t="shared" si="14"/>
        <v>1671.9056640000001</v>
      </c>
      <c r="BS8" s="386">
        <f t="shared" si="15"/>
        <v>100.9584576</v>
      </c>
      <c r="BT8" s="386">
        <f t="shared" si="16"/>
        <v>0</v>
      </c>
      <c r="BU8" s="386">
        <f t="shared" si="17"/>
        <v>0</v>
      </c>
      <c r="BV8" s="386">
        <f t="shared" si="18"/>
        <v>25.204607999999997</v>
      </c>
      <c r="BW8" s="386">
        <f t="shared" si="19"/>
        <v>0</v>
      </c>
      <c r="BX8" s="386">
        <f t="shared" si="34"/>
        <v>2869.2645696000004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-68.612544</v>
      </c>
      <c r="CG8" s="386">
        <f t="shared" si="24"/>
        <v>0</v>
      </c>
      <c r="CH8" s="386">
        <f t="shared" si="25"/>
        <v>-4.2007679999999983</v>
      </c>
      <c r="CI8" s="386">
        <f t="shared" si="26"/>
        <v>0</v>
      </c>
      <c r="CJ8" s="386">
        <f t="shared" si="39"/>
        <v>-72.813311999999996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225</v>
      </c>
      <c r="D9" s="376" t="s">
        <v>226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185</v>
      </c>
      <c r="K9" s="376" t="s">
        <v>227</v>
      </c>
      <c r="L9" s="376" t="s">
        <v>166</v>
      </c>
      <c r="M9" s="376" t="s">
        <v>171</v>
      </c>
      <c r="N9" s="376" t="s">
        <v>172</v>
      </c>
      <c r="O9" s="379">
        <v>1</v>
      </c>
      <c r="P9" s="384">
        <v>0.35</v>
      </c>
      <c r="Q9" s="384">
        <v>0.35</v>
      </c>
      <c r="R9" s="380">
        <v>80</v>
      </c>
      <c r="S9" s="384">
        <v>0.35</v>
      </c>
      <c r="T9" s="380">
        <v>42859.34</v>
      </c>
      <c r="U9" s="380">
        <v>0</v>
      </c>
      <c r="V9" s="380">
        <v>12778.44</v>
      </c>
      <c r="W9" s="380">
        <v>43905.68</v>
      </c>
      <c r="X9" s="380">
        <v>13302.5</v>
      </c>
      <c r="Y9" s="380">
        <v>43905.68</v>
      </c>
      <c r="Z9" s="380">
        <v>13074.2</v>
      </c>
      <c r="AA9" s="376" t="s">
        <v>228</v>
      </c>
      <c r="AB9" s="376" t="s">
        <v>229</v>
      </c>
      <c r="AC9" s="376" t="s">
        <v>230</v>
      </c>
      <c r="AD9" s="376" t="s">
        <v>231</v>
      </c>
      <c r="AE9" s="376" t="s">
        <v>227</v>
      </c>
      <c r="AF9" s="376" t="s">
        <v>177</v>
      </c>
      <c r="AG9" s="376" t="s">
        <v>178</v>
      </c>
      <c r="AH9" s="381">
        <v>60.31</v>
      </c>
      <c r="AI9" s="381">
        <v>41188.5</v>
      </c>
      <c r="AJ9" s="376" t="s">
        <v>179</v>
      </c>
      <c r="AK9" s="376" t="s">
        <v>180</v>
      </c>
      <c r="AL9" s="376" t="s">
        <v>170</v>
      </c>
      <c r="AM9" s="376" t="s">
        <v>181</v>
      </c>
      <c r="AN9" s="376" t="s">
        <v>68</v>
      </c>
      <c r="AO9" s="379">
        <v>80</v>
      </c>
      <c r="AP9" s="384">
        <v>1</v>
      </c>
      <c r="AQ9" s="384">
        <v>0.35</v>
      </c>
      <c r="AR9" s="382" t="s">
        <v>182</v>
      </c>
      <c r="AS9" s="386">
        <f t="shared" si="27"/>
        <v>0.35</v>
      </c>
      <c r="AT9">
        <f t="shared" si="28"/>
        <v>1</v>
      </c>
      <c r="AU9" s="386">
        <f>IF(AT9=0,"",IF(AND(AT9=1,M9="F",SUMIF(C2:C167,C9,AS2:AS167)&lt;=1),SUMIF(C2:C167,C9,AS2:AS167),IF(AND(AT9=1,M9="F",SUMIF(C2:C167,C9,AS2:AS167)&gt;1),1,"")))</f>
        <v>1</v>
      </c>
      <c r="AV9" s="386" t="str">
        <f>IF(AT9=0,"",IF(AND(AT9=3,M9="F",SUMIF(C2:C167,C9,AS2:AS167)&lt;=1),SUMIF(C2:C167,C9,AS2:AS167),IF(AND(AT9=3,M9="F",SUMIF(C2:C167,C9,AS2:AS167)&gt;1),1,"")))</f>
        <v/>
      </c>
      <c r="AW9" s="386">
        <f>SUMIF(C2:C167,C9,O2:O167)</f>
        <v>4</v>
      </c>
      <c r="AX9" s="386">
        <f>IF(AND(M9="F",AS9&lt;&gt;0),SUMIF(C2:C167,C9,W2:W167),0)</f>
        <v>125444.79999999999</v>
      </c>
      <c r="AY9" s="386">
        <f t="shared" si="29"/>
        <v>43905.68</v>
      </c>
      <c r="AZ9" s="386" t="str">
        <f t="shared" si="30"/>
        <v/>
      </c>
      <c r="BA9" s="386">
        <f t="shared" si="31"/>
        <v>0</v>
      </c>
      <c r="BB9" s="386">
        <f t="shared" si="0"/>
        <v>4077.4999999999995</v>
      </c>
      <c r="BC9" s="386">
        <f t="shared" si="1"/>
        <v>0</v>
      </c>
      <c r="BD9" s="386">
        <f t="shared" si="2"/>
        <v>2722.1521600000001</v>
      </c>
      <c r="BE9" s="386">
        <f t="shared" si="3"/>
        <v>636.63236000000006</v>
      </c>
      <c r="BF9" s="386">
        <f t="shared" si="4"/>
        <v>5242.3381920000002</v>
      </c>
      <c r="BG9" s="386">
        <f t="shared" si="5"/>
        <v>316.55995280000002</v>
      </c>
      <c r="BH9" s="386">
        <f t="shared" si="6"/>
        <v>215.137832</v>
      </c>
      <c r="BI9" s="386">
        <f t="shared" si="7"/>
        <v>0</v>
      </c>
      <c r="BJ9" s="386">
        <f t="shared" si="8"/>
        <v>92.201927999999995</v>
      </c>
      <c r="BK9" s="386">
        <f t="shared" si="9"/>
        <v>0</v>
      </c>
      <c r="BL9" s="386">
        <f t="shared" si="32"/>
        <v>9225.0224248000013</v>
      </c>
      <c r="BM9" s="386">
        <f t="shared" si="33"/>
        <v>0</v>
      </c>
      <c r="BN9" s="386">
        <f t="shared" si="10"/>
        <v>4077.4999999999995</v>
      </c>
      <c r="BO9" s="386">
        <f t="shared" si="11"/>
        <v>0</v>
      </c>
      <c r="BP9" s="386">
        <f t="shared" si="12"/>
        <v>2722.1521600000001</v>
      </c>
      <c r="BQ9" s="386">
        <f t="shared" si="13"/>
        <v>636.63236000000006</v>
      </c>
      <c r="BR9" s="386">
        <f t="shared" si="14"/>
        <v>5242.3381920000002</v>
      </c>
      <c r="BS9" s="386">
        <f t="shared" si="15"/>
        <v>316.55995280000002</v>
      </c>
      <c r="BT9" s="386">
        <f t="shared" si="16"/>
        <v>0</v>
      </c>
      <c r="BU9" s="386">
        <f t="shared" si="17"/>
        <v>0</v>
      </c>
      <c r="BV9" s="386">
        <f t="shared" si="18"/>
        <v>79.030224000000004</v>
      </c>
      <c r="BW9" s="386">
        <f t="shared" si="19"/>
        <v>0</v>
      </c>
      <c r="BX9" s="386">
        <f t="shared" si="34"/>
        <v>8996.7128888000007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-215.137832</v>
      </c>
      <c r="CG9" s="386">
        <f t="shared" si="24"/>
        <v>0</v>
      </c>
      <c r="CH9" s="386">
        <f t="shared" si="25"/>
        <v>-13.171703999999997</v>
      </c>
      <c r="CI9" s="386">
        <f t="shared" si="26"/>
        <v>0</v>
      </c>
      <c r="CJ9" s="386">
        <f t="shared" si="39"/>
        <v>-228.30953600000001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232</v>
      </c>
      <c r="D10" s="376" t="s">
        <v>233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220</v>
      </c>
      <c r="K10" s="376" t="s">
        <v>234</v>
      </c>
      <c r="L10" s="376" t="s">
        <v>166</v>
      </c>
      <c r="M10" s="376" t="s">
        <v>171</v>
      </c>
      <c r="N10" s="376" t="s">
        <v>172</v>
      </c>
      <c r="O10" s="379">
        <v>1</v>
      </c>
      <c r="P10" s="384">
        <v>0.26</v>
      </c>
      <c r="Q10" s="384">
        <v>0.26</v>
      </c>
      <c r="R10" s="380">
        <v>80</v>
      </c>
      <c r="S10" s="384">
        <v>0.26</v>
      </c>
      <c r="T10" s="380">
        <v>13085.6</v>
      </c>
      <c r="U10" s="380">
        <v>0</v>
      </c>
      <c r="V10" s="380">
        <v>4690.66</v>
      </c>
      <c r="W10" s="380">
        <v>16272.67</v>
      </c>
      <c r="X10" s="380">
        <v>6448.04</v>
      </c>
      <c r="Y10" s="380">
        <v>16272.67</v>
      </c>
      <c r="Z10" s="380">
        <v>6363.42</v>
      </c>
      <c r="AA10" s="376" t="s">
        <v>235</v>
      </c>
      <c r="AB10" s="376" t="s">
        <v>236</v>
      </c>
      <c r="AC10" s="376" t="s">
        <v>237</v>
      </c>
      <c r="AD10" s="376" t="s">
        <v>238</v>
      </c>
      <c r="AE10" s="376" t="s">
        <v>234</v>
      </c>
      <c r="AF10" s="376" t="s">
        <v>177</v>
      </c>
      <c r="AG10" s="376" t="s">
        <v>178</v>
      </c>
      <c r="AH10" s="381">
        <v>30.09</v>
      </c>
      <c r="AI10" s="381">
        <v>4003.5</v>
      </c>
      <c r="AJ10" s="376" t="s">
        <v>179</v>
      </c>
      <c r="AK10" s="376" t="s">
        <v>180</v>
      </c>
      <c r="AL10" s="376" t="s">
        <v>170</v>
      </c>
      <c r="AM10" s="376" t="s">
        <v>181</v>
      </c>
      <c r="AN10" s="376" t="s">
        <v>68</v>
      </c>
      <c r="AO10" s="379">
        <v>80</v>
      </c>
      <c r="AP10" s="384">
        <v>1</v>
      </c>
      <c r="AQ10" s="384">
        <v>0.26</v>
      </c>
      <c r="AR10" s="382" t="s">
        <v>182</v>
      </c>
      <c r="AS10" s="386">
        <f t="shared" si="27"/>
        <v>0.26</v>
      </c>
      <c r="AT10">
        <f t="shared" si="28"/>
        <v>1</v>
      </c>
      <c r="AU10" s="386">
        <f>IF(AT10=0,"",IF(AND(AT10=1,M10="F",SUMIF(C2:C167,C10,AS2:AS167)&lt;=1),SUMIF(C2:C167,C10,AS2:AS167),IF(AND(AT10=1,M10="F",SUMIF(C2:C167,C10,AS2:AS167)&gt;1),1,"")))</f>
        <v>1</v>
      </c>
      <c r="AV10" s="386" t="str">
        <f>IF(AT10=0,"",IF(AND(AT10=3,M10="F",SUMIF(C2:C167,C10,AS2:AS167)&lt;=1),SUMIF(C2:C167,C10,AS2:AS167),IF(AND(AT10=3,M10="F",SUMIF(C2:C167,C10,AS2:AS167)&gt;1),1,"")))</f>
        <v/>
      </c>
      <c r="AW10" s="386">
        <f>SUMIF(C2:C167,C10,O2:O167)</f>
        <v>5</v>
      </c>
      <c r="AX10" s="386">
        <f>IF(AND(M10="F",AS10&lt;&gt;0),SUMIF(C2:C167,C10,W2:W167),0)</f>
        <v>62587.180000000008</v>
      </c>
      <c r="AY10" s="386">
        <f t="shared" si="29"/>
        <v>16272.67</v>
      </c>
      <c r="AZ10" s="386" t="str">
        <f t="shared" si="30"/>
        <v/>
      </c>
      <c r="BA10" s="386">
        <f t="shared" si="31"/>
        <v>0</v>
      </c>
      <c r="BB10" s="386">
        <f t="shared" si="0"/>
        <v>3029</v>
      </c>
      <c r="BC10" s="386">
        <f t="shared" si="1"/>
        <v>0</v>
      </c>
      <c r="BD10" s="386">
        <f t="shared" si="2"/>
        <v>1008.90554</v>
      </c>
      <c r="BE10" s="386">
        <f t="shared" si="3"/>
        <v>235.95371500000002</v>
      </c>
      <c r="BF10" s="386">
        <f t="shared" si="4"/>
        <v>1942.9567980000002</v>
      </c>
      <c r="BG10" s="386">
        <f t="shared" si="5"/>
        <v>117.32595070000001</v>
      </c>
      <c r="BH10" s="386">
        <f t="shared" si="6"/>
        <v>79.736082999999994</v>
      </c>
      <c r="BI10" s="386">
        <f t="shared" si="7"/>
        <v>0</v>
      </c>
      <c r="BJ10" s="386">
        <f t="shared" si="8"/>
        <v>34.172606999999999</v>
      </c>
      <c r="BK10" s="386">
        <f t="shared" si="9"/>
        <v>0</v>
      </c>
      <c r="BL10" s="386">
        <f t="shared" si="32"/>
        <v>3419.0506937</v>
      </c>
      <c r="BM10" s="386">
        <f t="shared" si="33"/>
        <v>0</v>
      </c>
      <c r="BN10" s="386">
        <f t="shared" si="10"/>
        <v>3029</v>
      </c>
      <c r="BO10" s="386">
        <f t="shared" si="11"/>
        <v>0</v>
      </c>
      <c r="BP10" s="386">
        <f t="shared" si="12"/>
        <v>1008.90554</v>
      </c>
      <c r="BQ10" s="386">
        <f t="shared" si="13"/>
        <v>235.95371500000002</v>
      </c>
      <c r="BR10" s="386">
        <f t="shared" si="14"/>
        <v>1942.9567980000002</v>
      </c>
      <c r="BS10" s="386">
        <f t="shared" si="15"/>
        <v>117.32595070000001</v>
      </c>
      <c r="BT10" s="386">
        <f t="shared" si="16"/>
        <v>0</v>
      </c>
      <c r="BU10" s="386">
        <f t="shared" si="17"/>
        <v>0</v>
      </c>
      <c r="BV10" s="386">
        <f t="shared" si="18"/>
        <v>29.290806</v>
      </c>
      <c r="BW10" s="386">
        <f t="shared" si="19"/>
        <v>0</v>
      </c>
      <c r="BX10" s="386">
        <f t="shared" si="34"/>
        <v>3334.4328097000002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-79.736082999999994</v>
      </c>
      <c r="CG10" s="386">
        <f t="shared" si="24"/>
        <v>0</v>
      </c>
      <c r="CH10" s="386">
        <f t="shared" si="25"/>
        <v>-4.8818009999999985</v>
      </c>
      <c r="CI10" s="386">
        <f t="shared" si="26"/>
        <v>0</v>
      </c>
      <c r="CJ10" s="386">
        <f t="shared" si="39"/>
        <v>-84.617883999999989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239</v>
      </c>
      <c r="D11" s="376" t="s">
        <v>240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241</v>
      </c>
      <c r="L11" s="376" t="s">
        <v>166</v>
      </c>
      <c r="M11" s="376" t="s">
        <v>171</v>
      </c>
      <c r="N11" s="376" t="s">
        <v>172</v>
      </c>
      <c r="O11" s="379">
        <v>1</v>
      </c>
      <c r="P11" s="384">
        <v>1</v>
      </c>
      <c r="Q11" s="384">
        <v>1</v>
      </c>
      <c r="R11" s="380">
        <v>80</v>
      </c>
      <c r="S11" s="384">
        <v>1</v>
      </c>
      <c r="T11" s="380">
        <v>48262.89</v>
      </c>
      <c r="U11" s="380">
        <v>0</v>
      </c>
      <c r="V11" s="380">
        <v>19223.5</v>
      </c>
      <c r="W11" s="380">
        <v>44122</v>
      </c>
      <c r="X11" s="380">
        <v>20920.43</v>
      </c>
      <c r="Y11" s="380">
        <v>44122</v>
      </c>
      <c r="Z11" s="380">
        <v>20691</v>
      </c>
      <c r="AA11" s="376" t="s">
        <v>242</v>
      </c>
      <c r="AB11" s="376" t="s">
        <v>243</v>
      </c>
      <c r="AC11" s="376" t="s">
        <v>244</v>
      </c>
      <c r="AD11" s="376" t="s">
        <v>245</v>
      </c>
      <c r="AE11" s="376" t="s">
        <v>241</v>
      </c>
      <c r="AF11" s="376" t="s">
        <v>177</v>
      </c>
      <c r="AG11" s="376" t="s">
        <v>178</v>
      </c>
      <c r="AH11" s="381">
        <v>33.94</v>
      </c>
      <c r="AI11" s="381">
        <v>14339.5</v>
      </c>
      <c r="AJ11" s="376" t="s">
        <v>246</v>
      </c>
      <c r="AK11" s="376" t="s">
        <v>180</v>
      </c>
      <c r="AL11" s="376" t="s">
        <v>170</v>
      </c>
      <c r="AM11" s="376" t="s">
        <v>181</v>
      </c>
      <c r="AN11" s="376" t="s">
        <v>68</v>
      </c>
      <c r="AO11" s="379">
        <v>50</v>
      </c>
      <c r="AP11" s="384">
        <v>1</v>
      </c>
      <c r="AQ11" s="384">
        <v>0.62</v>
      </c>
      <c r="AR11" s="382" t="s">
        <v>182</v>
      </c>
      <c r="AS11" s="386">
        <f t="shared" si="27"/>
        <v>0.625</v>
      </c>
      <c r="AT11">
        <f t="shared" si="28"/>
        <v>1</v>
      </c>
      <c r="AU11" s="386">
        <f>IF(AT11=0,"",IF(AND(AT11=1,M11="F",SUMIF(C2:C167,C11,AS2:AS167)&lt;=1),SUMIF(C2:C167,C11,AS2:AS167),IF(AND(AT11=1,M11="F",SUMIF(C2:C167,C11,AS2:AS167)&gt;1),1,"")))</f>
        <v>0.625</v>
      </c>
      <c r="AV11" s="386" t="str">
        <f>IF(AT11=0,"",IF(AND(AT11=3,M11="F",SUMIF(C2:C167,C11,AS2:AS167)&lt;=1),SUMIF(C2:C167,C11,AS2:AS167),IF(AND(AT11=3,M11="F",SUMIF(C2:C167,C11,AS2:AS167)&gt;1),1,"")))</f>
        <v/>
      </c>
      <c r="AW11" s="386">
        <f>SUMIF(C2:C167,C11,O2:O167)</f>
        <v>1</v>
      </c>
      <c r="AX11" s="386">
        <f>IF(AND(M11="F",AS11&lt;&gt;0),SUMIF(C2:C167,C11,W2:W167),0)</f>
        <v>44122</v>
      </c>
      <c r="AY11" s="386">
        <f t="shared" si="29"/>
        <v>44122</v>
      </c>
      <c r="AZ11" s="386" t="str">
        <f t="shared" si="30"/>
        <v/>
      </c>
      <c r="BA11" s="386">
        <f t="shared" si="31"/>
        <v>0</v>
      </c>
      <c r="BB11" s="386">
        <f t="shared" si="0"/>
        <v>9320</v>
      </c>
      <c r="BC11" s="386">
        <f t="shared" si="1"/>
        <v>0</v>
      </c>
      <c r="BD11" s="386">
        <f t="shared" si="2"/>
        <v>2735.5639999999999</v>
      </c>
      <c r="BE11" s="386">
        <f t="shared" si="3"/>
        <v>639.76900000000001</v>
      </c>
      <c r="BF11" s="386">
        <f t="shared" si="4"/>
        <v>5268.1668</v>
      </c>
      <c r="BG11" s="386">
        <f t="shared" si="5"/>
        <v>318.11962</v>
      </c>
      <c r="BH11" s="386">
        <f t="shared" si="6"/>
        <v>216.1978</v>
      </c>
      <c r="BI11" s="386">
        <f t="shared" si="7"/>
        <v>0</v>
      </c>
      <c r="BJ11" s="386">
        <f t="shared" si="8"/>
        <v>92.656199999999998</v>
      </c>
      <c r="BK11" s="386">
        <f t="shared" si="9"/>
        <v>0</v>
      </c>
      <c r="BL11" s="386">
        <f t="shared" si="32"/>
        <v>9270.4734199999984</v>
      </c>
      <c r="BM11" s="386">
        <f t="shared" si="33"/>
        <v>0</v>
      </c>
      <c r="BN11" s="386">
        <f t="shared" si="10"/>
        <v>9320</v>
      </c>
      <c r="BO11" s="386">
        <f t="shared" si="11"/>
        <v>0</v>
      </c>
      <c r="BP11" s="386">
        <f t="shared" si="12"/>
        <v>2735.5639999999999</v>
      </c>
      <c r="BQ11" s="386">
        <f t="shared" si="13"/>
        <v>639.76900000000001</v>
      </c>
      <c r="BR11" s="386">
        <f t="shared" si="14"/>
        <v>5268.1668</v>
      </c>
      <c r="BS11" s="386">
        <f t="shared" si="15"/>
        <v>318.11962</v>
      </c>
      <c r="BT11" s="386">
        <f t="shared" si="16"/>
        <v>0</v>
      </c>
      <c r="BU11" s="386">
        <f t="shared" si="17"/>
        <v>0</v>
      </c>
      <c r="BV11" s="386">
        <f t="shared" si="18"/>
        <v>79.419600000000003</v>
      </c>
      <c r="BW11" s="386">
        <f t="shared" si="19"/>
        <v>0</v>
      </c>
      <c r="BX11" s="386">
        <f t="shared" si="34"/>
        <v>9041.0390199999983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0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-216.1978</v>
      </c>
      <c r="CG11" s="386">
        <f t="shared" si="24"/>
        <v>0</v>
      </c>
      <c r="CH11" s="386">
        <f t="shared" si="25"/>
        <v>-13.236599999999996</v>
      </c>
      <c r="CI11" s="386">
        <f t="shared" si="26"/>
        <v>0</v>
      </c>
      <c r="CJ11" s="386">
        <f t="shared" si="39"/>
        <v>-229.43439999999998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247</v>
      </c>
      <c r="D12" s="376" t="s">
        <v>206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207</v>
      </c>
      <c r="L12" s="376" t="s">
        <v>166</v>
      </c>
      <c r="M12" s="376" t="s">
        <v>171</v>
      </c>
      <c r="N12" s="376" t="s">
        <v>172</v>
      </c>
      <c r="O12" s="379">
        <v>1</v>
      </c>
      <c r="P12" s="384">
        <v>1</v>
      </c>
      <c r="Q12" s="384">
        <v>1</v>
      </c>
      <c r="R12" s="380">
        <v>80</v>
      </c>
      <c r="S12" s="384">
        <v>1</v>
      </c>
      <c r="T12" s="380">
        <v>5440</v>
      </c>
      <c r="U12" s="380">
        <v>0</v>
      </c>
      <c r="V12" s="380">
        <v>2065.4899999999998</v>
      </c>
      <c r="W12" s="380">
        <v>70720</v>
      </c>
      <c r="X12" s="380">
        <v>26508.959999999999</v>
      </c>
      <c r="Y12" s="380">
        <v>70720</v>
      </c>
      <c r="Z12" s="380">
        <v>26141.22</v>
      </c>
      <c r="AA12" s="376" t="s">
        <v>248</v>
      </c>
      <c r="AB12" s="376" t="s">
        <v>249</v>
      </c>
      <c r="AC12" s="376" t="s">
        <v>250</v>
      </c>
      <c r="AD12" s="376" t="s">
        <v>251</v>
      </c>
      <c r="AE12" s="376" t="s">
        <v>207</v>
      </c>
      <c r="AF12" s="376" t="s">
        <v>177</v>
      </c>
      <c r="AG12" s="376" t="s">
        <v>178</v>
      </c>
      <c r="AH12" s="379">
        <v>34</v>
      </c>
      <c r="AI12" s="379">
        <v>2537</v>
      </c>
      <c r="AJ12" s="376" t="s">
        <v>179</v>
      </c>
      <c r="AK12" s="376" t="s">
        <v>180</v>
      </c>
      <c r="AL12" s="376" t="s">
        <v>170</v>
      </c>
      <c r="AM12" s="376" t="s">
        <v>181</v>
      </c>
      <c r="AN12" s="376" t="s">
        <v>68</v>
      </c>
      <c r="AO12" s="379">
        <v>80</v>
      </c>
      <c r="AP12" s="384">
        <v>1</v>
      </c>
      <c r="AQ12" s="384">
        <v>1</v>
      </c>
      <c r="AR12" s="382" t="s">
        <v>182</v>
      </c>
      <c r="AS12" s="386">
        <f t="shared" si="27"/>
        <v>1</v>
      </c>
      <c r="AT12">
        <f t="shared" si="28"/>
        <v>1</v>
      </c>
      <c r="AU12" s="386">
        <f>IF(AT12=0,"",IF(AND(AT12=1,M12="F",SUMIF(C2:C167,C12,AS2:AS167)&lt;=1),SUMIF(C2:C167,C12,AS2:AS167),IF(AND(AT12=1,M12="F",SUMIF(C2:C167,C12,AS2:AS167)&gt;1),1,"")))</f>
        <v>1</v>
      </c>
      <c r="AV12" s="386" t="str">
        <f>IF(AT12=0,"",IF(AND(AT12=3,M12="F",SUMIF(C2:C167,C12,AS2:AS167)&lt;=1),SUMIF(C2:C167,C12,AS2:AS167),IF(AND(AT12=3,M12="F",SUMIF(C2:C167,C12,AS2:AS167)&gt;1),1,"")))</f>
        <v/>
      </c>
      <c r="AW12" s="386">
        <f>SUMIF(C2:C167,C12,O2:O167)</f>
        <v>1</v>
      </c>
      <c r="AX12" s="386">
        <f>IF(AND(M12="F",AS12&lt;&gt;0),SUMIF(C2:C167,C12,W2:W167),0)</f>
        <v>70720</v>
      </c>
      <c r="AY12" s="386">
        <f t="shared" si="29"/>
        <v>70720</v>
      </c>
      <c r="AZ12" s="386" t="str">
        <f t="shared" si="30"/>
        <v/>
      </c>
      <c r="BA12" s="386">
        <f t="shared" si="31"/>
        <v>0</v>
      </c>
      <c r="BB12" s="386">
        <f t="shared" si="0"/>
        <v>11650</v>
      </c>
      <c r="BC12" s="386">
        <f t="shared" si="1"/>
        <v>0</v>
      </c>
      <c r="BD12" s="386">
        <f t="shared" si="2"/>
        <v>4384.6400000000003</v>
      </c>
      <c r="BE12" s="386">
        <f t="shared" si="3"/>
        <v>1025.44</v>
      </c>
      <c r="BF12" s="386">
        <f t="shared" si="4"/>
        <v>8443.9680000000008</v>
      </c>
      <c r="BG12" s="386">
        <f t="shared" si="5"/>
        <v>509.89120000000003</v>
      </c>
      <c r="BH12" s="386">
        <f t="shared" si="6"/>
        <v>346.52799999999996</v>
      </c>
      <c r="BI12" s="386">
        <f t="shared" si="7"/>
        <v>0</v>
      </c>
      <c r="BJ12" s="386">
        <f t="shared" si="8"/>
        <v>148.512</v>
      </c>
      <c r="BK12" s="386">
        <f t="shared" si="9"/>
        <v>0</v>
      </c>
      <c r="BL12" s="386">
        <f t="shared" si="32"/>
        <v>14858.979200000002</v>
      </c>
      <c r="BM12" s="386">
        <f t="shared" si="33"/>
        <v>0</v>
      </c>
      <c r="BN12" s="386">
        <f t="shared" si="10"/>
        <v>11650</v>
      </c>
      <c r="BO12" s="386">
        <f t="shared" si="11"/>
        <v>0</v>
      </c>
      <c r="BP12" s="386">
        <f t="shared" si="12"/>
        <v>4384.6400000000003</v>
      </c>
      <c r="BQ12" s="386">
        <f t="shared" si="13"/>
        <v>1025.44</v>
      </c>
      <c r="BR12" s="386">
        <f t="shared" si="14"/>
        <v>8443.9680000000008</v>
      </c>
      <c r="BS12" s="386">
        <f t="shared" si="15"/>
        <v>509.89120000000003</v>
      </c>
      <c r="BT12" s="386">
        <f t="shared" si="16"/>
        <v>0</v>
      </c>
      <c r="BU12" s="386">
        <f t="shared" si="17"/>
        <v>0</v>
      </c>
      <c r="BV12" s="386">
        <f t="shared" si="18"/>
        <v>127.29599999999999</v>
      </c>
      <c r="BW12" s="386">
        <f t="shared" si="19"/>
        <v>0</v>
      </c>
      <c r="BX12" s="386">
        <f t="shared" si="34"/>
        <v>14491.235200000001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-346.52799999999996</v>
      </c>
      <c r="CG12" s="386">
        <f t="shared" si="24"/>
        <v>0</v>
      </c>
      <c r="CH12" s="386">
        <f t="shared" si="25"/>
        <v>-21.215999999999994</v>
      </c>
      <c r="CI12" s="386">
        <f t="shared" si="26"/>
        <v>0</v>
      </c>
      <c r="CJ12" s="386">
        <f t="shared" si="39"/>
        <v>-367.74399999999997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252</v>
      </c>
      <c r="D13" s="376" t="s">
        <v>253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185</v>
      </c>
      <c r="K13" s="376" t="s">
        <v>254</v>
      </c>
      <c r="L13" s="376" t="s">
        <v>166</v>
      </c>
      <c r="M13" s="376" t="s">
        <v>171</v>
      </c>
      <c r="N13" s="376" t="s">
        <v>172</v>
      </c>
      <c r="O13" s="379">
        <v>1</v>
      </c>
      <c r="P13" s="384">
        <v>0.2</v>
      </c>
      <c r="Q13" s="384">
        <v>0.2</v>
      </c>
      <c r="R13" s="380">
        <v>80</v>
      </c>
      <c r="S13" s="384">
        <v>0.2</v>
      </c>
      <c r="T13" s="380">
        <v>26475.67</v>
      </c>
      <c r="U13" s="380">
        <v>0</v>
      </c>
      <c r="V13" s="380">
        <v>7681.93</v>
      </c>
      <c r="W13" s="380">
        <v>26698.880000000001</v>
      </c>
      <c r="X13" s="380">
        <v>7939.69</v>
      </c>
      <c r="Y13" s="380">
        <v>26698.880000000001</v>
      </c>
      <c r="Z13" s="380">
        <v>7800.86</v>
      </c>
      <c r="AA13" s="376" t="s">
        <v>255</v>
      </c>
      <c r="AB13" s="376" t="s">
        <v>256</v>
      </c>
      <c r="AC13" s="376" t="s">
        <v>257</v>
      </c>
      <c r="AD13" s="376" t="s">
        <v>211</v>
      </c>
      <c r="AE13" s="376" t="s">
        <v>254</v>
      </c>
      <c r="AF13" s="376" t="s">
        <v>177</v>
      </c>
      <c r="AG13" s="376" t="s">
        <v>178</v>
      </c>
      <c r="AH13" s="381">
        <v>64.180000000000007</v>
      </c>
      <c r="AI13" s="381">
        <v>19898.7</v>
      </c>
      <c r="AJ13" s="376" t="s">
        <v>179</v>
      </c>
      <c r="AK13" s="376" t="s">
        <v>180</v>
      </c>
      <c r="AL13" s="376" t="s">
        <v>170</v>
      </c>
      <c r="AM13" s="376" t="s">
        <v>181</v>
      </c>
      <c r="AN13" s="376" t="s">
        <v>68</v>
      </c>
      <c r="AO13" s="379">
        <v>80</v>
      </c>
      <c r="AP13" s="384">
        <v>1</v>
      </c>
      <c r="AQ13" s="384">
        <v>0.2</v>
      </c>
      <c r="AR13" s="382" t="s">
        <v>182</v>
      </c>
      <c r="AS13" s="386">
        <f t="shared" si="27"/>
        <v>0.2</v>
      </c>
      <c r="AT13">
        <f t="shared" si="28"/>
        <v>1</v>
      </c>
      <c r="AU13" s="386">
        <f>IF(AT13=0,"",IF(AND(AT13=1,M13="F",SUMIF(C2:C167,C13,AS2:AS167)&lt;=1),SUMIF(C2:C167,C13,AS2:AS167),IF(AND(AT13=1,M13="F",SUMIF(C2:C167,C13,AS2:AS167)&gt;1),1,"")))</f>
        <v>1</v>
      </c>
      <c r="AV13" s="386" t="str">
        <f>IF(AT13=0,"",IF(AND(AT13=3,M13="F",SUMIF(C2:C167,C13,AS2:AS167)&lt;=1),SUMIF(C2:C167,C13,AS2:AS167),IF(AND(AT13=3,M13="F",SUMIF(C2:C167,C13,AS2:AS167)&gt;1),1,"")))</f>
        <v/>
      </c>
      <c r="AW13" s="386">
        <f>SUMIF(C2:C167,C13,O2:O167)</f>
        <v>4</v>
      </c>
      <c r="AX13" s="386">
        <f>IF(AND(M13="F",AS13&lt;&gt;0),SUMIF(C2:C167,C13,W2:W167),0)</f>
        <v>133494.39999999999</v>
      </c>
      <c r="AY13" s="386">
        <f t="shared" si="29"/>
        <v>26698.880000000001</v>
      </c>
      <c r="AZ13" s="386" t="str">
        <f t="shared" si="30"/>
        <v/>
      </c>
      <c r="BA13" s="386">
        <f t="shared" si="31"/>
        <v>0</v>
      </c>
      <c r="BB13" s="386">
        <f t="shared" si="0"/>
        <v>2330</v>
      </c>
      <c r="BC13" s="386">
        <f t="shared" si="1"/>
        <v>0</v>
      </c>
      <c r="BD13" s="386">
        <f t="shared" si="2"/>
        <v>1655.3305600000001</v>
      </c>
      <c r="BE13" s="386">
        <f t="shared" si="3"/>
        <v>387.13376000000005</v>
      </c>
      <c r="BF13" s="386">
        <f t="shared" si="4"/>
        <v>3187.8462720000002</v>
      </c>
      <c r="BG13" s="386">
        <f t="shared" si="5"/>
        <v>192.49892480000003</v>
      </c>
      <c r="BH13" s="386">
        <f t="shared" si="6"/>
        <v>130.824512</v>
      </c>
      <c r="BI13" s="386">
        <f t="shared" si="7"/>
        <v>0</v>
      </c>
      <c r="BJ13" s="386">
        <f t="shared" si="8"/>
        <v>56.067647999999998</v>
      </c>
      <c r="BK13" s="386">
        <f t="shared" si="9"/>
        <v>0</v>
      </c>
      <c r="BL13" s="386">
        <f t="shared" si="32"/>
        <v>5609.7016768000003</v>
      </c>
      <c r="BM13" s="386">
        <f t="shared" si="33"/>
        <v>0</v>
      </c>
      <c r="BN13" s="386">
        <f t="shared" si="10"/>
        <v>2330</v>
      </c>
      <c r="BO13" s="386">
        <f t="shared" si="11"/>
        <v>0</v>
      </c>
      <c r="BP13" s="386">
        <f t="shared" si="12"/>
        <v>1655.3305600000001</v>
      </c>
      <c r="BQ13" s="386">
        <f t="shared" si="13"/>
        <v>387.13376000000005</v>
      </c>
      <c r="BR13" s="386">
        <f t="shared" si="14"/>
        <v>3187.8462720000002</v>
      </c>
      <c r="BS13" s="386">
        <f t="shared" si="15"/>
        <v>192.49892480000003</v>
      </c>
      <c r="BT13" s="386">
        <f t="shared" si="16"/>
        <v>0</v>
      </c>
      <c r="BU13" s="386">
        <f t="shared" si="17"/>
        <v>0</v>
      </c>
      <c r="BV13" s="386">
        <f t="shared" si="18"/>
        <v>48.057983999999998</v>
      </c>
      <c r="BW13" s="386">
        <f t="shared" si="19"/>
        <v>0</v>
      </c>
      <c r="BX13" s="386">
        <f t="shared" si="34"/>
        <v>5470.8675008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-130.824512</v>
      </c>
      <c r="CG13" s="386">
        <f t="shared" si="24"/>
        <v>0</v>
      </c>
      <c r="CH13" s="386">
        <f t="shared" si="25"/>
        <v>-8.009663999999999</v>
      </c>
      <c r="CI13" s="386">
        <f t="shared" si="26"/>
        <v>0</v>
      </c>
      <c r="CJ13" s="386">
        <f t="shared" si="39"/>
        <v>-138.83417599999999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258</v>
      </c>
      <c r="D14" s="376" t="s">
        <v>259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260</v>
      </c>
      <c r="L14" s="376" t="s">
        <v>166</v>
      </c>
      <c r="M14" s="376" t="s">
        <v>171</v>
      </c>
      <c r="N14" s="376" t="s">
        <v>172</v>
      </c>
      <c r="O14" s="379">
        <v>1</v>
      </c>
      <c r="P14" s="384">
        <v>1</v>
      </c>
      <c r="Q14" s="384">
        <v>1</v>
      </c>
      <c r="R14" s="380">
        <v>80</v>
      </c>
      <c r="S14" s="384">
        <v>1</v>
      </c>
      <c r="T14" s="380">
        <v>117556.7</v>
      </c>
      <c r="U14" s="380">
        <v>0</v>
      </c>
      <c r="V14" s="380">
        <v>35420.230000000003</v>
      </c>
      <c r="W14" s="380">
        <v>117556.7</v>
      </c>
      <c r="X14" s="380">
        <v>35773.78</v>
      </c>
      <c r="Y14" s="380">
        <v>117556.7</v>
      </c>
      <c r="Z14" s="380">
        <v>35738.519999999997</v>
      </c>
      <c r="AA14" s="376" t="s">
        <v>261</v>
      </c>
      <c r="AB14" s="376" t="s">
        <v>262</v>
      </c>
      <c r="AC14" s="376" t="s">
        <v>263</v>
      </c>
      <c r="AD14" s="376" t="s">
        <v>264</v>
      </c>
      <c r="AE14" s="376" t="s">
        <v>260</v>
      </c>
      <c r="AF14" s="376" t="s">
        <v>177</v>
      </c>
      <c r="AG14" s="376" t="s">
        <v>265</v>
      </c>
      <c r="AH14" s="381">
        <v>117556.7</v>
      </c>
      <c r="AI14" s="381">
        <v>49882.9</v>
      </c>
      <c r="AJ14" s="376" t="s">
        <v>266</v>
      </c>
      <c r="AK14" s="376" t="s">
        <v>180</v>
      </c>
      <c r="AL14" s="376" t="s">
        <v>170</v>
      </c>
      <c r="AM14" s="376" t="s">
        <v>170</v>
      </c>
      <c r="AN14" s="376" t="s">
        <v>68</v>
      </c>
      <c r="AO14" s="379">
        <v>80</v>
      </c>
      <c r="AP14" s="384">
        <v>1</v>
      </c>
      <c r="AQ14" s="384">
        <v>1</v>
      </c>
      <c r="AR14" s="382" t="s">
        <v>182</v>
      </c>
      <c r="AS14" s="386">
        <f t="shared" si="27"/>
        <v>1</v>
      </c>
      <c r="AT14">
        <f t="shared" si="28"/>
        <v>3</v>
      </c>
      <c r="AU14" s="386" t="str">
        <f>IF(AT14=0,"",IF(AND(AT14=1,M14="F",SUMIF(C2:C167,C14,AS2:AS167)&lt;=1),SUMIF(C2:C167,C14,AS2:AS167),IF(AND(AT14=1,M14="F",SUMIF(C2:C167,C14,AS2:AS167)&gt;1),1,"")))</f>
        <v/>
      </c>
      <c r="AV14" s="386">
        <f>IF(AT14=0,"",IF(AND(AT14=3,M14="F",SUMIF(C2:C167,C14,AS2:AS167)&lt;=1),SUMIF(C2:C167,C14,AS2:AS167),IF(AND(AT14=3,M14="F",SUMIF(C2:C167,C14,AS2:AS167)&gt;1),1,"")))</f>
        <v>1</v>
      </c>
      <c r="AW14" s="386">
        <f>SUMIF(C2:C167,C14,O2:O167)</f>
        <v>1</v>
      </c>
      <c r="AX14" s="386">
        <f>IF(AND(M14="F",AS14&lt;&gt;0),SUMIF(C2:C167,C14,W2:W167),0)</f>
        <v>117556.7</v>
      </c>
      <c r="AY14" s="386" t="str">
        <f t="shared" si="29"/>
        <v/>
      </c>
      <c r="AZ14" s="386">
        <f t="shared" si="30"/>
        <v>117556.7</v>
      </c>
      <c r="BA14" s="386">
        <f t="shared" si="31"/>
        <v>0</v>
      </c>
      <c r="BB14" s="386">
        <f t="shared" si="0"/>
        <v>0</v>
      </c>
      <c r="BC14" s="386">
        <f t="shared" si="1"/>
        <v>11650</v>
      </c>
      <c r="BD14" s="386">
        <f t="shared" si="2"/>
        <v>7288.5153999999993</v>
      </c>
      <c r="BE14" s="386">
        <f t="shared" si="3"/>
        <v>1704.57215</v>
      </c>
      <c r="BF14" s="386">
        <f t="shared" si="4"/>
        <v>14036.269980000001</v>
      </c>
      <c r="BG14" s="386">
        <f t="shared" si="5"/>
        <v>847.58380699999998</v>
      </c>
      <c r="BH14" s="386">
        <f t="shared" si="6"/>
        <v>0</v>
      </c>
      <c r="BI14" s="386">
        <f t="shared" si="7"/>
        <v>0</v>
      </c>
      <c r="BJ14" s="386">
        <f t="shared" si="8"/>
        <v>246.86906999999997</v>
      </c>
      <c r="BK14" s="386">
        <f t="shared" si="9"/>
        <v>0</v>
      </c>
      <c r="BL14" s="386">
        <f t="shared" si="32"/>
        <v>0</v>
      </c>
      <c r="BM14" s="386">
        <f t="shared" si="33"/>
        <v>24123.810407000001</v>
      </c>
      <c r="BN14" s="386">
        <f t="shared" si="10"/>
        <v>0</v>
      </c>
      <c r="BO14" s="386">
        <f t="shared" si="11"/>
        <v>11650</v>
      </c>
      <c r="BP14" s="386">
        <f t="shared" si="12"/>
        <v>7288.5153999999993</v>
      </c>
      <c r="BQ14" s="386">
        <f t="shared" si="13"/>
        <v>1704.57215</v>
      </c>
      <c r="BR14" s="386">
        <f t="shared" si="14"/>
        <v>14036.269980000001</v>
      </c>
      <c r="BS14" s="386">
        <f t="shared" si="15"/>
        <v>847.58380699999998</v>
      </c>
      <c r="BT14" s="386">
        <f t="shared" si="16"/>
        <v>0</v>
      </c>
      <c r="BU14" s="386">
        <f t="shared" si="17"/>
        <v>0</v>
      </c>
      <c r="BV14" s="386">
        <f t="shared" si="18"/>
        <v>211.60205999999999</v>
      </c>
      <c r="BW14" s="386">
        <f t="shared" si="19"/>
        <v>0</v>
      </c>
      <c r="BX14" s="386">
        <f t="shared" si="34"/>
        <v>0</v>
      </c>
      <c r="BY14" s="386">
        <f t="shared" si="35"/>
        <v>24088.543397000001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0</v>
      </c>
      <c r="CG14" s="386">
        <f t="shared" si="24"/>
        <v>0</v>
      </c>
      <c r="CH14" s="386">
        <f t="shared" si="25"/>
        <v>-35.267009999999992</v>
      </c>
      <c r="CI14" s="386">
        <f t="shared" si="26"/>
        <v>0</v>
      </c>
      <c r="CJ14" s="386">
        <f t="shared" si="39"/>
        <v>0</v>
      </c>
      <c r="CK14" s="386">
        <f t="shared" si="40"/>
        <v>-35.267009999999992</v>
      </c>
      <c r="CL14" s="386" t="str">
        <f t="shared" si="41"/>
        <v/>
      </c>
      <c r="CM14" s="386" t="str">
        <f t="shared" si="42"/>
        <v/>
      </c>
      <c r="CN14" s="386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267</v>
      </c>
      <c r="D15" s="376" t="s">
        <v>268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269</v>
      </c>
      <c r="L15" s="376" t="s">
        <v>166</v>
      </c>
      <c r="M15" s="376" t="s">
        <v>171</v>
      </c>
      <c r="N15" s="376" t="s">
        <v>270</v>
      </c>
      <c r="O15" s="379">
        <v>0</v>
      </c>
      <c r="P15" s="384">
        <v>1</v>
      </c>
      <c r="Q15" s="384">
        <v>0</v>
      </c>
      <c r="R15" s="380">
        <v>0</v>
      </c>
      <c r="S15" s="384">
        <v>0</v>
      </c>
      <c r="T15" s="380">
        <v>17819.419999999998</v>
      </c>
      <c r="U15" s="380">
        <v>0</v>
      </c>
      <c r="V15" s="380">
        <v>2603.4</v>
      </c>
      <c r="W15" s="380">
        <v>204958.94</v>
      </c>
      <c r="X15" s="380">
        <v>83430.95</v>
      </c>
      <c r="Y15" s="380">
        <v>204958.94</v>
      </c>
      <c r="Z15" s="380">
        <v>83430.95</v>
      </c>
      <c r="AA15" s="378"/>
      <c r="AB15" s="376" t="s">
        <v>45</v>
      </c>
      <c r="AC15" s="376" t="s">
        <v>45</v>
      </c>
      <c r="AD15" s="378"/>
      <c r="AE15" s="378"/>
      <c r="AF15" s="378"/>
      <c r="AG15" s="378"/>
      <c r="AH15" s="379">
        <v>0</v>
      </c>
      <c r="AI15" s="379">
        <v>0</v>
      </c>
      <c r="AJ15" s="378"/>
      <c r="AK15" s="378"/>
      <c r="AL15" s="376" t="s">
        <v>170</v>
      </c>
      <c r="AM15" s="378"/>
      <c r="AN15" s="378"/>
      <c r="AO15" s="379">
        <v>0</v>
      </c>
      <c r="AP15" s="384">
        <v>0</v>
      </c>
      <c r="AQ15" s="384">
        <v>0</v>
      </c>
      <c r="AR15" s="383"/>
      <c r="AS15" s="386">
        <f t="shared" si="27"/>
        <v>0</v>
      </c>
      <c r="AT15">
        <f t="shared" si="28"/>
        <v>0</v>
      </c>
      <c r="AU15" s="386" t="str">
        <f>IF(AT15=0,"",IF(AND(AT15=1,M15="F",SUMIF(C2:C167,C15,AS2:AS167)&lt;=1),SUMIF(C2:C167,C15,AS2:AS167),IF(AND(AT15=1,M15="F",SUMIF(C2:C167,C15,AS2:AS167)&gt;1),1,"")))</f>
        <v/>
      </c>
      <c r="AV15" s="386" t="str">
        <f>IF(AT15=0,"",IF(AND(AT15=3,M15="F",SUMIF(C2:C167,C15,AS2:AS167)&lt;=1),SUMIF(C2:C167,C15,AS2:AS167),IF(AND(AT15=3,M15="F",SUMIF(C2:C167,C15,AS2:AS167)&gt;1),1,"")))</f>
        <v/>
      </c>
      <c r="AW15" s="386">
        <f>SUMIF(C2:C167,C15,O2:O167)</f>
        <v>0</v>
      </c>
      <c r="AX15" s="386">
        <f>IF(AND(M15="F",AS15&lt;&gt;0),SUMIF(C2:C167,C15,W2:W167),0)</f>
        <v>0</v>
      </c>
      <c r="AY15" s="386" t="str">
        <f t="shared" si="29"/>
        <v/>
      </c>
      <c r="AZ15" s="386" t="str">
        <f t="shared" si="30"/>
        <v/>
      </c>
      <c r="BA15" s="386">
        <f t="shared" si="31"/>
        <v>0</v>
      </c>
      <c r="BB15" s="386">
        <f t="shared" si="0"/>
        <v>0</v>
      </c>
      <c r="BC15" s="386">
        <f t="shared" si="1"/>
        <v>0</v>
      </c>
      <c r="BD15" s="386">
        <f t="shared" si="2"/>
        <v>0</v>
      </c>
      <c r="BE15" s="386">
        <f t="shared" si="3"/>
        <v>0</v>
      </c>
      <c r="BF15" s="386">
        <f t="shared" si="4"/>
        <v>0</v>
      </c>
      <c r="BG15" s="386">
        <f t="shared" si="5"/>
        <v>0</v>
      </c>
      <c r="BH15" s="386">
        <f t="shared" si="6"/>
        <v>0</v>
      </c>
      <c r="BI15" s="386">
        <f t="shared" si="7"/>
        <v>0</v>
      </c>
      <c r="BJ15" s="386">
        <f t="shared" si="8"/>
        <v>0</v>
      </c>
      <c r="BK15" s="386">
        <f t="shared" si="9"/>
        <v>0</v>
      </c>
      <c r="BL15" s="386">
        <f t="shared" si="32"/>
        <v>0</v>
      </c>
      <c r="BM15" s="386">
        <f t="shared" si="33"/>
        <v>0</v>
      </c>
      <c r="BN15" s="386">
        <f t="shared" si="10"/>
        <v>0</v>
      </c>
      <c r="BO15" s="386">
        <f t="shared" si="11"/>
        <v>0</v>
      </c>
      <c r="BP15" s="386">
        <f t="shared" si="12"/>
        <v>0</v>
      </c>
      <c r="BQ15" s="386">
        <f t="shared" si="13"/>
        <v>0</v>
      </c>
      <c r="BR15" s="386">
        <f t="shared" si="14"/>
        <v>0</v>
      </c>
      <c r="BS15" s="386">
        <f t="shared" si="15"/>
        <v>0</v>
      </c>
      <c r="BT15" s="386">
        <f t="shared" si="16"/>
        <v>0</v>
      </c>
      <c r="BU15" s="386">
        <f t="shared" si="17"/>
        <v>0</v>
      </c>
      <c r="BV15" s="386">
        <f t="shared" si="18"/>
        <v>0</v>
      </c>
      <c r="BW15" s="386">
        <f t="shared" si="19"/>
        <v>0</v>
      </c>
      <c r="BX15" s="386">
        <f t="shared" si="34"/>
        <v>0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0</v>
      </c>
      <c r="CG15" s="386">
        <f t="shared" si="24"/>
        <v>0</v>
      </c>
      <c r="CH15" s="386">
        <f t="shared" si="25"/>
        <v>0</v>
      </c>
      <c r="CI15" s="386">
        <f t="shared" si="26"/>
        <v>0</v>
      </c>
      <c r="CJ15" s="386">
        <f t="shared" si="39"/>
        <v>0</v>
      </c>
      <c r="CK15" s="386" t="str">
        <f t="shared" si="40"/>
        <v/>
      </c>
      <c r="CL15" s="386">
        <f t="shared" si="41"/>
        <v>17819.419999999998</v>
      </c>
      <c r="CM15" s="386">
        <f t="shared" si="42"/>
        <v>2603.4</v>
      </c>
      <c r="CN15" s="386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271</v>
      </c>
      <c r="D16" s="376" t="s">
        <v>272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185</v>
      </c>
      <c r="K16" s="376" t="s">
        <v>273</v>
      </c>
      <c r="L16" s="376" t="s">
        <v>187</v>
      </c>
      <c r="M16" s="376" t="s">
        <v>171</v>
      </c>
      <c r="N16" s="376" t="s">
        <v>172</v>
      </c>
      <c r="O16" s="379">
        <v>1</v>
      </c>
      <c r="P16" s="384">
        <v>0.15</v>
      </c>
      <c r="Q16" s="384">
        <v>0.15</v>
      </c>
      <c r="R16" s="380">
        <v>80</v>
      </c>
      <c r="S16" s="384">
        <v>0.15</v>
      </c>
      <c r="T16" s="380">
        <v>13953.71</v>
      </c>
      <c r="U16" s="380">
        <v>0</v>
      </c>
      <c r="V16" s="380">
        <v>4418.54</v>
      </c>
      <c r="W16" s="380">
        <v>14373.84</v>
      </c>
      <c r="X16" s="380">
        <v>4767.58</v>
      </c>
      <c r="Y16" s="380">
        <v>14373.84</v>
      </c>
      <c r="Z16" s="380">
        <v>4692.84</v>
      </c>
      <c r="AA16" s="376" t="s">
        <v>274</v>
      </c>
      <c r="AB16" s="376" t="s">
        <v>275</v>
      </c>
      <c r="AC16" s="376" t="s">
        <v>197</v>
      </c>
      <c r="AD16" s="376" t="s">
        <v>198</v>
      </c>
      <c r="AE16" s="376" t="s">
        <v>273</v>
      </c>
      <c r="AF16" s="376" t="s">
        <v>177</v>
      </c>
      <c r="AG16" s="376" t="s">
        <v>178</v>
      </c>
      <c r="AH16" s="381">
        <v>46.07</v>
      </c>
      <c r="AI16" s="381">
        <v>19869.7</v>
      </c>
      <c r="AJ16" s="376" t="s">
        <v>179</v>
      </c>
      <c r="AK16" s="376" t="s">
        <v>180</v>
      </c>
      <c r="AL16" s="376" t="s">
        <v>170</v>
      </c>
      <c r="AM16" s="376" t="s">
        <v>181</v>
      </c>
      <c r="AN16" s="376" t="s">
        <v>68</v>
      </c>
      <c r="AO16" s="379">
        <v>80</v>
      </c>
      <c r="AP16" s="384">
        <v>1</v>
      </c>
      <c r="AQ16" s="384">
        <v>0.15</v>
      </c>
      <c r="AR16" s="382" t="s">
        <v>182</v>
      </c>
      <c r="AS16" s="386">
        <f t="shared" si="27"/>
        <v>0.15</v>
      </c>
      <c r="AT16">
        <f t="shared" si="28"/>
        <v>1</v>
      </c>
      <c r="AU16" s="386">
        <f>IF(AT16=0,"",IF(AND(AT16=1,M16="F",SUMIF(C2:C167,C16,AS2:AS167)&lt;=1),SUMIF(C2:C167,C16,AS2:AS167),IF(AND(AT16=1,M16="F",SUMIF(C2:C167,C16,AS2:AS167)&gt;1),1,"")))</f>
        <v>1</v>
      </c>
      <c r="AV16" s="386" t="str">
        <f>IF(AT16=0,"",IF(AND(AT16=3,M16="F",SUMIF(C2:C167,C16,AS2:AS167)&lt;=1),SUMIF(C2:C167,C16,AS2:AS167),IF(AND(AT16=3,M16="F",SUMIF(C2:C167,C16,AS2:AS167)&gt;1),1,"")))</f>
        <v/>
      </c>
      <c r="AW16" s="386">
        <f>SUMIF(C2:C167,C16,O2:O167)</f>
        <v>5</v>
      </c>
      <c r="AX16" s="386">
        <f>IF(AND(M16="F",AS16&lt;&gt;0),SUMIF(C2:C167,C16,W2:W167),0)</f>
        <v>95825.599999999991</v>
      </c>
      <c r="AY16" s="386">
        <f t="shared" si="29"/>
        <v>14373.84</v>
      </c>
      <c r="AZ16" s="386" t="str">
        <f t="shared" si="30"/>
        <v/>
      </c>
      <c r="BA16" s="386">
        <f t="shared" si="31"/>
        <v>0</v>
      </c>
      <c r="BB16" s="386">
        <f t="shared" si="0"/>
        <v>1747.5</v>
      </c>
      <c r="BC16" s="386">
        <f t="shared" si="1"/>
        <v>0</v>
      </c>
      <c r="BD16" s="386">
        <f t="shared" si="2"/>
        <v>891.17808000000002</v>
      </c>
      <c r="BE16" s="386">
        <f t="shared" si="3"/>
        <v>208.42068</v>
      </c>
      <c r="BF16" s="386">
        <f t="shared" si="4"/>
        <v>1716.2364960000002</v>
      </c>
      <c r="BG16" s="386">
        <f t="shared" si="5"/>
        <v>103.6353864</v>
      </c>
      <c r="BH16" s="386">
        <f t="shared" si="6"/>
        <v>70.431815999999998</v>
      </c>
      <c r="BI16" s="386">
        <f t="shared" si="7"/>
        <v>0</v>
      </c>
      <c r="BJ16" s="386">
        <f t="shared" si="8"/>
        <v>30.185063999999997</v>
      </c>
      <c r="BK16" s="386">
        <f t="shared" si="9"/>
        <v>0</v>
      </c>
      <c r="BL16" s="386">
        <f t="shared" si="32"/>
        <v>3020.0875223999997</v>
      </c>
      <c r="BM16" s="386">
        <f t="shared" si="33"/>
        <v>0</v>
      </c>
      <c r="BN16" s="386">
        <f t="shared" si="10"/>
        <v>1747.5</v>
      </c>
      <c r="BO16" s="386">
        <f t="shared" si="11"/>
        <v>0</v>
      </c>
      <c r="BP16" s="386">
        <f t="shared" si="12"/>
        <v>891.17808000000002</v>
      </c>
      <c r="BQ16" s="386">
        <f t="shared" si="13"/>
        <v>208.42068</v>
      </c>
      <c r="BR16" s="386">
        <f t="shared" si="14"/>
        <v>1716.2364960000002</v>
      </c>
      <c r="BS16" s="386">
        <f t="shared" si="15"/>
        <v>103.6353864</v>
      </c>
      <c r="BT16" s="386">
        <f t="shared" si="16"/>
        <v>0</v>
      </c>
      <c r="BU16" s="386">
        <f t="shared" si="17"/>
        <v>0</v>
      </c>
      <c r="BV16" s="386">
        <f t="shared" si="18"/>
        <v>25.872911999999999</v>
      </c>
      <c r="BW16" s="386">
        <f t="shared" si="19"/>
        <v>0</v>
      </c>
      <c r="BX16" s="386">
        <f t="shared" si="34"/>
        <v>2945.3435543999999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-70.431815999999998</v>
      </c>
      <c r="CG16" s="386">
        <f t="shared" si="24"/>
        <v>0</v>
      </c>
      <c r="CH16" s="386">
        <f t="shared" si="25"/>
        <v>-4.3121519999999993</v>
      </c>
      <c r="CI16" s="386">
        <f t="shared" si="26"/>
        <v>0</v>
      </c>
      <c r="CJ16" s="386">
        <f t="shared" si="39"/>
        <v>-74.743967999999995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276</v>
      </c>
      <c r="D17" s="376" t="s">
        <v>277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278</v>
      </c>
      <c r="L17" s="378"/>
      <c r="M17" s="378"/>
      <c r="N17" s="378"/>
      <c r="O17" s="379">
        <v>0</v>
      </c>
      <c r="P17" s="384">
        <v>0</v>
      </c>
      <c r="Q17" s="384">
        <v>0</v>
      </c>
      <c r="R17" s="380">
        <v>0</v>
      </c>
      <c r="S17" s="384">
        <v>0</v>
      </c>
      <c r="T17" s="380">
        <v>-109506.42</v>
      </c>
      <c r="U17" s="380">
        <v>0</v>
      </c>
      <c r="V17" s="380">
        <v>0</v>
      </c>
      <c r="W17" s="380">
        <v>0</v>
      </c>
      <c r="X17" s="380">
        <v>0</v>
      </c>
      <c r="Y17" s="380">
        <v>0</v>
      </c>
      <c r="Z17" s="380">
        <v>0</v>
      </c>
      <c r="AA17" s="378"/>
      <c r="AB17" s="376" t="s">
        <v>45</v>
      </c>
      <c r="AC17" s="376" t="s">
        <v>45</v>
      </c>
      <c r="AD17" s="378"/>
      <c r="AE17" s="378"/>
      <c r="AF17" s="378"/>
      <c r="AG17" s="378"/>
      <c r="AH17" s="379">
        <v>0</v>
      </c>
      <c r="AI17" s="379">
        <v>0</v>
      </c>
      <c r="AJ17" s="378"/>
      <c r="AK17" s="378"/>
      <c r="AL17" s="376" t="s">
        <v>170</v>
      </c>
      <c r="AM17" s="378"/>
      <c r="AN17" s="378"/>
      <c r="AO17" s="379">
        <v>0</v>
      </c>
      <c r="AP17" s="384">
        <v>0</v>
      </c>
      <c r="AQ17" s="384">
        <v>0</v>
      </c>
      <c r="AR17" s="383"/>
      <c r="AS17" s="386">
        <f t="shared" si="27"/>
        <v>0</v>
      </c>
      <c r="AT17">
        <f t="shared" si="28"/>
        <v>0</v>
      </c>
      <c r="AU17" s="386" t="str">
        <f>IF(AT17=0,"",IF(AND(AT17=1,M17="F",SUMIF(C2:C167,C17,AS2:AS167)&lt;=1),SUMIF(C2:C167,C17,AS2:AS167),IF(AND(AT17=1,M17="F",SUMIF(C2:C167,C17,AS2:AS167)&gt;1),1,"")))</f>
        <v/>
      </c>
      <c r="AV17" s="386" t="str">
        <f>IF(AT17=0,"",IF(AND(AT17=3,M17="F",SUMIF(C2:C167,C17,AS2:AS167)&lt;=1),SUMIF(C2:C167,C17,AS2:AS167),IF(AND(AT17=3,M17="F",SUMIF(C2:C167,C17,AS2:AS167)&gt;1),1,"")))</f>
        <v/>
      </c>
      <c r="AW17" s="386">
        <f>SUMIF(C2:C167,C17,O2:O167)</f>
        <v>0</v>
      </c>
      <c r="AX17" s="386">
        <f>IF(AND(M17="F",AS17&lt;&gt;0),SUMIF(C2:C167,C17,W2:W167),0)</f>
        <v>0</v>
      </c>
      <c r="AY17" s="386" t="str">
        <f t="shared" si="29"/>
        <v/>
      </c>
      <c r="AZ17" s="386" t="str">
        <f t="shared" si="30"/>
        <v/>
      </c>
      <c r="BA17" s="386">
        <f t="shared" si="31"/>
        <v>0</v>
      </c>
      <c r="BB17" s="386">
        <f t="shared" si="0"/>
        <v>0</v>
      </c>
      <c r="BC17" s="386">
        <f t="shared" si="1"/>
        <v>0</v>
      </c>
      <c r="BD17" s="386">
        <f t="shared" si="2"/>
        <v>0</v>
      </c>
      <c r="BE17" s="386">
        <f t="shared" si="3"/>
        <v>0</v>
      </c>
      <c r="BF17" s="386">
        <f t="shared" si="4"/>
        <v>0</v>
      </c>
      <c r="BG17" s="386">
        <f t="shared" si="5"/>
        <v>0</v>
      </c>
      <c r="BH17" s="386">
        <f t="shared" si="6"/>
        <v>0</v>
      </c>
      <c r="BI17" s="386">
        <f t="shared" si="7"/>
        <v>0</v>
      </c>
      <c r="BJ17" s="386">
        <f t="shared" si="8"/>
        <v>0</v>
      </c>
      <c r="BK17" s="386">
        <f t="shared" si="9"/>
        <v>0</v>
      </c>
      <c r="BL17" s="386">
        <f t="shared" si="32"/>
        <v>0</v>
      </c>
      <c r="BM17" s="386">
        <f t="shared" si="33"/>
        <v>0</v>
      </c>
      <c r="BN17" s="386">
        <f t="shared" si="10"/>
        <v>0</v>
      </c>
      <c r="BO17" s="386">
        <f t="shared" si="11"/>
        <v>0</v>
      </c>
      <c r="BP17" s="386">
        <f t="shared" si="12"/>
        <v>0</v>
      </c>
      <c r="BQ17" s="386">
        <f t="shared" si="13"/>
        <v>0</v>
      </c>
      <c r="BR17" s="386">
        <f t="shared" si="14"/>
        <v>0</v>
      </c>
      <c r="BS17" s="386">
        <f t="shared" si="15"/>
        <v>0</v>
      </c>
      <c r="BT17" s="386">
        <f t="shared" si="16"/>
        <v>0</v>
      </c>
      <c r="BU17" s="386">
        <f t="shared" si="17"/>
        <v>0</v>
      </c>
      <c r="BV17" s="386">
        <f t="shared" si="18"/>
        <v>0</v>
      </c>
      <c r="BW17" s="386">
        <f t="shared" si="19"/>
        <v>0</v>
      </c>
      <c r="BX17" s="386">
        <f t="shared" si="34"/>
        <v>0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0</v>
      </c>
      <c r="CG17" s="386">
        <f t="shared" si="24"/>
        <v>0</v>
      </c>
      <c r="CH17" s="386">
        <f t="shared" si="25"/>
        <v>0</v>
      </c>
      <c r="CI17" s="386">
        <f t="shared" si="26"/>
        <v>0</v>
      </c>
      <c r="CJ17" s="386">
        <f t="shared" si="39"/>
        <v>0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279</v>
      </c>
      <c r="D18" s="376" t="s">
        <v>206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280</v>
      </c>
      <c r="L18" s="376" t="s">
        <v>166</v>
      </c>
      <c r="M18" s="376" t="s">
        <v>281</v>
      </c>
      <c r="N18" s="376" t="s">
        <v>172</v>
      </c>
      <c r="O18" s="379">
        <v>0</v>
      </c>
      <c r="P18" s="384">
        <v>1</v>
      </c>
      <c r="Q18" s="384">
        <v>1</v>
      </c>
      <c r="R18" s="380">
        <v>80</v>
      </c>
      <c r="S18" s="384">
        <v>1</v>
      </c>
      <c r="T18" s="380">
        <v>0</v>
      </c>
      <c r="U18" s="380">
        <v>0</v>
      </c>
      <c r="V18" s="380">
        <v>0</v>
      </c>
      <c r="W18" s="380">
        <v>62400</v>
      </c>
      <c r="X18" s="380">
        <v>27331.200000000001</v>
      </c>
      <c r="Y18" s="380">
        <v>62400</v>
      </c>
      <c r="Z18" s="380">
        <v>27019.200000000001</v>
      </c>
      <c r="AA18" s="378"/>
      <c r="AB18" s="376" t="s">
        <v>45</v>
      </c>
      <c r="AC18" s="376" t="s">
        <v>45</v>
      </c>
      <c r="AD18" s="378"/>
      <c r="AE18" s="378"/>
      <c r="AF18" s="378"/>
      <c r="AG18" s="378"/>
      <c r="AH18" s="379">
        <v>0</v>
      </c>
      <c r="AI18" s="379">
        <v>0</v>
      </c>
      <c r="AJ18" s="378"/>
      <c r="AK18" s="378"/>
      <c r="AL18" s="376" t="s">
        <v>170</v>
      </c>
      <c r="AM18" s="378"/>
      <c r="AN18" s="378"/>
      <c r="AO18" s="379">
        <v>0</v>
      </c>
      <c r="AP18" s="384">
        <v>0</v>
      </c>
      <c r="AQ18" s="384">
        <v>0</v>
      </c>
      <c r="AR18" s="383"/>
      <c r="AS18" s="386">
        <f t="shared" si="27"/>
        <v>0</v>
      </c>
      <c r="AT18">
        <f t="shared" si="28"/>
        <v>0</v>
      </c>
      <c r="AU18" s="386" t="str">
        <f>IF(AT18=0,"",IF(AND(AT18=1,M18="F",SUMIF(C2:C167,C18,AS2:AS167)&lt;=1),SUMIF(C2:C167,C18,AS2:AS167),IF(AND(AT18=1,M18="F",SUMIF(C2:C167,C18,AS2:AS167)&gt;1),1,"")))</f>
        <v/>
      </c>
      <c r="AV18" s="386" t="str">
        <f>IF(AT18=0,"",IF(AND(AT18=3,M18="F",SUMIF(C2:C167,C18,AS2:AS167)&lt;=1),SUMIF(C2:C167,C18,AS2:AS167),IF(AND(AT18=3,M18="F",SUMIF(C2:C167,C18,AS2:AS167)&gt;1),1,"")))</f>
        <v/>
      </c>
      <c r="AW18" s="386">
        <f>SUMIF(C2:C167,C18,O2:O167)</f>
        <v>0</v>
      </c>
      <c r="AX18" s="386">
        <f>IF(AND(M18="F",AS18&lt;&gt;0),SUMIF(C2:C167,C18,W2:W167),0)</f>
        <v>0</v>
      </c>
      <c r="AY18" s="386" t="str">
        <f t="shared" si="29"/>
        <v/>
      </c>
      <c r="AZ18" s="386" t="str">
        <f t="shared" si="30"/>
        <v/>
      </c>
      <c r="BA18" s="386">
        <f t="shared" si="31"/>
        <v>0</v>
      </c>
      <c r="BB18" s="386">
        <f t="shared" si="0"/>
        <v>0</v>
      </c>
      <c r="BC18" s="386">
        <f t="shared" si="1"/>
        <v>0</v>
      </c>
      <c r="BD18" s="386">
        <f t="shared" si="2"/>
        <v>0</v>
      </c>
      <c r="BE18" s="386">
        <f t="shared" si="3"/>
        <v>0</v>
      </c>
      <c r="BF18" s="386">
        <f t="shared" si="4"/>
        <v>0</v>
      </c>
      <c r="BG18" s="386">
        <f t="shared" si="5"/>
        <v>0</v>
      </c>
      <c r="BH18" s="386">
        <f t="shared" si="6"/>
        <v>0</v>
      </c>
      <c r="BI18" s="386">
        <f t="shared" si="7"/>
        <v>0</v>
      </c>
      <c r="BJ18" s="386">
        <f t="shared" si="8"/>
        <v>0</v>
      </c>
      <c r="BK18" s="386">
        <f t="shared" si="9"/>
        <v>0</v>
      </c>
      <c r="BL18" s="386">
        <f t="shared" si="32"/>
        <v>0</v>
      </c>
      <c r="BM18" s="386">
        <f t="shared" si="33"/>
        <v>0</v>
      </c>
      <c r="BN18" s="386">
        <f t="shared" si="10"/>
        <v>0</v>
      </c>
      <c r="BO18" s="386">
        <f t="shared" si="11"/>
        <v>0</v>
      </c>
      <c r="BP18" s="386">
        <f t="shared" si="12"/>
        <v>0</v>
      </c>
      <c r="BQ18" s="386">
        <f t="shared" si="13"/>
        <v>0</v>
      </c>
      <c r="BR18" s="386">
        <f t="shared" si="14"/>
        <v>0</v>
      </c>
      <c r="BS18" s="386">
        <f t="shared" si="15"/>
        <v>0</v>
      </c>
      <c r="BT18" s="386">
        <f t="shared" si="16"/>
        <v>0</v>
      </c>
      <c r="BU18" s="386">
        <f t="shared" si="17"/>
        <v>0</v>
      </c>
      <c r="BV18" s="386">
        <f t="shared" si="18"/>
        <v>0</v>
      </c>
      <c r="BW18" s="386">
        <f t="shared" si="19"/>
        <v>0</v>
      </c>
      <c r="BX18" s="386">
        <f t="shared" si="34"/>
        <v>0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0</v>
      </c>
      <c r="CG18" s="386">
        <f t="shared" si="24"/>
        <v>0</v>
      </c>
      <c r="CH18" s="386">
        <f t="shared" si="25"/>
        <v>0</v>
      </c>
      <c r="CI18" s="386">
        <f t="shared" si="26"/>
        <v>0</v>
      </c>
      <c r="CJ18" s="386">
        <f t="shared" si="39"/>
        <v>0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232</v>
      </c>
      <c r="D19" s="376" t="s">
        <v>233</v>
      </c>
      <c r="E19" s="376" t="s">
        <v>165</v>
      </c>
      <c r="F19" s="377" t="s">
        <v>166</v>
      </c>
      <c r="G19" s="376" t="s">
        <v>282</v>
      </c>
      <c r="H19" s="378"/>
      <c r="I19" s="378"/>
      <c r="J19" s="376" t="s">
        <v>220</v>
      </c>
      <c r="K19" s="376" t="s">
        <v>234</v>
      </c>
      <c r="L19" s="376" t="s">
        <v>166</v>
      </c>
      <c r="M19" s="376" t="s">
        <v>171</v>
      </c>
      <c r="N19" s="376" t="s">
        <v>172</v>
      </c>
      <c r="O19" s="379">
        <v>1</v>
      </c>
      <c r="P19" s="384">
        <v>0.08</v>
      </c>
      <c r="Q19" s="384">
        <v>0.08</v>
      </c>
      <c r="R19" s="380">
        <v>80</v>
      </c>
      <c r="S19" s="384">
        <v>0.08</v>
      </c>
      <c r="T19" s="380">
        <v>3701.03</v>
      </c>
      <c r="U19" s="380">
        <v>0</v>
      </c>
      <c r="V19" s="380">
        <v>1339.78</v>
      </c>
      <c r="W19" s="380">
        <v>5006.97</v>
      </c>
      <c r="X19" s="380">
        <v>1984.01</v>
      </c>
      <c r="Y19" s="380">
        <v>5006.97</v>
      </c>
      <c r="Z19" s="380">
        <v>1957.97</v>
      </c>
      <c r="AA19" s="376" t="s">
        <v>235</v>
      </c>
      <c r="AB19" s="376" t="s">
        <v>236</v>
      </c>
      <c r="AC19" s="376" t="s">
        <v>237</v>
      </c>
      <c r="AD19" s="376" t="s">
        <v>238</v>
      </c>
      <c r="AE19" s="376" t="s">
        <v>234</v>
      </c>
      <c r="AF19" s="376" t="s">
        <v>177</v>
      </c>
      <c r="AG19" s="376" t="s">
        <v>178</v>
      </c>
      <c r="AH19" s="381">
        <v>30.09</v>
      </c>
      <c r="AI19" s="381">
        <v>4003.5</v>
      </c>
      <c r="AJ19" s="376" t="s">
        <v>179</v>
      </c>
      <c r="AK19" s="376" t="s">
        <v>180</v>
      </c>
      <c r="AL19" s="376" t="s">
        <v>170</v>
      </c>
      <c r="AM19" s="376" t="s">
        <v>181</v>
      </c>
      <c r="AN19" s="376" t="s">
        <v>68</v>
      </c>
      <c r="AO19" s="379">
        <v>80</v>
      </c>
      <c r="AP19" s="384">
        <v>1</v>
      </c>
      <c r="AQ19" s="384">
        <v>0.08</v>
      </c>
      <c r="AR19" s="382" t="s">
        <v>182</v>
      </c>
      <c r="AS19" s="386">
        <f t="shared" si="27"/>
        <v>0.08</v>
      </c>
      <c r="AT19">
        <f t="shared" si="28"/>
        <v>1</v>
      </c>
      <c r="AU19" s="386">
        <f>IF(AT19=0,"",IF(AND(AT19=1,M19="F",SUMIF(C2:C167,C19,AS2:AS167)&lt;=1),SUMIF(C2:C167,C19,AS2:AS167),IF(AND(AT19=1,M19="F",SUMIF(C2:C167,C19,AS2:AS167)&gt;1),1,"")))</f>
        <v>1</v>
      </c>
      <c r="AV19" s="386" t="str">
        <f>IF(AT19=0,"",IF(AND(AT19=3,M19="F",SUMIF(C2:C167,C19,AS2:AS167)&lt;=1),SUMIF(C2:C167,C19,AS2:AS167),IF(AND(AT19=3,M19="F",SUMIF(C2:C167,C19,AS2:AS167)&gt;1),1,"")))</f>
        <v/>
      </c>
      <c r="AW19" s="386">
        <f>SUMIF(C2:C167,C19,O2:O167)</f>
        <v>5</v>
      </c>
      <c r="AX19" s="386">
        <f>IF(AND(M19="F",AS19&lt;&gt;0),SUMIF(C2:C167,C19,W2:W167),0)</f>
        <v>62587.180000000008</v>
      </c>
      <c r="AY19" s="386">
        <f t="shared" si="29"/>
        <v>5006.97</v>
      </c>
      <c r="AZ19" s="386" t="str">
        <f t="shared" si="30"/>
        <v/>
      </c>
      <c r="BA19" s="386">
        <f t="shared" si="31"/>
        <v>0</v>
      </c>
      <c r="BB19" s="386">
        <f t="shared" si="0"/>
        <v>932</v>
      </c>
      <c r="BC19" s="386">
        <f t="shared" si="1"/>
        <v>0</v>
      </c>
      <c r="BD19" s="386">
        <f t="shared" si="2"/>
        <v>310.43214</v>
      </c>
      <c r="BE19" s="386">
        <f t="shared" si="3"/>
        <v>72.601065000000006</v>
      </c>
      <c r="BF19" s="386">
        <f t="shared" si="4"/>
        <v>597.83221800000001</v>
      </c>
      <c r="BG19" s="386">
        <f t="shared" si="5"/>
        <v>36.100253700000003</v>
      </c>
      <c r="BH19" s="386">
        <f t="shared" si="6"/>
        <v>24.534153</v>
      </c>
      <c r="BI19" s="386">
        <f t="shared" si="7"/>
        <v>0</v>
      </c>
      <c r="BJ19" s="386">
        <f t="shared" si="8"/>
        <v>10.514637</v>
      </c>
      <c r="BK19" s="386">
        <f t="shared" si="9"/>
        <v>0</v>
      </c>
      <c r="BL19" s="386">
        <f t="shared" si="32"/>
        <v>1052.0144667</v>
      </c>
      <c r="BM19" s="386">
        <f t="shared" si="33"/>
        <v>0</v>
      </c>
      <c r="BN19" s="386">
        <f t="shared" si="10"/>
        <v>932</v>
      </c>
      <c r="BO19" s="386">
        <f t="shared" si="11"/>
        <v>0</v>
      </c>
      <c r="BP19" s="386">
        <f t="shared" si="12"/>
        <v>310.43214</v>
      </c>
      <c r="BQ19" s="386">
        <f t="shared" si="13"/>
        <v>72.601065000000006</v>
      </c>
      <c r="BR19" s="386">
        <f t="shared" si="14"/>
        <v>597.83221800000001</v>
      </c>
      <c r="BS19" s="386">
        <f t="shared" si="15"/>
        <v>36.100253700000003</v>
      </c>
      <c r="BT19" s="386">
        <f t="shared" si="16"/>
        <v>0</v>
      </c>
      <c r="BU19" s="386">
        <f t="shared" si="17"/>
        <v>0</v>
      </c>
      <c r="BV19" s="386">
        <f t="shared" si="18"/>
        <v>9.0125460000000004</v>
      </c>
      <c r="BW19" s="386">
        <f t="shared" si="19"/>
        <v>0</v>
      </c>
      <c r="BX19" s="386">
        <f t="shared" si="34"/>
        <v>1025.9782227000001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-24.534153</v>
      </c>
      <c r="CG19" s="386">
        <f t="shared" si="24"/>
        <v>0</v>
      </c>
      <c r="CH19" s="386">
        <f t="shared" si="25"/>
        <v>-1.5020909999999996</v>
      </c>
      <c r="CI19" s="386">
        <f t="shared" si="26"/>
        <v>0</v>
      </c>
      <c r="CJ19" s="386">
        <f t="shared" si="39"/>
        <v>-26.036244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283</v>
      </c>
      <c r="D20" s="376" t="s">
        <v>284</v>
      </c>
      <c r="E20" s="376" t="s">
        <v>165</v>
      </c>
      <c r="F20" s="377" t="s">
        <v>166</v>
      </c>
      <c r="G20" s="376" t="s">
        <v>282</v>
      </c>
      <c r="H20" s="378"/>
      <c r="I20" s="378"/>
      <c r="J20" s="376" t="s">
        <v>168</v>
      </c>
      <c r="K20" s="376" t="s">
        <v>285</v>
      </c>
      <c r="L20" s="376" t="s">
        <v>166</v>
      </c>
      <c r="M20" s="376" t="s">
        <v>171</v>
      </c>
      <c r="N20" s="376" t="s">
        <v>172</v>
      </c>
      <c r="O20" s="379">
        <v>1</v>
      </c>
      <c r="P20" s="384">
        <v>1</v>
      </c>
      <c r="Q20" s="384">
        <v>1</v>
      </c>
      <c r="R20" s="380">
        <v>80</v>
      </c>
      <c r="S20" s="384">
        <v>1</v>
      </c>
      <c r="T20" s="380">
        <v>59722.21</v>
      </c>
      <c r="U20" s="380">
        <v>0</v>
      </c>
      <c r="V20" s="380">
        <v>22544.68</v>
      </c>
      <c r="W20" s="380">
        <v>53580.800000000003</v>
      </c>
      <c r="X20" s="380">
        <v>22907.82</v>
      </c>
      <c r="Y20" s="380">
        <v>53580.800000000003</v>
      </c>
      <c r="Z20" s="380">
        <v>22629.21</v>
      </c>
      <c r="AA20" s="376" t="s">
        <v>286</v>
      </c>
      <c r="AB20" s="376" t="s">
        <v>287</v>
      </c>
      <c r="AC20" s="376" t="s">
        <v>288</v>
      </c>
      <c r="AD20" s="376" t="s">
        <v>289</v>
      </c>
      <c r="AE20" s="376" t="s">
        <v>285</v>
      </c>
      <c r="AF20" s="376" t="s">
        <v>177</v>
      </c>
      <c r="AG20" s="376" t="s">
        <v>178</v>
      </c>
      <c r="AH20" s="381">
        <v>25.76</v>
      </c>
      <c r="AI20" s="381">
        <v>10664.2</v>
      </c>
      <c r="AJ20" s="376" t="s">
        <v>179</v>
      </c>
      <c r="AK20" s="376" t="s">
        <v>180</v>
      </c>
      <c r="AL20" s="376" t="s">
        <v>170</v>
      </c>
      <c r="AM20" s="376" t="s">
        <v>181</v>
      </c>
      <c r="AN20" s="376" t="s">
        <v>68</v>
      </c>
      <c r="AO20" s="379">
        <v>80</v>
      </c>
      <c r="AP20" s="384">
        <v>1</v>
      </c>
      <c r="AQ20" s="384">
        <v>1</v>
      </c>
      <c r="AR20" s="382" t="s">
        <v>182</v>
      </c>
      <c r="AS20" s="386">
        <f t="shared" si="27"/>
        <v>1</v>
      </c>
      <c r="AT20">
        <f t="shared" si="28"/>
        <v>1</v>
      </c>
      <c r="AU20" s="386">
        <f>IF(AT20=0,"",IF(AND(AT20=1,M20="F",SUMIF(C2:C167,C20,AS2:AS167)&lt;=1),SUMIF(C2:C167,C20,AS2:AS167),IF(AND(AT20=1,M20="F",SUMIF(C2:C167,C20,AS2:AS167)&gt;1),1,"")))</f>
        <v>1</v>
      </c>
      <c r="AV20" s="386" t="str">
        <f>IF(AT20=0,"",IF(AND(AT20=3,M20="F",SUMIF(C2:C167,C20,AS2:AS167)&lt;=1),SUMIF(C2:C167,C20,AS2:AS167),IF(AND(AT20=3,M20="F",SUMIF(C2:C167,C20,AS2:AS167)&gt;1),1,"")))</f>
        <v/>
      </c>
      <c r="AW20" s="386">
        <f>SUMIF(C2:C167,C20,O2:O167)</f>
        <v>2</v>
      </c>
      <c r="AX20" s="386">
        <f>IF(AND(M20="F",AS20&lt;&gt;0),SUMIF(C2:C167,C20,W2:W167),0)</f>
        <v>53580.800000000003</v>
      </c>
      <c r="AY20" s="386">
        <f t="shared" si="29"/>
        <v>53580.800000000003</v>
      </c>
      <c r="AZ20" s="386" t="str">
        <f t="shared" si="30"/>
        <v/>
      </c>
      <c r="BA20" s="386">
        <f t="shared" si="31"/>
        <v>0</v>
      </c>
      <c r="BB20" s="386">
        <f t="shared" si="0"/>
        <v>11650</v>
      </c>
      <c r="BC20" s="386">
        <f t="shared" si="1"/>
        <v>0</v>
      </c>
      <c r="BD20" s="386">
        <f t="shared" si="2"/>
        <v>3322.0096000000003</v>
      </c>
      <c r="BE20" s="386">
        <f t="shared" si="3"/>
        <v>776.92160000000013</v>
      </c>
      <c r="BF20" s="386">
        <f t="shared" si="4"/>
        <v>6397.547520000001</v>
      </c>
      <c r="BG20" s="386">
        <f t="shared" si="5"/>
        <v>386.31756800000005</v>
      </c>
      <c r="BH20" s="386">
        <f t="shared" si="6"/>
        <v>262.54592000000002</v>
      </c>
      <c r="BI20" s="386">
        <f t="shared" si="7"/>
        <v>0</v>
      </c>
      <c r="BJ20" s="386">
        <f t="shared" si="8"/>
        <v>112.51967999999999</v>
      </c>
      <c r="BK20" s="386">
        <f t="shared" si="9"/>
        <v>0</v>
      </c>
      <c r="BL20" s="386">
        <f t="shared" si="32"/>
        <v>11257.861888000003</v>
      </c>
      <c r="BM20" s="386">
        <f t="shared" si="33"/>
        <v>0</v>
      </c>
      <c r="BN20" s="386">
        <f t="shared" si="10"/>
        <v>11650</v>
      </c>
      <c r="BO20" s="386">
        <f t="shared" si="11"/>
        <v>0</v>
      </c>
      <c r="BP20" s="386">
        <f t="shared" si="12"/>
        <v>3322.0096000000003</v>
      </c>
      <c r="BQ20" s="386">
        <f t="shared" si="13"/>
        <v>776.92160000000013</v>
      </c>
      <c r="BR20" s="386">
        <f t="shared" si="14"/>
        <v>6397.547520000001</v>
      </c>
      <c r="BS20" s="386">
        <f t="shared" si="15"/>
        <v>386.31756800000005</v>
      </c>
      <c r="BT20" s="386">
        <f t="shared" si="16"/>
        <v>0</v>
      </c>
      <c r="BU20" s="386">
        <f t="shared" si="17"/>
        <v>0</v>
      </c>
      <c r="BV20" s="386">
        <f t="shared" si="18"/>
        <v>96.445440000000005</v>
      </c>
      <c r="BW20" s="386">
        <f t="shared" si="19"/>
        <v>0</v>
      </c>
      <c r="BX20" s="386">
        <f t="shared" si="34"/>
        <v>10979.241728000003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-262.54592000000002</v>
      </c>
      <c r="CG20" s="386">
        <f t="shared" si="24"/>
        <v>0</v>
      </c>
      <c r="CH20" s="386">
        <f t="shared" si="25"/>
        <v>-16.074239999999996</v>
      </c>
      <c r="CI20" s="386">
        <f t="shared" si="26"/>
        <v>0</v>
      </c>
      <c r="CJ20" s="386">
        <f t="shared" si="39"/>
        <v>-278.62016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252</v>
      </c>
      <c r="D21" s="376" t="s">
        <v>253</v>
      </c>
      <c r="E21" s="376" t="s">
        <v>165</v>
      </c>
      <c r="F21" s="377" t="s">
        <v>166</v>
      </c>
      <c r="G21" s="376" t="s">
        <v>282</v>
      </c>
      <c r="H21" s="378"/>
      <c r="I21" s="378"/>
      <c r="J21" s="376" t="s">
        <v>185</v>
      </c>
      <c r="K21" s="376" t="s">
        <v>254</v>
      </c>
      <c r="L21" s="376" t="s">
        <v>166</v>
      </c>
      <c r="M21" s="376" t="s">
        <v>171</v>
      </c>
      <c r="N21" s="376" t="s">
        <v>172</v>
      </c>
      <c r="O21" s="379">
        <v>1</v>
      </c>
      <c r="P21" s="384">
        <v>0.05</v>
      </c>
      <c r="Q21" s="384">
        <v>0.05</v>
      </c>
      <c r="R21" s="380">
        <v>80</v>
      </c>
      <c r="S21" s="384">
        <v>0.05</v>
      </c>
      <c r="T21" s="380">
        <v>6618.93</v>
      </c>
      <c r="U21" s="380">
        <v>0</v>
      </c>
      <c r="V21" s="380">
        <v>1920.81</v>
      </c>
      <c r="W21" s="380">
        <v>6674.72</v>
      </c>
      <c r="X21" s="380">
        <v>1984.92</v>
      </c>
      <c r="Y21" s="380">
        <v>6674.72</v>
      </c>
      <c r="Z21" s="380">
        <v>1950.21</v>
      </c>
      <c r="AA21" s="376" t="s">
        <v>255</v>
      </c>
      <c r="AB21" s="376" t="s">
        <v>256</v>
      </c>
      <c r="AC21" s="376" t="s">
        <v>257</v>
      </c>
      <c r="AD21" s="376" t="s">
        <v>211</v>
      </c>
      <c r="AE21" s="376" t="s">
        <v>254</v>
      </c>
      <c r="AF21" s="376" t="s">
        <v>177</v>
      </c>
      <c r="AG21" s="376" t="s">
        <v>178</v>
      </c>
      <c r="AH21" s="381">
        <v>64.180000000000007</v>
      </c>
      <c r="AI21" s="381">
        <v>19898.7</v>
      </c>
      <c r="AJ21" s="376" t="s">
        <v>179</v>
      </c>
      <c r="AK21" s="376" t="s">
        <v>180</v>
      </c>
      <c r="AL21" s="376" t="s">
        <v>170</v>
      </c>
      <c r="AM21" s="376" t="s">
        <v>181</v>
      </c>
      <c r="AN21" s="376" t="s">
        <v>68</v>
      </c>
      <c r="AO21" s="379">
        <v>80</v>
      </c>
      <c r="AP21" s="384">
        <v>1</v>
      </c>
      <c r="AQ21" s="384">
        <v>0.05</v>
      </c>
      <c r="AR21" s="382" t="s">
        <v>182</v>
      </c>
      <c r="AS21" s="386">
        <f t="shared" si="27"/>
        <v>0.05</v>
      </c>
      <c r="AT21">
        <f t="shared" si="28"/>
        <v>1</v>
      </c>
      <c r="AU21" s="386">
        <f>IF(AT21=0,"",IF(AND(AT21=1,M21="F",SUMIF(C2:C167,C21,AS2:AS167)&lt;=1),SUMIF(C2:C167,C21,AS2:AS167),IF(AND(AT21=1,M21="F",SUMIF(C2:C167,C21,AS2:AS167)&gt;1),1,"")))</f>
        <v>1</v>
      </c>
      <c r="AV21" s="386" t="str">
        <f>IF(AT21=0,"",IF(AND(AT21=3,M21="F",SUMIF(C2:C167,C21,AS2:AS167)&lt;=1),SUMIF(C2:C167,C21,AS2:AS167),IF(AND(AT21=3,M21="F",SUMIF(C2:C167,C21,AS2:AS167)&gt;1),1,"")))</f>
        <v/>
      </c>
      <c r="AW21" s="386">
        <f>SUMIF(C2:C167,C21,O2:O167)</f>
        <v>4</v>
      </c>
      <c r="AX21" s="386">
        <f>IF(AND(M21="F",AS21&lt;&gt;0),SUMIF(C2:C167,C21,W2:W167),0)</f>
        <v>133494.39999999999</v>
      </c>
      <c r="AY21" s="386">
        <f t="shared" si="29"/>
        <v>6674.72</v>
      </c>
      <c r="AZ21" s="386" t="str">
        <f t="shared" si="30"/>
        <v/>
      </c>
      <c r="BA21" s="386">
        <f t="shared" si="31"/>
        <v>0</v>
      </c>
      <c r="BB21" s="386">
        <f t="shared" si="0"/>
        <v>582.5</v>
      </c>
      <c r="BC21" s="386">
        <f t="shared" si="1"/>
        <v>0</v>
      </c>
      <c r="BD21" s="386">
        <f t="shared" si="2"/>
        <v>413.83264000000003</v>
      </c>
      <c r="BE21" s="386">
        <f t="shared" si="3"/>
        <v>96.783440000000013</v>
      </c>
      <c r="BF21" s="386">
        <f t="shared" si="4"/>
        <v>796.96156800000006</v>
      </c>
      <c r="BG21" s="386">
        <f t="shared" si="5"/>
        <v>48.124731200000006</v>
      </c>
      <c r="BH21" s="386">
        <f t="shared" si="6"/>
        <v>32.706128</v>
      </c>
      <c r="BI21" s="386">
        <f t="shared" si="7"/>
        <v>0</v>
      </c>
      <c r="BJ21" s="386">
        <f t="shared" si="8"/>
        <v>14.016912</v>
      </c>
      <c r="BK21" s="386">
        <f t="shared" si="9"/>
        <v>0</v>
      </c>
      <c r="BL21" s="386">
        <f t="shared" si="32"/>
        <v>1402.4254192000001</v>
      </c>
      <c r="BM21" s="386">
        <f t="shared" si="33"/>
        <v>0</v>
      </c>
      <c r="BN21" s="386">
        <f t="shared" si="10"/>
        <v>582.5</v>
      </c>
      <c r="BO21" s="386">
        <f t="shared" si="11"/>
        <v>0</v>
      </c>
      <c r="BP21" s="386">
        <f t="shared" si="12"/>
        <v>413.83264000000003</v>
      </c>
      <c r="BQ21" s="386">
        <f t="shared" si="13"/>
        <v>96.783440000000013</v>
      </c>
      <c r="BR21" s="386">
        <f t="shared" si="14"/>
        <v>796.96156800000006</v>
      </c>
      <c r="BS21" s="386">
        <f t="shared" si="15"/>
        <v>48.124731200000006</v>
      </c>
      <c r="BT21" s="386">
        <f t="shared" si="16"/>
        <v>0</v>
      </c>
      <c r="BU21" s="386">
        <f t="shared" si="17"/>
        <v>0</v>
      </c>
      <c r="BV21" s="386">
        <f t="shared" si="18"/>
        <v>12.014495999999999</v>
      </c>
      <c r="BW21" s="386">
        <f t="shared" si="19"/>
        <v>0</v>
      </c>
      <c r="BX21" s="386">
        <f t="shared" si="34"/>
        <v>1367.7168752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-32.706128</v>
      </c>
      <c r="CG21" s="386">
        <f t="shared" si="24"/>
        <v>0</v>
      </c>
      <c r="CH21" s="386">
        <f t="shared" si="25"/>
        <v>-2.0024159999999998</v>
      </c>
      <c r="CI21" s="386">
        <f t="shared" si="26"/>
        <v>0</v>
      </c>
      <c r="CJ21" s="386">
        <f t="shared" si="39"/>
        <v>-34.708543999999996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271</v>
      </c>
      <c r="D22" s="376" t="s">
        <v>272</v>
      </c>
      <c r="E22" s="376" t="s">
        <v>165</v>
      </c>
      <c r="F22" s="377" t="s">
        <v>166</v>
      </c>
      <c r="G22" s="376" t="s">
        <v>282</v>
      </c>
      <c r="H22" s="378"/>
      <c r="I22" s="378"/>
      <c r="J22" s="376" t="s">
        <v>185</v>
      </c>
      <c r="K22" s="376" t="s">
        <v>273</v>
      </c>
      <c r="L22" s="376" t="s">
        <v>187</v>
      </c>
      <c r="M22" s="376" t="s">
        <v>171</v>
      </c>
      <c r="N22" s="376" t="s">
        <v>172</v>
      </c>
      <c r="O22" s="379">
        <v>1</v>
      </c>
      <c r="P22" s="384">
        <v>0.05</v>
      </c>
      <c r="Q22" s="384">
        <v>0.05</v>
      </c>
      <c r="R22" s="380">
        <v>80</v>
      </c>
      <c r="S22" s="384">
        <v>0.05</v>
      </c>
      <c r="T22" s="380">
        <v>5293.65</v>
      </c>
      <c r="U22" s="380">
        <v>0</v>
      </c>
      <c r="V22" s="380">
        <v>1684.64</v>
      </c>
      <c r="W22" s="380">
        <v>4791.28</v>
      </c>
      <c r="X22" s="380">
        <v>1589.19</v>
      </c>
      <c r="Y22" s="380">
        <v>4791.28</v>
      </c>
      <c r="Z22" s="380">
        <v>1564.28</v>
      </c>
      <c r="AA22" s="376" t="s">
        <v>274</v>
      </c>
      <c r="AB22" s="376" t="s">
        <v>275</v>
      </c>
      <c r="AC22" s="376" t="s">
        <v>197</v>
      </c>
      <c r="AD22" s="376" t="s">
        <v>198</v>
      </c>
      <c r="AE22" s="376" t="s">
        <v>273</v>
      </c>
      <c r="AF22" s="376" t="s">
        <v>177</v>
      </c>
      <c r="AG22" s="376" t="s">
        <v>178</v>
      </c>
      <c r="AH22" s="381">
        <v>46.07</v>
      </c>
      <c r="AI22" s="381">
        <v>19869.7</v>
      </c>
      <c r="AJ22" s="376" t="s">
        <v>179</v>
      </c>
      <c r="AK22" s="376" t="s">
        <v>180</v>
      </c>
      <c r="AL22" s="376" t="s">
        <v>170</v>
      </c>
      <c r="AM22" s="376" t="s">
        <v>181</v>
      </c>
      <c r="AN22" s="376" t="s">
        <v>68</v>
      </c>
      <c r="AO22" s="379">
        <v>80</v>
      </c>
      <c r="AP22" s="384">
        <v>1</v>
      </c>
      <c r="AQ22" s="384">
        <v>0.05</v>
      </c>
      <c r="AR22" s="382" t="s">
        <v>182</v>
      </c>
      <c r="AS22" s="386">
        <f t="shared" si="27"/>
        <v>0.05</v>
      </c>
      <c r="AT22">
        <f t="shared" si="28"/>
        <v>1</v>
      </c>
      <c r="AU22" s="386">
        <f>IF(AT22=0,"",IF(AND(AT22=1,M22="F",SUMIF(C2:C167,C22,AS2:AS167)&lt;=1),SUMIF(C2:C167,C22,AS2:AS167),IF(AND(AT22=1,M22="F",SUMIF(C2:C167,C22,AS2:AS167)&gt;1),1,"")))</f>
        <v>1</v>
      </c>
      <c r="AV22" s="386" t="str">
        <f>IF(AT22=0,"",IF(AND(AT22=3,M22="F",SUMIF(C2:C167,C22,AS2:AS167)&lt;=1),SUMIF(C2:C167,C22,AS2:AS167),IF(AND(AT22=3,M22="F",SUMIF(C2:C167,C22,AS2:AS167)&gt;1),1,"")))</f>
        <v/>
      </c>
      <c r="AW22" s="386">
        <f>SUMIF(C2:C167,C22,O2:O167)</f>
        <v>5</v>
      </c>
      <c r="AX22" s="386">
        <f>IF(AND(M22="F",AS22&lt;&gt;0),SUMIF(C2:C167,C22,W2:W167),0)</f>
        <v>95825.599999999991</v>
      </c>
      <c r="AY22" s="386">
        <f t="shared" si="29"/>
        <v>4791.28</v>
      </c>
      <c r="AZ22" s="386" t="str">
        <f t="shared" si="30"/>
        <v/>
      </c>
      <c r="BA22" s="386">
        <f t="shared" si="31"/>
        <v>0</v>
      </c>
      <c r="BB22" s="386">
        <f t="shared" si="0"/>
        <v>582.5</v>
      </c>
      <c r="BC22" s="386">
        <f t="shared" si="1"/>
        <v>0</v>
      </c>
      <c r="BD22" s="386">
        <f t="shared" si="2"/>
        <v>297.05935999999997</v>
      </c>
      <c r="BE22" s="386">
        <f t="shared" si="3"/>
        <v>69.473560000000006</v>
      </c>
      <c r="BF22" s="386">
        <f t="shared" si="4"/>
        <v>572.07883200000003</v>
      </c>
      <c r="BG22" s="386">
        <f t="shared" si="5"/>
        <v>34.545128800000001</v>
      </c>
      <c r="BH22" s="386">
        <f t="shared" si="6"/>
        <v>23.477271999999999</v>
      </c>
      <c r="BI22" s="386">
        <f t="shared" si="7"/>
        <v>0</v>
      </c>
      <c r="BJ22" s="386">
        <f t="shared" si="8"/>
        <v>10.061687999999998</v>
      </c>
      <c r="BK22" s="386">
        <f t="shared" si="9"/>
        <v>0</v>
      </c>
      <c r="BL22" s="386">
        <f t="shared" si="32"/>
        <v>1006.6958408</v>
      </c>
      <c r="BM22" s="386">
        <f t="shared" si="33"/>
        <v>0</v>
      </c>
      <c r="BN22" s="386">
        <f t="shared" si="10"/>
        <v>582.5</v>
      </c>
      <c r="BO22" s="386">
        <f t="shared" si="11"/>
        <v>0</v>
      </c>
      <c r="BP22" s="386">
        <f t="shared" si="12"/>
        <v>297.05935999999997</v>
      </c>
      <c r="BQ22" s="386">
        <f t="shared" si="13"/>
        <v>69.473560000000006</v>
      </c>
      <c r="BR22" s="386">
        <f t="shared" si="14"/>
        <v>572.07883200000003</v>
      </c>
      <c r="BS22" s="386">
        <f t="shared" si="15"/>
        <v>34.545128800000001</v>
      </c>
      <c r="BT22" s="386">
        <f t="shared" si="16"/>
        <v>0</v>
      </c>
      <c r="BU22" s="386">
        <f t="shared" si="17"/>
        <v>0</v>
      </c>
      <c r="BV22" s="386">
        <f t="shared" si="18"/>
        <v>8.6243039999999986</v>
      </c>
      <c r="BW22" s="386">
        <f t="shared" si="19"/>
        <v>0</v>
      </c>
      <c r="BX22" s="386">
        <f t="shared" si="34"/>
        <v>981.78118480000012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-23.477271999999999</v>
      </c>
      <c r="CG22" s="386">
        <f t="shared" si="24"/>
        <v>0</v>
      </c>
      <c r="CH22" s="386">
        <f t="shared" si="25"/>
        <v>-1.4373839999999996</v>
      </c>
      <c r="CI22" s="386">
        <f t="shared" si="26"/>
        <v>0</v>
      </c>
      <c r="CJ22" s="386">
        <f t="shared" si="39"/>
        <v>-24.914655999999997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290</v>
      </c>
      <c r="D23" s="376" t="s">
        <v>291</v>
      </c>
      <c r="E23" s="376" t="s">
        <v>165</v>
      </c>
      <c r="F23" s="377" t="s">
        <v>166</v>
      </c>
      <c r="G23" s="376" t="s">
        <v>282</v>
      </c>
      <c r="H23" s="378"/>
      <c r="I23" s="378"/>
      <c r="J23" s="376" t="s">
        <v>168</v>
      </c>
      <c r="K23" s="376" t="s">
        <v>292</v>
      </c>
      <c r="L23" s="376" t="s">
        <v>289</v>
      </c>
      <c r="M23" s="376" t="s">
        <v>171</v>
      </c>
      <c r="N23" s="376" t="s">
        <v>172</v>
      </c>
      <c r="O23" s="379">
        <v>1</v>
      </c>
      <c r="P23" s="384">
        <v>1</v>
      </c>
      <c r="Q23" s="384">
        <v>1</v>
      </c>
      <c r="R23" s="380">
        <v>80</v>
      </c>
      <c r="S23" s="384">
        <v>1</v>
      </c>
      <c r="T23" s="380">
        <v>59489.24</v>
      </c>
      <c r="U23" s="380">
        <v>0</v>
      </c>
      <c r="V23" s="380">
        <v>23383.42</v>
      </c>
      <c r="W23" s="380">
        <v>66560</v>
      </c>
      <c r="X23" s="380">
        <v>25634.9</v>
      </c>
      <c r="Y23" s="380">
        <v>66560</v>
      </c>
      <c r="Z23" s="380">
        <v>25288.79</v>
      </c>
      <c r="AA23" s="376" t="s">
        <v>293</v>
      </c>
      <c r="AB23" s="376" t="s">
        <v>294</v>
      </c>
      <c r="AC23" s="376" t="s">
        <v>295</v>
      </c>
      <c r="AD23" s="376" t="s">
        <v>289</v>
      </c>
      <c r="AE23" s="376" t="s">
        <v>292</v>
      </c>
      <c r="AF23" s="376" t="s">
        <v>177</v>
      </c>
      <c r="AG23" s="376" t="s">
        <v>178</v>
      </c>
      <c r="AH23" s="379">
        <v>32</v>
      </c>
      <c r="AI23" s="381">
        <v>18708.5</v>
      </c>
      <c r="AJ23" s="376" t="s">
        <v>179</v>
      </c>
      <c r="AK23" s="376" t="s">
        <v>180</v>
      </c>
      <c r="AL23" s="376" t="s">
        <v>170</v>
      </c>
      <c r="AM23" s="376" t="s">
        <v>181</v>
      </c>
      <c r="AN23" s="376" t="s">
        <v>68</v>
      </c>
      <c r="AO23" s="379">
        <v>80</v>
      </c>
      <c r="AP23" s="384">
        <v>1</v>
      </c>
      <c r="AQ23" s="384">
        <v>1</v>
      </c>
      <c r="AR23" s="382" t="s">
        <v>182</v>
      </c>
      <c r="AS23" s="386">
        <f t="shared" si="27"/>
        <v>1</v>
      </c>
      <c r="AT23">
        <f t="shared" si="28"/>
        <v>1</v>
      </c>
      <c r="AU23" s="386">
        <f>IF(AT23=0,"",IF(AND(AT23=1,M23="F",SUMIF(C2:C167,C23,AS2:AS167)&lt;=1),SUMIF(C2:C167,C23,AS2:AS167),IF(AND(AT23=1,M23="F",SUMIF(C2:C167,C23,AS2:AS167)&gt;1),1,"")))</f>
        <v>1</v>
      </c>
      <c r="AV23" s="386" t="str">
        <f>IF(AT23=0,"",IF(AND(AT23=3,M23="F",SUMIF(C2:C167,C23,AS2:AS167)&lt;=1),SUMIF(C2:C167,C23,AS2:AS167),IF(AND(AT23=3,M23="F",SUMIF(C2:C167,C23,AS2:AS167)&gt;1),1,"")))</f>
        <v/>
      </c>
      <c r="AW23" s="386">
        <f>SUMIF(C2:C167,C23,O2:O167)</f>
        <v>2</v>
      </c>
      <c r="AX23" s="386">
        <f>IF(AND(M23="F",AS23&lt;&gt;0),SUMIF(C2:C167,C23,W2:W167),0)</f>
        <v>66560</v>
      </c>
      <c r="AY23" s="386">
        <f t="shared" si="29"/>
        <v>66560</v>
      </c>
      <c r="AZ23" s="386" t="str">
        <f t="shared" si="30"/>
        <v/>
      </c>
      <c r="BA23" s="386">
        <f t="shared" si="31"/>
        <v>0</v>
      </c>
      <c r="BB23" s="386">
        <f t="shared" si="0"/>
        <v>11650</v>
      </c>
      <c r="BC23" s="386">
        <f t="shared" si="1"/>
        <v>0</v>
      </c>
      <c r="BD23" s="386">
        <f t="shared" si="2"/>
        <v>4126.72</v>
      </c>
      <c r="BE23" s="386">
        <f t="shared" si="3"/>
        <v>965.12</v>
      </c>
      <c r="BF23" s="386">
        <f t="shared" si="4"/>
        <v>7947.2640000000001</v>
      </c>
      <c r="BG23" s="386">
        <f t="shared" si="5"/>
        <v>479.89760000000001</v>
      </c>
      <c r="BH23" s="386">
        <f t="shared" si="6"/>
        <v>326.14400000000001</v>
      </c>
      <c r="BI23" s="386">
        <f t="shared" si="7"/>
        <v>0</v>
      </c>
      <c r="BJ23" s="386">
        <f t="shared" si="8"/>
        <v>139.77599999999998</v>
      </c>
      <c r="BK23" s="386">
        <f t="shared" si="9"/>
        <v>0</v>
      </c>
      <c r="BL23" s="386">
        <f t="shared" si="32"/>
        <v>13984.9216</v>
      </c>
      <c r="BM23" s="386">
        <f t="shared" si="33"/>
        <v>0</v>
      </c>
      <c r="BN23" s="386">
        <f t="shared" si="10"/>
        <v>11650</v>
      </c>
      <c r="BO23" s="386">
        <f t="shared" si="11"/>
        <v>0</v>
      </c>
      <c r="BP23" s="386">
        <f t="shared" si="12"/>
        <v>4126.72</v>
      </c>
      <c r="BQ23" s="386">
        <f t="shared" si="13"/>
        <v>965.12</v>
      </c>
      <c r="BR23" s="386">
        <f t="shared" si="14"/>
        <v>7947.2640000000001</v>
      </c>
      <c r="BS23" s="386">
        <f t="shared" si="15"/>
        <v>479.89760000000001</v>
      </c>
      <c r="BT23" s="386">
        <f t="shared" si="16"/>
        <v>0</v>
      </c>
      <c r="BU23" s="386">
        <f t="shared" si="17"/>
        <v>0</v>
      </c>
      <c r="BV23" s="386">
        <f t="shared" si="18"/>
        <v>119.80799999999999</v>
      </c>
      <c r="BW23" s="386">
        <f t="shared" si="19"/>
        <v>0</v>
      </c>
      <c r="BX23" s="386">
        <f t="shared" si="34"/>
        <v>13638.809600000001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-326.14400000000001</v>
      </c>
      <c r="CG23" s="386">
        <f t="shared" si="24"/>
        <v>0</v>
      </c>
      <c r="CH23" s="386">
        <f t="shared" si="25"/>
        <v>-19.967999999999996</v>
      </c>
      <c r="CI23" s="386">
        <f t="shared" si="26"/>
        <v>0</v>
      </c>
      <c r="CJ23" s="386">
        <f t="shared" si="39"/>
        <v>-346.11200000000002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0001-00</v>
      </c>
    </row>
    <row r="24" spans="1:92" ht="15.75" thickBot="1" x14ac:dyDescent="0.3">
      <c r="A24" s="376" t="s">
        <v>161</v>
      </c>
      <c r="B24" s="376" t="s">
        <v>162</v>
      </c>
      <c r="C24" s="376" t="s">
        <v>296</v>
      </c>
      <c r="D24" s="376" t="s">
        <v>291</v>
      </c>
      <c r="E24" s="376" t="s">
        <v>165</v>
      </c>
      <c r="F24" s="377" t="s">
        <v>166</v>
      </c>
      <c r="G24" s="376" t="s">
        <v>282</v>
      </c>
      <c r="H24" s="378"/>
      <c r="I24" s="378"/>
      <c r="J24" s="376" t="s">
        <v>168</v>
      </c>
      <c r="K24" s="376" t="s">
        <v>297</v>
      </c>
      <c r="L24" s="376" t="s">
        <v>298</v>
      </c>
      <c r="M24" s="376" t="s">
        <v>171</v>
      </c>
      <c r="N24" s="376" t="s">
        <v>172</v>
      </c>
      <c r="O24" s="379">
        <v>1</v>
      </c>
      <c r="P24" s="384">
        <v>1</v>
      </c>
      <c r="Q24" s="384">
        <v>1</v>
      </c>
      <c r="R24" s="380">
        <v>80</v>
      </c>
      <c r="S24" s="384">
        <v>1</v>
      </c>
      <c r="T24" s="380">
        <v>80787.62</v>
      </c>
      <c r="U24" s="380">
        <v>0</v>
      </c>
      <c r="V24" s="380">
        <v>26708.720000000001</v>
      </c>
      <c r="W24" s="380">
        <v>81848</v>
      </c>
      <c r="X24" s="380">
        <v>28847.06</v>
      </c>
      <c r="Y24" s="380">
        <v>81848</v>
      </c>
      <c r="Z24" s="380">
        <v>28421.45</v>
      </c>
      <c r="AA24" s="376" t="s">
        <v>299</v>
      </c>
      <c r="AB24" s="376" t="s">
        <v>300</v>
      </c>
      <c r="AC24" s="376" t="s">
        <v>301</v>
      </c>
      <c r="AD24" s="376" t="s">
        <v>264</v>
      </c>
      <c r="AE24" s="376" t="s">
        <v>297</v>
      </c>
      <c r="AF24" s="376" t="s">
        <v>177</v>
      </c>
      <c r="AG24" s="376" t="s">
        <v>178</v>
      </c>
      <c r="AH24" s="381">
        <v>39.35</v>
      </c>
      <c r="AI24" s="381">
        <v>31789.200000000001</v>
      </c>
      <c r="AJ24" s="376" t="s">
        <v>179</v>
      </c>
      <c r="AK24" s="376" t="s">
        <v>180</v>
      </c>
      <c r="AL24" s="376" t="s">
        <v>170</v>
      </c>
      <c r="AM24" s="376" t="s">
        <v>181</v>
      </c>
      <c r="AN24" s="376" t="s">
        <v>68</v>
      </c>
      <c r="AO24" s="379">
        <v>80</v>
      </c>
      <c r="AP24" s="384">
        <v>1</v>
      </c>
      <c r="AQ24" s="384">
        <v>1</v>
      </c>
      <c r="AR24" s="382" t="s">
        <v>182</v>
      </c>
      <c r="AS24" s="386">
        <f t="shared" si="27"/>
        <v>1</v>
      </c>
      <c r="AT24">
        <f t="shared" si="28"/>
        <v>1</v>
      </c>
      <c r="AU24" s="386">
        <f>IF(AT24=0,"",IF(AND(AT24=1,M24="F",SUMIF(C2:C167,C24,AS2:AS167)&lt;=1),SUMIF(C2:C167,C24,AS2:AS167),IF(AND(AT24=1,M24="F",SUMIF(C2:C167,C24,AS2:AS167)&gt;1),1,"")))</f>
        <v>1</v>
      </c>
      <c r="AV24" s="386" t="str">
        <f>IF(AT24=0,"",IF(AND(AT24=3,M24="F",SUMIF(C2:C167,C24,AS2:AS167)&lt;=1),SUMIF(C2:C167,C24,AS2:AS167),IF(AND(AT24=3,M24="F",SUMIF(C2:C167,C24,AS2:AS167)&gt;1),1,"")))</f>
        <v/>
      </c>
      <c r="AW24" s="386">
        <f>SUMIF(C2:C167,C24,O2:O167)</f>
        <v>2</v>
      </c>
      <c r="AX24" s="386">
        <f>IF(AND(M24="F",AS24&lt;&gt;0),SUMIF(C2:C167,C24,W2:W167),0)</f>
        <v>81848</v>
      </c>
      <c r="AY24" s="386">
        <f t="shared" si="29"/>
        <v>81848</v>
      </c>
      <c r="AZ24" s="386" t="str">
        <f t="shared" si="30"/>
        <v/>
      </c>
      <c r="BA24" s="386">
        <f t="shared" si="31"/>
        <v>0</v>
      </c>
      <c r="BB24" s="386">
        <f t="shared" si="0"/>
        <v>11650</v>
      </c>
      <c r="BC24" s="386">
        <f t="shared" si="1"/>
        <v>0</v>
      </c>
      <c r="BD24" s="386">
        <f t="shared" si="2"/>
        <v>5074.576</v>
      </c>
      <c r="BE24" s="386">
        <f t="shared" si="3"/>
        <v>1186.796</v>
      </c>
      <c r="BF24" s="386">
        <f t="shared" si="4"/>
        <v>9772.6512000000002</v>
      </c>
      <c r="BG24" s="386">
        <f t="shared" si="5"/>
        <v>590.12408000000005</v>
      </c>
      <c r="BH24" s="386">
        <f t="shared" si="6"/>
        <v>401.05520000000001</v>
      </c>
      <c r="BI24" s="386">
        <f t="shared" si="7"/>
        <v>0</v>
      </c>
      <c r="BJ24" s="386">
        <f t="shared" si="8"/>
        <v>171.88079999999999</v>
      </c>
      <c r="BK24" s="386">
        <f t="shared" si="9"/>
        <v>0</v>
      </c>
      <c r="BL24" s="386">
        <f t="shared" si="32"/>
        <v>17197.083279999999</v>
      </c>
      <c r="BM24" s="386">
        <f t="shared" si="33"/>
        <v>0</v>
      </c>
      <c r="BN24" s="386">
        <f t="shared" si="10"/>
        <v>11650</v>
      </c>
      <c r="BO24" s="386">
        <f t="shared" si="11"/>
        <v>0</v>
      </c>
      <c r="BP24" s="386">
        <f t="shared" si="12"/>
        <v>5074.576</v>
      </c>
      <c r="BQ24" s="386">
        <f t="shared" si="13"/>
        <v>1186.796</v>
      </c>
      <c r="BR24" s="386">
        <f t="shared" si="14"/>
        <v>9772.6512000000002</v>
      </c>
      <c r="BS24" s="386">
        <f t="shared" si="15"/>
        <v>590.12408000000005</v>
      </c>
      <c r="BT24" s="386">
        <f t="shared" si="16"/>
        <v>0</v>
      </c>
      <c r="BU24" s="386">
        <f t="shared" si="17"/>
        <v>0</v>
      </c>
      <c r="BV24" s="386">
        <f t="shared" si="18"/>
        <v>147.32640000000001</v>
      </c>
      <c r="BW24" s="386">
        <f t="shared" si="19"/>
        <v>0</v>
      </c>
      <c r="BX24" s="386">
        <f t="shared" si="34"/>
        <v>16771.473680000003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-401.05520000000001</v>
      </c>
      <c r="CG24" s="386">
        <f t="shared" si="24"/>
        <v>0</v>
      </c>
      <c r="CH24" s="386">
        <f t="shared" si="25"/>
        <v>-24.554399999999994</v>
      </c>
      <c r="CI24" s="386">
        <f t="shared" si="26"/>
        <v>0</v>
      </c>
      <c r="CJ24" s="386">
        <f t="shared" si="39"/>
        <v>-425.6096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0001-00</v>
      </c>
    </row>
    <row r="25" spans="1:92" ht="15.75" thickBot="1" x14ac:dyDescent="0.3">
      <c r="A25" s="376" t="s">
        <v>161</v>
      </c>
      <c r="B25" s="376" t="s">
        <v>162</v>
      </c>
      <c r="C25" s="376" t="s">
        <v>302</v>
      </c>
      <c r="D25" s="376" t="s">
        <v>291</v>
      </c>
      <c r="E25" s="376" t="s">
        <v>165</v>
      </c>
      <c r="F25" s="377" t="s">
        <v>166</v>
      </c>
      <c r="G25" s="376" t="s">
        <v>282</v>
      </c>
      <c r="H25" s="378"/>
      <c r="I25" s="378"/>
      <c r="J25" s="376" t="s">
        <v>168</v>
      </c>
      <c r="K25" s="376" t="s">
        <v>303</v>
      </c>
      <c r="L25" s="376" t="s">
        <v>304</v>
      </c>
      <c r="M25" s="376" t="s">
        <v>171</v>
      </c>
      <c r="N25" s="376" t="s">
        <v>172</v>
      </c>
      <c r="O25" s="379">
        <v>1</v>
      </c>
      <c r="P25" s="384">
        <v>1</v>
      </c>
      <c r="Q25" s="384">
        <v>1</v>
      </c>
      <c r="R25" s="380">
        <v>80</v>
      </c>
      <c r="S25" s="384">
        <v>1</v>
      </c>
      <c r="T25" s="380">
        <v>50712.85</v>
      </c>
      <c r="U25" s="380">
        <v>0</v>
      </c>
      <c r="V25" s="380">
        <v>20446.3</v>
      </c>
      <c r="W25" s="380">
        <v>56284.800000000003</v>
      </c>
      <c r="X25" s="380">
        <v>23475.96</v>
      </c>
      <c r="Y25" s="380">
        <v>56284.800000000003</v>
      </c>
      <c r="Z25" s="380">
        <v>23183.29</v>
      </c>
      <c r="AA25" s="376" t="s">
        <v>305</v>
      </c>
      <c r="AB25" s="376" t="s">
        <v>306</v>
      </c>
      <c r="AC25" s="376" t="s">
        <v>307</v>
      </c>
      <c r="AD25" s="376" t="s">
        <v>264</v>
      </c>
      <c r="AE25" s="376" t="s">
        <v>303</v>
      </c>
      <c r="AF25" s="376" t="s">
        <v>177</v>
      </c>
      <c r="AG25" s="376" t="s">
        <v>178</v>
      </c>
      <c r="AH25" s="381">
        <v>27.06</v>
      </c>
      <c r="AI25" s="381">
        <v>49752.1</v>
      </c>
      <c r="AJ25" s="376" t="s">
        <v>179</v>
      </c>
      <c r="AK25" s="376" t="s">
        <v>180</v>
      </c>
      <c r="AL25" s="376" t="s">
        <v>170</v>
      </c>
      <c r="AM25" s="376" t="s">
        <v>181</v>
      </c>
      <c r="AN25" s="376" t="s">
        <v>68</v>
      </c>
      <c r="AO25" s="379">
        <v>80</v>
      </c>
      <c r="AP25" s="384">
        <v>1</v>
      </c>
      <c r="AQ25" s="384">
        <v>1</v>
      </c>
      <c r="AR25" s="382" t="s">
        <v>182</v>
      </c>
      <c r="AS25" s="386">
        <f t="shared" si="27"/>
        <v>1</v>
      </c>
      <c r="AT25">
        <f t="shared" si="28"/>
        <v>1</v>
      </c>
      <c r="AU25" s="386">
        <f>IF(AT25=0,"",IF(AND(AT25=1,M25="F",SUMIF(C2:C167,C25,AS2:AS167)&lt;=1),SUMIF(C2:C167,C25,AS2:AS167),IF(AND(AT25=1,M25="F",SUMIF(C2:C167,C25,AS2:AS167)&gt;1),1,"")))</f>
        <v>1</v>
      </c>
      <c r="AV25" s="386" t="str">
        <f>IF(AT25=0,"",IF(AND(AT25=3,M25="F",SUMIF(C2:C167,C25,AS2:AS167)&lt;=1),SUMIF(C2:C167,C25,AS2:AS167),IF(AND(AT25=3,M25="F",SUMIF(C2:C167,C25,AS2:AS167)&gt;1),1,"")))</f>
        <v/>
      </c>
      <c r="AW25" s="386">
        <f>SUMIF(C2:C167,C25,O2:O167)</f>
        <v>1</v>
      </c>
      <c r="AX25" s="386">
        <f>IF(AND(M25="F",AS25&lt;&gt;0),SUMIF(C2:C167,C25,W2:W167),0)</f>
        <v>56284.800000000003</v>
      </c>
      <c r="AY25" s="386">
        <f t="shared" si="29"/>
        <v>56284.800000000003</v>
      </c>
      <c r="AZ25" s="386" t="str">
        <f t="shared" si="30"/>
        <v/>
      </c>
      <c r="BA25" s="386">
        <f t="shared" si="31"/>
        <v>0</v>
      </c>
      <c r="BB25" s="386">
        <f t="shared" si="0"/>
        <v>11650</v>
      </c>
      <c r="BC25" s="386">
        <f t="shared" si="1"/>
        <v>0</v>
      </c>
      <c r="BD25" s="386">
        <f t="shared" si="2"/>
        <v>3489.6576</v>
      </c>
      <c r="BE25" s="386">
        <f t="shared" si="3"/>
        <v>816.1296000000001</v>
      </c>
      <c r="BF25" s="386">
        <f t="shared" si="4"/>
        <v>6720.4051200000004</v>
      </c>
      <c r="BG25" s="386">
        <f t="shared" si="5"/>
        <v>405.81340800000004</v>
      </c>
      <c r="BH25" s="386">
        <f t="shared" si="6"/>
        <v>275.79552000000001</v>
      </c>
      <c r="BI25" s="386">
        <f t="shared" si="7"/>
        <v>0</v>
      </c>
      <c r="BJ25" s="386">
        <f t="shared" si="8"/>
        <v>118.19808</v>
      </c>
      <c r="BK25" s="386">
        <f t="shared" si="9"/>
        <v>0</v>
      </c>
      <c r="BL25" s="386">
        <f t="shared" si="32"/>
        <v>11825.999328</v>
      </c>
      <c r="BM25" s="386">
        <f t="shared" si="33"/>
        <v>0</v>
      </c>
      <c r="BN25" s="386">
        <f t="shared" si="10"/>
        <v>11650</v>
      </c>
      <c r="BO25" s="386">
        <f t="shared" si="11"/>
        <v>0</v>
      </c>
      <c r="BP25" s="386">
        <f t="shared" si="12"/>
        <v>3489.6576</v>
      </c>
      <c r="BQ25" s="386">
        <f t="shared" si="13"/>
        <v>816.1296000000001</v>
      </c>
      <c r="BR25" s="386">
        <f t="shared" si="14"/>
        <v>6720.4051200000004</v>
      </c>
      <c r="BS25" s="386">
        <f t="shared" si="15"/>
        <v>405.81340800000004</v>
      </c>
      <c r="BT25" s="386">
        <f t="shared" si="16"/>
        <v>0</v>
      </c>
      <c r="BU25" s="386">
        <f t="shared" si="17"/>
        <v>0</v>
      </c>
      <c r="BV25" s="386">
        <f t="shared" si="18"/>
        <v>101.31264</v>
      </c>
      <c r="BW25" s="386">
        <f t="shared" si="19"/>
        <v>0</v>
      </c>
      <c r="BX25" s="386">
        <f t="shared" si="34"/>
        <v>11533.318368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-275.79552000000001</v>
      </c>
      <c r="CG25" s="386">
        <f t="shared" si="24"/>
        <v>0</v>
      </c>
      <c r="CH25" s="386">
        <f t="shared" si="25"/>
        <v>-16.885439999999996</v>
      </c>
      <c r="CI25" s="386">
        <f t="shared" si="26"/>
        <v>0</v>
      </c>
      <c r="CJ25" s="386">
        <f t="shared" si="39"/>
        <v>-292.68096000000003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0001-00</v>
      </c>
    </row>
    <row r="26" spans="1:92" ht="15.75" thickBot="1" x14ac:dyDescent="0.3">
      <c r="A26" s="376" t="s">
        <v>161</v>
      </c>
      <c r="B26" s="376" t="s">
        <v>162</v>
      </c>
      <c r="C26" s="376" t="s">
        <v>308</v>
      </c>
      <c r="D26" s="376" t="s">
        <v>291</v>
      </c>
      <c r="E26" s="376" t="s">
        <v>165</v>
      </c>
      <c r="F26" s="377" t="s">
        <v>166</v>
      </c>
      <c r="G26" s="376" t="s">
        <v>282</v>
      </c>
      <c r="H26" s="378"/>
      <c r="I26" s="378"/>
      <c r="J26" s="376" t="s">
        <v>168</v>
      </c>
      <c r="K26" s="376" t="s">
        <v>292</v>
      </c>
      <c r="L26" s="376" t="s">
        <v>289</v>
      </c>
      <c r="M26" s="376" t="s">
        <v>171</v>
      </c>
      <c r="N26" s="376" t="s">
        <v>172</v>
      </c>
      <c r="O26" s="379">
        <v>1</v>
      </c>
      <c r="P26" s="384">
        <v>1</v>
      </c>
      <c r="Q26" s="384">
        <v>1</v>
      </c>
      <c r="R26" s="380">
        <v>80</v>
      </c>
      <c r="S26" s="384">
        <v>1</v>
      </c>
      <c r="T26" s="380">
        <v>52360.18</v>
      </c>
      <c r="U26" s="380">
        <v>0</v>
      </c>
      <c r="V26" s="380">
        <v>21777.41</v>
      </c>
      <c r="W26" s="380">
        <v>58240</v>
      </c>
      <c r="X26" s="380">
        <v>23886.79</v>
      </c>
      <c r="Y26" s="380">
        <v>58240</v>
      </c>
      <c r="Z26" s="380">
        <v>23583.95</v>
      </c>
      <c r="AA26" s="376" t="s">
        <v>309</v>
      </c>
      <c r="AB26" s="376" t="s">
        <v>310</v>
      </c>
      <c r="AC26" s="376" t="s">
        <v>311</v>
      </c>
      <c r="AD26" s="376" t="s">
        <v>289</v>
      </c>
      <c r="AE26" s="376" t="s">
        <v>303</v>
      </c>
      <c r="AF26" s="376" t="s">
        <v>177</v>
      </c>
      <c r="AG26" s="376" t="s">
        <v>178</v>
      </c>
      <c r="AH26" s="379">
        <v>28</v>
      </c>
      <c r="AI26" s="381">
        <v>11206.8</v>
      </c>
      <c r="AJ26" s="376" t="s">
        <v>179</v>
      </c>
      <c r="AK26" s="376" t="s">
        <v>180</v>
      </c>
      <c r="AL26" s="376" t="s">
        <v>170</v>
      </c>
      <c r="AM26" s="376" t="s">
        <v>181</v>
      </c>
      <c r="AN26" s="376" t="s">
        <v>68</v>
      </c>
      <c r="AO26" s="379">
        <v>80</v>
      </c>
      <c r="AP26" s="384">
        <v>1</v>
      </c>
      <c r="AQ26" s="384">
        <v>1</v>
      </c>
      <c r="AR26" s="382" t="s">
        <v>182</v>
      </c>
      <c r="AS26" s="386">
        <f t="shared" si="27"/>
        <v>1</v>
      </c>
      <c r="AT26">
        <f t="shared" si="28"/>
        <v>1</v>
      </c>
      <c r="AU26" s="386">
        <f>IF(AT26=0,"",IF(AND(AT26=1,M26="F",SUMIF(C2:C167,C26,AS2:AS167)&lt;=1),SUMIF(C2:C167,C26,AS2:AS167),IF(AND(AT26=1,M26="F",SUMIF(C2:C167,C26,AS2:AS167)&gt;1),1,"")))</f>
        <v>1</v>
      </c>
      <c r="AV26" s="386" t="str">
        <f>IF(AT26=0,"",IF(AND(AT26=3,M26="F",SUMIF(C2:C167,C26,AS2:AS167)&lt;=1),SUMIF(C2:C167,C26,AS2:AS167),IF(AND(AT26=3,M26="F",SUMIF(C2:C167,C26,AS2:AS167)&gt;1),1,"")))</f>
        <v/>
      </c>
      <c r="AW26" s="386">
        <f>SUMIF(C2:C167,C26,O2:O167)</f>
        <v>2</v>
      </c>
      <c r="AX26" s="386">
        <f>IF(AND(M26="F",AS26&lt;&gt;0),SUMIF(C2:C167,C26,W2:W167),0)</f>
        <v>58240</v>
      </c>
      <c r="AY26" s="386">
        <f t="shared" si="29"/>
        <v>58240</v>
      </c>
      <c r="AZ26" s="386" t="str">
        <f t="shared" si="30"/>
        <v/>
      </c>
      <c r="BA26" s="386">
        <f t="shared" si="31"/>
        <v>0</v>
      </c>
      <c r="BB26" s="386">
        <f t="shared" si="0"/>
        <v>11650</v>
      </c>
      <c r="BC26" s="386">
        <f t="shared" si="1"/>
        <v>0</v>
      </c>
      <c r="BD26" s="386">
        <f t="shared" si="2"/>
        <v>3610.88</v>
      </c>
      <c r="BE26" s="386">
        <f t="shared" si="3"/>
        <v>844.48</v>
      </c>
      <c r="BF26" s="386">
        <f t="shared" si="4"/>
        <v>6953.8560000000007</v>
      </c>
      <c r="BG26" s="386">
        <f t="shared" si="5"/>
        <v>419.91040000000004</v>
      </c>
      <c r="BH26" s="386">
        <f t="shared" si="6"/>
        <v>285.37599999999998</v>
      </c>
      <c r="BI26" s="386">
        <f t="shared" si="7"/>
        <v>0</v>
      </c>
      <c r="BJ26" s="386">
        <f t="shared" si="8"/>
        <v>122.30399999999999</v>
      </c>
      <c r="BK26" s="386">
        <f t="shared" si="9"/>
        <v>0</v>
      </c>
      <c r="BL26" s="386">
        <f t="shared" si="32"/>
        <v>12236.806400000001</v>
      </c>
      <c r="BM26" s="386">
        <f t="shared" si="33"/>
        <v>0</v>
      </c>
      <c r="BN26" s="386">
        <f t="shared" si="10"/>
        <v>11650</v>
      </c>
      <c r="BO26" s="386">
        <f t="shared" si="11"/>
        <v>0</v>
      </c>
      <c r="BP26" s="386">
        <f t="shared" si="12"/>
        <v>3610.88</v>
      </c>
      <c r="BQ26" s="386">
        <f t="shared" si="13"/>
        <v>844.48</v>
      </c>
      <c r="BR26" s="386">
        <f t="shared" si="14"/>
        <v>6953.8560000000007</v>
      </c>
      <c r="BS26" s="386">
        <f t="shared" si="15"/>
        <v>419.91040000000004</v>
      </c>
      <c r="BT26" s="386">
        <f t="shared" si="16"/>
        <v>0</v>
      </c>
      <c r="BU26" s="386">
        <f t="shared" si="17"/>
        <v>0</v>
      </c>
      <c r="BV26" s="386">
        <f t="shared" si="18"/>
        <v>104.83199999999999</v>
      </c>
      <c r="BW26" s="386">
        <f t="shared" si="19"/>
        <v>0</v>
      </c>
      <c r="BX26" s="386">
        <f t="shared" si="34"/>
        <v>11933.958400000001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-285.37599999999998</v>
      </c>
      <c r="CG26" s="386">
        <f t="shared" si="24"/>
        <v>0</v>
      </c>
      <c r="CH26" s="386">
        <f t="shared" si="25"/>
        <v>-17.471999999999994</v>
      </c>
      <c r="CI26" s="386">
        <f t="shared" si="26"/>
        <v>0</v>
      </c>
      <c r="CJ26" s="386">
        <f t="shared" si="39"/>
        <v>-302.84799999999996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0001-00</v>
      </c>
    </row>
    <row r="27" spans="1:92" ht="15.75" thickBot="1" x14ac:dyDescent="0.3">
      <c r="A27" s="376" t="s">
        <v>161</v>
      </c>
      <c r="B27" s="376" t="s">
        <v>162</v>
      </c>
      <c r="C27" s="376" t="s">
        <v>312</v>
      </c>
      <c r="D27" s="376" t="s">
        <v>291</v>
      </c>
      <c r="E27" s="376" t="s">
        <v>165</v>
      </c>
      <c r="F27" s="377" t="s">
        <v>166</v>
      </c>
      <c r="G27" s="376" t="s">
        <v>282</v>
      </c>
      <c r="H27" s="378"/>
      <c r="I27" s="378"/>
      <c r="J27" s="376" t="s">
        <v>168</v>
      </c>
      <c r="K27" s="376" t="s">
        <v>297</v>
      </c>
      <c r="L27" s="376" t="s">
        <v>298</v>
      </c>
      <c r="M27" s="376" t="s">
        <v>171</v>
      </c>
      <c r="N27" s="376" t="s">
        <v>172</v>
      </c>
      <c r="O27" s="379">
        <v>1</v>
      </c>
      <c r="P27" s="384">
        <v>1</v>
      </c>
      <c r="Q27" s="384">
        <v>1</v>
      </c>
      <c r="R27" s="380">
        <v>80</v>
      </c>
      <c r="S27" s="384">
        <v>1</v>
      </c>
      <c r="T27" s="380">
        <v>65706.399999999994</v>
      </c>
      <c r="U27" s="380">
        <v>0</v>
      </c>
      <c r="V27" s="380">
        <v>24904.37</v>
      </c>
      <c r="W27" s="380">
        <v>68640</v>
      </c>
      <c r="X27" s="380">
        <v>26071.93</v>
      </c>
      <c r="Y27" s="380">
        <v>68640</v>
      </c>
      <c r="Z27" s="380">
        <v>25715.01</v>
      </c>
      <c r="AA27" s="376" t="s">
        <v>313</v>
      </c>
      <c r="AB27" s="376" t="s">
        <v>314</v>
      </c>
      <c r="AC27" s="376" t="s">
        <v>315</v>
      </c>
      <c r="AD27" s="376" t="s">
        <v>176</v>
      </c>
      <c r="AE27" s="376" t="s">
        <v>297</v>
      </c>
      <c r="AF27" s="376" t="s">
        <v>177</v>
      </c>
      <c r="AG27" s="376" t="s">
        <v>178</v>
      </c>
      <c r="AH27" s="379">
        <v>33</v>
      </c>
      <c r="AI27" s="381">
        <v>59039.3</v>
      </c>
      <c r="AJ27" s="376" t="s">
        <v>179</v>
      </c>
      <c r="AK27" s="376" t="s">
        <v>180</v>
      </c>
      <c r="AL27" s="376" t="s">
        <v>170</v>
      </c>
      <c r="AM27" s="376" t="s">
        <v>181</v>
      </c>
      <c r="AN27" s="376" t="s">
        <v>68</v>
      </c>
      <c r="AO27" s="379">
        <v>80</v>
      </c>
      <c r="AP27" s="384">
        <v>1</v>
      </c>
      <c r="AQ27" s="384">
        <v>1</v>
      </c>
      <c r="AR27" s="382" t="s">
        <v>182</v>
      </c>
      <c r="AS27" s="386">
        <f t="shared" si="27"/>
        <v>1</v>
      </c>
      <c r="AT27">
        <f t="shared" si="28"/>
        <v>1</v>
      </c>
      <c r="AU27" s="386">
        <f>IF(AT27=0,"",IF(AND(AT27=1,M27="F",SUMIF(C2:C167,C27,AS2:AS167)&lt;=1),SUMIF(C2:C167,C27,AS2:AS167),IF(AND(AT27=1,M27="F",SUMIF(C2:C167,C27,AS2:AS167)&gt;1),1,"")))</f>
        <v>1</v>
      </c>
      <c r="AV27" s="386" t="str">
        <f>IF(AT27=0,"",IF(AND(AT27=3,M27="F",SUMIF(C2:C167,C27,AS2:AS167)&lt;=1),SUMIF(C2:C167,C27,AS2:AS167),IF(AND(AT27=3,M27="F",SUMIF(C2:C167,C27,AS2:AS167)&gt;1),1,"")))</f>
        <v/>
      </c>
      <c r="AW27" s="386">
        <f>SUMIF(C2:C167,C27,O2:O167)</f>
        <v>1</v>
      </c>
      <c r="AX27" s="386">
        <f>IF(AND(M27="F",AS27&lt;&gt;0),SUMIF(C2:C167,C27,W2:W167),0)</f>
        <v>68640</v>
      </c>
      <c r="AY27" s="386">
        <f t="shared" si="29"/>
        <v>68640</v>
      </c>
      <c r="AZ27" s="386" t="str">
        <f t="shared" si="30"/>
        <v/>
      </c>
      <c r="BA27" s="386">
        <f t="shared" si="31"/>
        <v>0</v>
      </c>
      <c r="BB27" s="386">
        <f t="shared" si="0"/>
        <v>11650</v>
      </c>
      <c r="BC27" s="386">
        <f t="shared" si="1"/>
        <v>0</v>
      </c>
      <c r="BD27" s="386">
        <f t="shared" si="2"/>
        <v>4255.68</v>
      </c>
      <c r="BE27" s="386">
        <f t="shared" si="3"/>
        <v>995.28000000000009</v>
      </c>
      <c r="BF27" s="386">
        <f t="shared" si="4"/>
        <v>8195.616</v>
      </c>
      <c r="BG27" s="386">
        <f t="shared" si="5"/>
        <v>494.89440000000002</v>
      </c>
      <c r="BH27" s="386">
        <f t="shared" si="6"/>
        <v>336.33600000000001</v>
      </c>
      <c r="BI27" s="386">
        <f t="shared" si="7"/>
        <v>0</v>
      </c>
      <c r="BJ27" s="386">
        <f t="shared" si="8"/>
        <v>144.14399999999998</v>
      </c>
      <c r="BK27" s="386">
        <f t="shared" si="9"/>
        <v>0</v>
      </c>
      <c r="BL27" s="386">
        <f t="shared" si="32"/>
        <v>14421.9504</v>
      </c>
      <c r="BM27" s="386">
        <f t="shared" si="33"/>
        <v>0</v>
      </c>
      <c r="BN27" s="386">
        <f t="shared" si="10"/>
        <v>11650</v>
      </c>
      <c r="BO27" s="386">
        <f t="shared" si="11"/>
        <v>0</v>
      </c>
      <c r="BP27" s="386">
        <f t="shared" si="12"/>
        <v>4255.68</v>
      </c>
      <c r="BQ27" s="386">
        <f t="shared" si="13"/>
        <v>995.28000000000009</v>
      </c>
      <c r="BR27" s="386">
        <f t="shared" si="14"/>
        <v>8195.616</v>
      </c>
      <c r="BS27" s="386">
        <f t="shared" si="15"/>
        <v>494.89440000000002</v>
      </c>
      <c r="BT27" s="386">
        <f t="shared" si="16"/>
        <v>0</v>
      </c>
      <c r="BU27" s="386">
        <f t="shared" si="17"/>
        <v>0</v>
      </c>
      <c r="BV27" s="386">
        <f t="shared" si="18"/>
        <v>123.55199999999999</v>
      </c>
      <c r="BW27" s="386">
        <f t="shared" si="19"/>
        <v>0</v>
      </c>
      <c r="BX27" s="386">
        <f t="shared" si="34"/>
        <v>14065.0224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-336.33600000000001</v>
      </c>
      <c r="CG27" s="386">
        <f t="shared" si="24"/>
        <v>0</v>
      </c>
      <c r="CH27" s="386">
        <f t="shared" si="25"/>
        <v>-20.591999999999995</v>
      </c>
      <c r="CI27" s="386">
        <f t="shared" si="26"/>
        <v>0</v>
      </c>
      <c r="CJ27" s="386">
        <f t="shared" si="39"/>
        <v>-356.928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0001-00</v>
      </c>
    </row>
    <row r="28" spans="1:92" ht="15.75" thickBot="1" x14ac:dyDescent="0.3">
      <c r="A28" s="376" t="s">
        <v>161</v>
      </c>
      <c r="B28" s="376" t="s">
        <v>162</v>
      </c>
      <c r="C28" s="376" t="s">
        <v>316</v>
      </c>
      <c r="D28" s="376" t="s">
        <v>268</v>
      </c>
      <c r="E28" s="376" t="s">
        <v>165</v>
      </c>
      <c r="F28" s="377" t="s">
        <v>166</v>
      </c>
      <c r="G28" s="376" t="s">
        <v>282</v>
      </c>
      <c r="H28" s="378"/>
      <c r="I28" s="378"/>
      <c r="J28" s="376" t="s">
        <v>168</v>
      </c>
      <c r="K28" s="376" t="s">
        <v>269</v>
      </c>
      <c r="L28" s="376" t="s">
        <v>166</v>
      </c>
      <c r="M28" s="376" t="s">
        <v>171</v>
      </c>
      <c r="N28" s="376" t="s">
        <v>270</v>
      </c>
      <c r="O28" s="379">
        <v>0</v>
      </c>
      <c r="P28" s="384">
        <v>1</v>
      </c>
      <c r="Q28" s="384">
        <v>0</v>
      </c>
      <c r="R28" s="380">
        <v>0</v>
      </c>
      <c r="S28" s="384">
        <v>0</v>
      </c>
      <c r="T28" s="380">
        <v>0</v>
      </c>
      <c r="U28" s="380">
        <v>0</v>
      </c>
      <c r="V28" s="380">
        <v>0</v>
      </c>
      <c r="W28" s="380">
        <v>529305.49</v>
      </c>
      <c r="X28" s="380">
        <v>184442.48</v>
      </c>
      <c r="Y28" s="380">
        <v>529305.49</v>
      </c>
      <c r="Z28" s="380">
        <v>184442.48</v>
      </c>
      <c r="AA28" s="378"/>
      <c r="AB28" s="376" t="s">
        <v>45</v>
      </c>
      <c r="AC28" s="376" t="s">
        <v>45</v>
      </c>
      <c r="AD28" s="378"/>
      <c r="AE28" s="378"/>
      <c r="AF28" s="378"/>
      <c r="AG28" s="378"/>
      <c r="AH28" s="379">
        <v>0</v>
      </c>
      <c r="AI28" s="379">
        <v>0</v>
      </c>
      <c r="AJ28" s="378"/>
      <c r="AK28" s="378"/>
      <c r="AL28" s="376" t="s">
        <v>170</v>
      </c>
      <c r="AM28" s="378"/>
      <c r="AN28" s="378"/>
      <c r="AO28" s="379">
        <v>0</v>
      </c>
      <c r="AP28" s="384">
        <v>0</v>
      </c>
      <c r="AQ28" s="384">
        <v>0</v>
      </c>
      <c r="AR28" s="383"/>
      <c r="AS28" s="386">
        <f t="shared" si="27"/>
        <v>0</v>
      </c>
      <c r="AT28">
        <f t="shared" si="28"/>
        <v>0</v>
      </c>
      <c r="AU28" s="386" t="str">
        <f>IF(AT28=0,"",IF(AND(AT28=1,M28="F",SUMIF(C2:C167,C28,AS2:AS167)&lt;=1),SUMIF(C2:C167,C28,AS2:AS167),IF(AND(AT28=1,M28="F",SUMIF(C2:C167,C28,AS2:AS167)&gt;1),1,"")))</f>
        <v/>
      </c>
      <c r="AV28" s="386" t="str">
        <f>IF(AT28=0,"",IF(AND(AT28=3,M28="F",SUMIF(C2:C167,C28,AS2:AS167)&lt;=1),SUMIF(C2:C167,C28,AS2:AS167),IF(AND(AT28=3,M28="F",SUMIF(C2:C167,C28,AS2:AS167)&gt;1),1,"")))</f>
        <v/>
      </c>
      <c r="AW28" s="386">
        <f>SUMIF(C2:C167,C28,O2:O167)</f>
        <v>0</v>
      </c>
      <c r="AX28" s="386">
        <f>IF(AND(M28="F",AS28&lt;&gt;0),SUMIF(C2:C167,C28,W2:W167),0)</f>
        <v>0</v>
      </c>
      <c r="AY28" s="386" t="str">
        <f t="shared" si="29"/>
        <v/>
      </c>
      <c r="AZ28" s="386" t="str">
        <f t="shared" si="30"/>
        <v/>
      </c>
      <c r="BA28" s="386">
        <f t="shared" si="31"/>
        <v>0</v>
      </c>
      <c r="BB28" s="386">
        <f t="shared" si="0"/>
        <v>0</v>
      </c>
      <c r="BC28" s="386">
        <f t="shared" si="1"/>
        <v>0</v>
      </c>
      <c r="BD28" s="386">
        <f t="shared" si="2"/>
        <v>0</v>
      </c>
      <c r="BE28" s="386">
        <f t="shared" si="3"/>
        <v>0</v>
      </c>
      <c r="BF28" s="386">
        <f t="shared" si="4"/>
        <v>0</v>
      </c>
      <c r="BG28" s="386">
        <f t="shared" si="5"/>
        <v>0</v>
      </c>
      <c r="BH28" s="386">
        <f t="shared" si="6"/>
        <v>0</v>
      </c>
      <c r="BI28" s="386">
        <f t="shared" si="7"/>
        <v>0</v>
      </c>
      <c r="BJ28" s="386">
        <f t="shared" si="8"/>
        <v>0</v>
      </c>
      <c r="BK28" s="386">
        <f t="shared" si="9"/>
        <v>0</v>
      </c>
      <c r="BL28" s="386">
        <f t="shared" si="32"/>
        <v>0</v>
      </c>
      <c r="BM28" s="386">
        <f t="shared" si="33"/>
        <v>0</v>
      </c>
      <c r="BN28" s="386">
        <f t="shared" si="10"/>
        <v>0</v>
      </c>
      <c r="BO28" s="386">
        <f t="shared" si="11"/>
        <v>0</v>
      </c>
      <c r="BP28" s="386">
        <f t="shared" si="12"/>
        <v>0</v>
      </c>
      <c r="BQ28" s="386">
        <f t="shared" si="13"/>
        <v>0</v>
      </c>
      <c r="BR28" s="386">
        <f t="shared" si="14"/>
        <v>0</v>
      </c>
      <c r="BS28" s="386">
        <f t="shared" si="15"/>
        <v>0</v>
      </c>
      <c r="BT28" s="386">
        <f t="shared" si="16"/>
        <v>0</v>
      </c>
      <c r="BU28" s="386">
        <f t="shared" si="17"/>
        <v>0</v>
      </c>
      <c r="BV28" s="386">
        <f t="shared" si="18"/>
        <v>0</v>
      </c>
      <c r="BW28" s="386">
        <f t="shared" si="19"/>
        <v>0</v>
      </c>
      <c r="BX28" s="386">
        <f t="shared" si="34"/>
        <v>0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0</v>
      </c>
      <c r="CG28" s="386">
        <f t="shared" si="24"/>
        <v>0</v>
      </c>
      <c r="CH28" s="386">
        <f t="shared" si="25"/>
        <v>0</v>
      </c>
      <c r="CI28" s="386">
        <f t="shared" si="26"/>
        <v>0</v>
      </c>
      <c r="CJ28" s="386">
        <f t="shared" si="39"/>
        <v>0</v>
      </c>
      <c r="CK28" s="386" t="str">
        <f t="shared" si="40"/>
        <v/>
      </c>
      <c r="CL28" s="386">
        <f t="shared" si="41"/>
        <v>0</v>
      </c>
      <c r="CM28" s="386">
        <f t="shared" si="42"/>
        <v>0</v>
      </c>
      <c r="CN28" s="386" t="str">
        <f t="shared" si="43"/>
        <v>0001-00</v>
      </c>
    </row>
    <row r="29" spans="1:92" ht="15.75" thickBot="1" x14ac:dyDescent="0.3">
      <c r="A29" s="376" t="s">
        <v>161</v>
      </c>
      <c r="B29" s="376" t="s">
        <v>162</v>
      </c>
      <c r="C29" s="376" t="s">
        <v>317</v>
      </c>
      <c r="D29" s="376" t="s">
        <v>318</v>
      </c>
      <c r="E29" s="376" t="s">
        <v>165</v>
      </c>
      <c r="F29" s="377" t="s">
        <v>166</v>
      </c>
      <c r="G29" s="376" t="s">
        <v>282</v>
      </c>
      <c r="H29" s="378"/>
      <c r="I29" s="378"/>
      <c r="J29" s="376" t="s">
        <v>168</v>
      </c>
      <c r="K29" s="376" t="s">
        <v>319</v>
      </c>
      <c r="L29" s="376" t="s">
        <v>178</v>
      </c>
      <c r="M29" s="376" t="s">
        <v>171</v>
      </c>
      <c r="N29" s="376" t="s">
        <v>172</v>
      </c>
      <c r="O29" s="379">
        <v>1</v>
      </c>
      <c r="P29" s="384">
        <v>1</v>
      </c>
      <c r="Q29" s="384">
        <v>1</v>
      </c>
      <c r="R29" s="380">
        <v>80</v>
      </c>
      <c r="S29" s="384">
        <v>1</v>
      </c>
      <c r="T29" s="380">
        <v>46097.07</v>
      </c>
      <c r="U29" s="380">
        <v>0</v>
      </c>
      <c r="V29" s="380">
        <v>20981.71</v>
      </c>
      <c r="W29" s="380">
        <v>39520</v>
      </c>
      <c r="X29" s="380">
        <v>19953.52</v>
      </c>
      <c r="Y29" s="380">
        <v>39520</v>
      </c>
      <c r="Z29" s="380">
        <v>19748.02</v>
      </c>
      <c r="AA29" s="376" t="s">
        <v>320</v>
      </c>
      <c r="AB29" s="376" t="s">
        <v>189</v>
      </c>
      <c r="AC29" s="376" t="s">
        <v>321</v>
      </c>
      <c r="AD29" s="376" t="s">
        <v>322</v>
      </c>
      <c r="AE29" s="376" t="s">
        <v>319</v>
      </c>
      <c r="AF29" s="376" t="s">
        <v>177</v>
      </c>
      <c r="AG29" s="376" t="s">
        <v>178</v>
      </c>
      <c r="AH29" s="379">
        <v>19</v>
      </c>
      <c r="AI29" s="379">
        <v>1480</v>
      </c>
      <c r="AJ29" s="376" t="s">
        <v>179</v>
      </c>
      <c r="AK29" s="376" t="s">
        <v>180</v>
      </c>
      <c r="AL29" s="376" t="s">
        <v>170</v>
      </c>
      <c r="AM29" s="376" t="s">
        <v>181</v>
      </c>
      <c r="AN29" s="376" t="s">
        <v>68</v>
      </c>
      <c r="AO29" s="379">
        <v>80</v>
      </c>
      <c r="AP29" s="384">
        <v>1</v>
      </c>
      <c r="AQ29" s="384">
        <v>1</v>
      </c>
      <c r="AR29" s="382" t="s">
        <v>182</v>
      </c>
      <c r="AS29" s="386">
        <f t="shared" si="27"/>
        <v>1</v>
      </c>
      <c r="AT29">
        <f t="shared" si="28"/>
        <v>1</v>
      </c>
      <c r="AU29" s="386">
        <f>IF(AT29=0,"",IF(AND(AT29=1,M29="F",SUMIF(C2:C167,C29,AS2:AS167)&lt;=1),SUMIF(C2:C167,C29,AS2:AS167),IF(AND(AT29=1,M29="F",SUMIF(C2:C167,C29,AS2:AS167)&gt;1),1,"")))</f>
        <v>1</v>
      </c>
      <c r="AV29" s="386" t="str">
        <f>IF(AT29=0,"",IF(AND(AT29=3,M29="F",SUMIF(C2:C167,C29,AS2:AS167)&lt;=1),SUMIF(C2:C167,C29,AS2:AS167),IF(AND(AT29=3,M29="F",SUMIF(C2:C167,C29,AS2:AS167)&gt;1),1,"")))</f>
        <v/>
      </c>
      <c r="AW29" s="386">
        <f>SUMIF(C2:C167,C29,O2:O167)</f>
        <v>1</v>
      </c>
      <c r="AX29" s="386">
        <f>IF(AND(M29="F",AS29&lt;&gt;0),SUMIF(C2:C167,C29,W2:W167),0)</f>
        <v>39520</v>
      </c>
      <c r="AY29" s="386">
        <f t="shared" si="29"/>
        <v>39520</v>
      </c>
      <c r="AZ29" s="386" t="str">
        <f t="shared" si="30"/>
        <v/>
      </c>
      <c r="BA29" s="386">
        <f t="shared" si="31"/>
        <v>0</v>
      </c>
      <c r="BB29" s="386">
        <f t="shared" si="0"/>
        <v>11650</v>
      </c>
      <c r="BC29" s="386">
        <f t="shared" si="1"/>
        <v>0</v>
      </c>
      <c r="BD29" s="386">
        <f t="shared" si="2"/>
        <v>2450.2399999999998</v>
      </c>
      <c r="BE29" s="386">
        <f t="shared" si="3"/>
        <v>573.04000000000008</v>
      </c>
      <c r="BF29" s="386">
        <f t="shared" si="4"/>
        <v>4718.6880000000001</v>
      </c>
      <c r="BG29" s="386">
        <f t="shared" si="5"/>
        <v>284.93920000000003</v>
      </c>
      <c r="BH29" s="386">
        <f t="shared" si="6"/>
        <v>193.648</v>
      </c>
      <c r="BI29" s="386">
        <f t="shared" si="7"/>
        <v>0</v>
      </c>
      <c r="BJ29" s="386">
        <f t="shared" si="8"/>
        <v>82.99199999999999</v>
      </c>
      <c r="BK29" s="386">
        <f t="shared" si="9"/>
        <v>0</v>
      </c>
      <c r="BL29" s="386">
        <f t="shared" si="32"/>
        <v>8303.5471999999991</v>
      </c>
      <c r="BM29" s="386">
        <f t="shared" si="33"/>
        <v>0</v>
      </c>
      <c r="BN29" s="386">
        <f t="shared" si="10"/>
        <v>11650</v>
      </c>
      <c r="BO29" s="386">
        <f t="shared" si="11"/>
        <v>0</v>
      </c>
      <c r="BP29" s="386">
        <f t="shared" si="12"/>
        <v>2450.2399999999998</v>
      </c>
      <c r="BQ29" s="386">
        <f t="shared" si="13"/>
        <v>573.04000000000008</v>
      </c>
      <c r="BR29" s="386">
        <f t="shared" si="14"/>
        <v>4718.6880000000001</v>
      </c>
      <c r="BS29" s="386">
        <f t="shared" si="15"/>
        <v>284.93920000000003</v>
      </c>
      <c r="BT29" s="386">
        <f t="shared" si="16"/>
        <v>0</v>
      </c>
      <c r="BU29" s="386">
        <f t="shared" si="17"/>
        <v>0</v>
      </c>
      <c r="BV29" s="386">
        <f t="shared" si="18"/>
        <v>71.135999999999996</v>
      </c>
      <c r="BW29" s="386">
        <f t="shared" si="19"/>
        <v>0</v>
      </c>
      <c r="BX29" s="386">
        <f t="shared" si="34"/>
        <v>8098.0432000000001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-193.648</v>
      </c>
      <c r="CG29" s="386">
        <f t="shared" si="24"/>
        <v>0</v>
      </c>
      <c r="CH29" s="386">
        <f t="shared" si="25"/>
        <v>-11.855999999999996</v>
      </c>
      <c r="CI29" s="386">
        <f t="shared" si="26"/>
        <v>0</v>
      </c>
      <c r="CJ29" s="386">
        <f t="shared" si="39"/>
        <v>-205.50399999999999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0001-00</v>
      </c>
    </row>
    <row r="30" spans="1:92" ht="15.75" thickBot="1" x14ac:dyDescent="0.3">
      <c r="A30" s="376" t="s">
        <v>161</v>
      </c>
      <c r="B30" s="376" t="s">
        <v>162</v>
      </c>
      <c r="C30" s="376" t="s">
        <v>323</v>
      </c>
      <c r="D30" s="376" t="s">
        <v>291</v>
      </c>
      <c r="E30" s="376" t="s">
        <v>165</v>
      </c>
      <c r="F30" s="377" t="s">
        <v>166</v>
      </c>
      <c r="G30" s="376" t="s">
        <v>282</v>
      </c>
      <c r="H30" s="378"/>
      <c r="I30" s="378"/>
      <c r="J30" s="376" t="s">
        <v>168</v>
      </c>
      <c r="K30" s="376" t="s">
        <v>303</v>
      </c>
      <c r="L30" s="376" t="s">
        <v>304</v>
      </c>
      <c r="M30" s="376" t="s">
        <v>171</v>
      </c>
      <c r="N30" s="376" t="s">
        <v>172</v>
      </c>
      <c r="O30" s="379">
        <v>1</v>
      </c>
      <c r="P30" s="384">
        <v>1</v>
      </c>
      <c r="Q30" s="384">
        <v>1</v>
      </c>
      <c r="R30" s="380">
        <v>80</v>
      </c>
      <c r="S30" s="384">
        <v>1</v>
      </c>
      <c r="T30" s="380">
        <v>52225.72</v>
      </c>
      <c r="U30" s="380">
        <v>0</v>
      </c>
      <c r="V30" s="380">
        <v>21091.72</v>
      </c>
      <c r="W30" s="380">
        <v>68640</v>
      </c>
      <c r="X30" s="380">
        <v>26071.93</v>
      </c>
      <c r="Y30" s="380">
        <v>68640</v>
      </c>
      <c r="Z30" s="380">
        <v>25715.01</v>
      </c>
      <c r="AA30" s="376" t="s">
        <v>324</v>
      </c>
      <c r="AB30" s="376" t="s">
        <v>325</v>
      </c>
      <c r="AC30" s="376" t="s">
        <v>326</v>
      </c>
      <c r="AD30" s="376" t="s">
        <v>289</v>
      </c>
      <c r="AE30" s="376" t="s">
        <v>303</v>
      </c>
      <c r="AF30" s="376" t="s">
        <v>177</v>
      </c>
      <c r="AG30" s="376" t="s">
        <v>178</v>
      </c>
      <c r="AH30" s="379">
        <v>33</v>
      </c>
      <c r="AI30" s="381">
        <v>4791.5</v>
      </c>
      <c r="AJ30" s="376" t="s">
        <v>179</v>
      </c>
      <c r="AK30" s="376" t="s">
        <v>180</v>
      </c>
      <c r="AL30" s="376" t="s">
        <v>170</v>
      </c>
      <c r="AM30" s="376" t="s">
        <v>181</v>
      </c>
      <c r="AN30" s="376" t="s">
        <v>68</v>
      </c>
      <c r="AO30" s="379">
        <v>80</v>
      </c>
      <c r="AP30" s="384">
        <v>1</v>
      </c>
      <c r="AQ30" s="384">
        <v>1</v>
      </c>
      <c r="AR30" s="382" t="s">
        <v>182</v>
      </c>
      <c r="AS30" s="386">
        <f t="shared" si="27"/>
        <v>1</v>
      </c>
      <c r="AT30">
        <f t="shared" si="28"/>
        <v>1</v>
      </c>
      <c r="AU30" s="386">
        <f>IF(AT30=0,"",IF(AND(AT30=1,M30="F",SUMIF(C2:C167,C30,AS2:AS167)&lt;=1),SUMIF(C2:C167,C30,AS2:AS167),IF(AND(AT30=1,M30="F",SUMIF(C2:C167,C30,AS2:AS167)&gt;1),1,"")))</f>
        <v>1</v>
      </c>
      <c r="AV30" s="386" t="str">
        <f>IF(AT30=0,"",IF(AND(AT30=3,M30="F",SUMIF(C2:C167,C30,AS2:AS167)&lt;=1),SUMIF(C2:C167,C30,AS2:AS167),IF(AND(AT30=3,M30="F",SUMIF(C2:C167,C30,AS2:AS167)&gt;1),1,"")))</f>
        <v/>
      </c>
      <c r="AW30" s="386">
        <f>SUMIF(C2:C167,C30,O2:O167)</f>
        <v>2</v>
      </c>
      <c r="AX30" s="386">
        <f>IF(AND(M30="F",AS30&lt;&gt;0),SUMIF(C2:C167,C30,W2:W167),0)</f>
        <v>68640</v>
      </c>
      <c r="AY30" s="386">
        <f t="shared" si="29"/>
        <v>68640</v>
      </c>
      <c r="AZ30" s="386" t="str">
        <f t="shared" si="30"/>
        <v/>
      </c>
      <c r="BA30" s="386">
        <f t="shared" si="31"/>
        <v>0</v>
      </c>
      <c r="BB30" s="386">
        <f t="shared" si="0"/>
        <v>11650</v>
      </c>
      <c r="BC30" s="386">
        <f t="shared" si="1"/>
        <v>0</v>
      </c>
      <c r="BD30" s="386">
        <f t="shared" si="2"/>
        <v>4255.68</v>
      </c>
      <c r="BE30" s="386">
        <f t="shared" si="3"/>
        <v>995.28000000000009</v>
      </c>
      <c r="BF30" s="386">
        <f t="shared" si="4"/>
        <v>8195.616</v>
      </c>
      <c r="BG30" s="386">
        <f t="shared" si="5"/>
        <v>494.89440000000002</v>
      </c>
      <c r="BH30" s="386">
        <f t="shared" si="6"/>
        <v>336.33600000000001</v>
      </c>
      <c r="BI30" s="386">
        <f t="shared" si="7"/>
        <v>0</v>
      </c>
      <c r="BJ30" s="386">
        <f t="shared" si="8"/>
        <v>144.14399999999998</v>
      </c>
      <c r="BK30" s="386">
        <f t="shared" si="9"/>
        <v>0</v>
      </c>
      <c r="BL30" s="386">
        <f t="shared" si="32"/>
        <v>14421.9504</v>
      </c>
      <c r="BM30" s="386">
        <f t="shared" si="33"/>
        <v>0</v>
      </c>
      <c r="BN30" s="386">
        <f t="shared" si="10"/>
        <v>11650</v>
      </c>
      <c r="BO30" s="386">
        <f t="shared" si="11"/>
        <v>0</v>
      </c>
      <c r="BP30" s="386">
        <f t="shared" si="12"/>
        <v>4255.68</v>
      </c>
      <c r="BQ30" s="386">
        <f t="shared" si="13"/>
        <v>995.28000000000009</v>
      </c>
      <c r="BR30" s="386">
        <f t="shared" si="14"/>
        <v>8195.616</v>
      </c>
      <c r="BS30" s="386">
        <f t="shared" si="15"/>
        <v>494.89440000000002</v>
      </c>
      <c r="BT30" s="386">
        <f t="shared" si="16"/>
        <v>0</v>
      </c>
      <c r="BU30" s="386">
        <f t="shared" si="17"/>
        <v>0</v>
      </c>
      <c r="BV30" s="386">
        <f t="shared" si="18"/>
        <v>123.55199999999999</v>
      </c>
      <c r="BW30" s="386">
        <f t="shared" si="19"/>
        <v>0</v>
      </c>
      <c r="BX30" s="386">
        <f t="shared" si="34"/>
        <v>14065.0224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-336.33600000000001</v>
      </c>
      <c r="CG30" s="386">
        <f t="shared" si="24"/>
        <v>0</v>
      </c>
      <c r="CH30" s="386">
        <f t="shared" si="25"/>
        <v>-20.591999999999995</v>
      </c>
      <c r="CI30" s="386">
        <f t="shared" si="26"/>
        <v>0</v>
      </c>
      <c r="CJ30" s="386">
        <f t="shared" si="39"/>
        <v>-356.928</v>
      </c>
      <c r="CK30" s="386" t="str">
        <f t="shared" si="40"/>
        <v/>
      </c>
      <c r="CL30" s="386" t="str">
        <f t="shared" si="41"/>
        <v/>
      </c>
      <c r="CM30" s="386" t="str">
        <f t="shared" si="42"/>
        <v/>
      </c>
      <c r="CN30" s="386" t="str">
        <f t="shared" si="43"/>
        <v>0001-00</v>
      </c>
    </row>
    <row r="31" spans="1:92" ht="15.75" thickBot="1" x14ac:dyDescent="0.3">
      <c r="A31" s="376" t="s">
        <v>161</v>
      </c>
      <c r="B31" s="376" t="s">
        <v>162</v>
      </c>
      <c r="C31" s="376" t="s">
        <v>327</v>
      </c>
      <c r="D31" s="376" t="s">
        <v>328</v>
      </c>
      <c r="E31" s="376" t="s">
        <v>165</v>
      </c>
      <c r="F31" s="377" t="s">
        <v>166</v>
      </c>
      <c r="G31" s="376" t="s">
        <v>282</v>
      </c>
      <c r="H31" s="378"/>
      <c r="I31" s="378"/>
      <c r="J31" s="376" t="s">
        <v>168</v>
      </c>
      <c r="K31" s="376" t="s">
        <v>329</v>
      </c>
      <c r="L31" s="376" t="s">
        <v>166</v>
      </c>
      <c r="M31" s="376" t="s">
        <v>171</v>
      </c>
      <c r="N31" s="376" t="s">
        <v>172</v>
      </c>
      <c r="O31" s="379">
        <v>1</v>
      </c>
      <c r="P31" s="384">
        <v>1</v>
      </c>
      <c r="Q31" s="384">
        <v>1</v>
      </c>
      <c r="R31" s="380">
        <v>80</v>
      </c>
      <c r="S31" s="384">
        <v>1</v>
      </c>
      <c r="T31" s="380">
        <v>86468.39</v>
      </c>
      <c r="U31" s="380">
        <v>0</v>
      </c>
      <c r="V31" s="380">
        <v>28943.51</v>
      </c>
      <c r="W31" s="380">
        <v>86964.800000000003</v>
      </c>
      <c r="X31" s="380">
        <v>29922.13</v>
      </c>
      <c r="Y31" s="380">
        <v>86964.800000000003</v>
      </c>
      <c r="Z31" s="380">
        <v>29469.919999999998</v>
      </c>
      <c r="AA31" s="376" t="s">
        <v>330</v>
      </c>
      <c r="AB31" s="376" t="s">
        <v>331</v>
      </c>
      <c r="AC31" s="376" t="s">
        <v>332</v>
      </c>
      <c r="AD31" s="376" t="s">
        <v>171</v>
      </c>
      <c r="AE31" s="376" t="s">
        <v>329</v>
      </c>
      <c r="AF31" s="376" t="s">
        <v>177</v>
      </c>
      <c r="AG31" s="376" t="s">
        <v>178</v>
      </c>
      <c r="AH31" s="381">
        <v>41.81</v>
      </c>
      <c r="AI31" s="379">
        <v>29800</v>
      </c>
      <c r="AJ31" s="376" t="s">
        <v>179</v>
      </c>
      <c r="AK31" s="376" t="s">
        <v>180</v>
      </c>
      <c r="AL31" s="376" t="s">
        <v>170</v>
      </c>
      <c r="AM31" s="376" t="s">
        <v>181</v>
      </c>
      <c r="AN31" s="376" t="s">
        <v>68</v>
      </c>
      <c r="AO31" s="379">
        <v>80</v>
      </c>
      <c r="AP31" s="384">
        <v>1</v>
      </c>
      <c r="AQ31" s="384">
        <v>1</v>
      </c>
      <c r="AR31" s="382" t="s">
        <v>182</v>
      </c>
      <c r="AS31" s="386">
        <f t="shared" si="27"/>
        <v>1</v>
      </c>
      <c r="AT31">
        <f t="shared" si="28"/>
        <v>1</v>
      </c>
      <c r="AU31" s="386">
        <f>IF(AT31=0,"",IF(AND(AT31=1,M31="F",SUMIF(C2:C167,C31,AS2:AS167)&lt;=1),SUMIF(C2:C167,C31,AS2:AS167),IF(AND(AT31=1,M31="F",SUMIF(C2:C167,C31,AS2:AS167)&gt;1),1,"")))</f>
        <v>1</v>
      </c>
      <c r="AV31" s="386" t="str">
        <f>IF(AT31=0,"",IF(AND(AT31=3,M31="F",SUMIF(C2:C167,C31,AS2:AS167)&lt;=1),SUMIF(C2:C167,C31,AS2:AS167),IF(AND(AT31=3,M31="F",SUMIF(C2:C167,C31,AS2:AS167)&gt;1),1,"")))</f>
        <v/>
      </c>
      <c r="AW31" s="386">
        <f>SUMIF(C2:C167,C31,O2:O167)</f>
        <v>1</v>
      </c>
      <c r="AX31" s="386">
        <f>IF(AND(M31="F",AS31&lt;&gt;0),SUMIF(C2:C167,C31,W2:W167),0)</f>
        <v>86964.800000000003</v>
      </c>
      <c r="AY31" s="386">
        <f t="shared" si="29"/>
        <v>86964.800000000003</v>
      </c>
      <c r="AZ31" s="386" t="str">
        <f t="shared" si="30"/>
        <v/>
      </c>
      <c r="BA31" s="386">
        <f t="shared" si="31"/>
        <v>0</v>
      </c>
      <c r="BB31" s="386">
        <f t="shared" si="0"/>
        <v>11650</v>
      </c>
      <c r="BC31" s="386">
        <f t="shared" si="1"/>
        <v>0</v>
      </c>
      <c r="BD31" s="386">
        <f t="shared" si="2"/>
        <v>5391.8176000000003</v>
      </c>
      <c r="BE31" s="386">
        <f t="shared" si="3"/>
        <v>1260.9896000000001</v>
      </c>
      <c r="BF31" s="386">
        <f t="shared" si="4"/>
        <v>10383.59712</v>
      </c>
      <c r="BG31" s="386">
        <f t="shared" si="5"/>
        <v>627.01620800000001</v>
      </c>
      <c r="BH31" s="386">
        <f t="shared" si="6"/>
        <v>426.12752</v>
      </c>
      <c r="BI31" s="386">
        <f t="shared" si="7"/>
        <v>0</v>
      </c>
      <c r="BJ31" s="386">
        <f t="shared" si="8"/>
        <v>182.62608</v>
      </c>
      <c r="BK31" s="386">
        <f t="shared" si="9"/>
        <v>0</v>
      </c>
      <c r="BL31" s="386">
        <f t="shared" si="32"/>
        <v>18272.174128000006</v>
      </c>
      <c r="BM31" s="386">
        <f t="shared" si="33"/>
        <v>0</v>
      </c>
      <c r="BN31" s="386">
        <f t="shared" si="10"/>
        <v>11650</v>
      </c>
      <c r="BO31" s="386">
        <f t="shared" si="11"/>
        <v>0</v>
      </c>
      <c r="BP31" s="386">
        <f t="shared" si="12"/>
        <v>5391.8176000000003</v>
      </c>
      <c r="BQ31" s="386">
        <f t="shared" si="13"/>
        <v>1260.9896000000001</v>
      </c>
      <c r="BR31" s="386">
        <f t="shared" si="14"/>
        <v>10383.59712</v>
      </c>
      <c r="BS31" s="386">
        <f t="shared" si="15"/>
        <v>627.01620800000001</v>
      </c>
      <c r="BT31" s="386">
        <f t="shared" si="16"/>
        <v>0</v>
      </c>
      <c r="BU31" s="386">
        <f t="shared" si="17"/>
        <v>0</v>
      </c>
      <c r="BV31" s="386">
        <f t="shared" si="18"/>
        <v>156.53664000000001</v>
      </c>
      <c r="BW31" s="386">
        <f t="shared" si="19"/>
        <v>0</v>
      </c>
      <c r="BX31" s="386">
        <f t="shared" si="34"/>
        <v>17819.957168000001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-426.12752</v>
      </c>
      <c r="CG31" s="386">
        <f t="shared" si="24"/>
        <v>0</v>
      </c>
      <c r="CH31" s="386">
        <f t="shared" si="25"/>
        <v>-26.089439999999993</v>
      </c>
      <c r="CI31" s="386">
        <f t="shared" si="26"/>
        <v>0</v>
      </c>
      <c r="CJ31" s="386">
        <f t="shared" si="39"/>
        <v>-452.21695999999997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0001-00</v>
      </c>
    </row>
    <row r="32" spans="1:92" ht="15.75" thickBot="1" x14ac:dyDescent="0.3">
      <c r="A32" s="376" t="s">
        <v>161</v>
      </c>
      <c r="B32" s="376" t="s">
        <v>162</v>
      </c>
      <c r="C32" s="376" t="s">
        <v>333</v>
      </c>
      <c r="D32" s="376" t="s">
        <v>291</v>
      </c>
      <c r="E32" s="376" t="s">
        <v>165</v>
      </c>
      <c r="F32" s="377" t="s">
        <v>166</v>
      </c>
      <c r="G32" s="376" t="s">
        <v>282</v>
      </c>
      <c r="H32" s="378"/>
      <c r="I32" s="378"/>
      <c r="J32" s="376" t="s">
        <v>168</v>
      </c>
      <c r="K32" s="376" t="s">
        <v>292</v>
      </c>
      <c r="L32" s="376" t="s">
        <v>289</v>
      </c>
      <c r="M32" s="376" t="s">
        <v>171</v>
      </c>
      <c r="N32" s="376" t="s">
        <v>172</v>
      </c>
      <c r="O32" s="379">
        <v>1</v>
      </c>
      <c r="P32" s="384">
        <v>1</v>
      </c>
      <c r="Q32" s="384">
        <v>1</v>
      </c>
      <c r="R32" s="380">
        <v>80</v>
      </c>
      <c r="S32" s="384">
        <v>1</v>
      </c>
      <c r="T32" s="380">
        <v>56386.29</v>
      </c>
      <c r="U32" s="380">
        <v>0</v>
      </c>
      <c r="V32" s="380">
        <v>22561.360000000001</v>
      </c>
      <c r="W32" s="380">
        <v>64480</v>
      </c>
      <c r="X32" s="380">
        <v>25197.88</v>
      </c>
      <c r="Y32" s="380">
        <v>64480</v>
      </c>
      <c r="Z32" s="380">
        <v>24862.59</v>
      </c>
      <c r="AA32" s="376" t="s">
        <v>334</v>
      </c>
      <c r="AB32" s="376" t="s">
        <v>335</v>
      </c>
      <c r="AC32" s="376" t="s">
        <v>336</v>
      </c>
      <c r="AD32" s="376" t="s">
        <v>176</v>
      </c>
      <c r="AE32" s="376" t="s">
        <v>292</v>
      </c>
      <c r="AF32" s="376" t="s">
        <v>177</v>
      </c>
      <c r="AG32" s="376" t="s">
        <v>178</v>
      </c>
      <c r="AH32" s="379">
        <v>31</v>
      </c>
      <c r="AI32" s="381">
        <v>14754.5</v>
      </c>
      <c r="AJ32" s="376" t="s">
        <v>179</v>
      </c>
      <c r="AK32" s="376" t="s">
        <v>180</v>
      </c>
      <c r="AL32" s="376" t="s">
        <v>170</v>
      </c>
      <c r="AM32" s="376" t="s">
        <v>181</v>
      </c>
      <c r="AN32" s="376" t="s">
        <v>68</v>
      </c>
      <c r="AO32" s="379">
        <v>80</v>
      </c>
      <c r="AP32" s="384">
        <v>1</v>
      </c>
      <c r="AQ32" s="384">
        <v>1</v>
      </c>
      <c r="AR32" s="382" t="s">
        <v>182</v>
      </c>
      <c r="AS32" s="386">
        <f t="shared" si="27"/>
        <v>1</v>
      </c>
      <c r="AT32">
        <f t="shared" si="28"/>
        <v>1</v>
      </c>
      <c r="AU32" s="386">
        <f>IF(AT32=0,"",IF(AND(AT32=1,M32="F",SUMIF(C2:C167,C32,AS2:AS167)&lt;=1),SUMIF(C2:C167,C32,AS2:AS167),IF(AND(AT32=1,M32="F",SUMIF(C2:C167,C32,AS2:AS167)&gt;1),1,"")))</f>
        <v>1</v>
      </c>
      <c r="AV32" s="386" t="str">
        <f>IF(AT32=0,"",IF(AND(AT32=3,M32="F",SUMIF(C2:C167,C32,AS2:AS167)&lt;=1),SUMIF(C2:C167,C32,AS2:AS167),IF(AND(AT32=3,M32="F",SUMIF(C2:C167,C32,AS2:AS167)&gt;1),1,"")))</f>
        <v/>
      </c>
      <c r="AW32" s="386">
        <f>SUMIF(C2:C167,C32,O2:O167)</f>
        <v>2</v>
      </c>
      <c r="AX32" s="386">
        <f>IF(AND(M32="F",AS32&lt;&gt;0),SUMIF(C2:C167,C32,W2:W167),0)</f>
        <v>64480</v>
      </c>
      <c r="AY32" s="386">
        <f t="shared" si="29"/>
        <v>64480</v>
      </c>
      <c r="AZ32" s="386" t="str">
        <f t="shared" si="30"/>
        <v/>
      </c>
      <c r="BA32" s="386">
        <f t="shared" si="31"/>
        <v>0</v>
      </c>
      <c r="BB32" s="386">
        <f t="shared" si="0"/>
        <v>11650</v>
      </c>
      <c r="BC32" s="386">
        <f t="shared" si="1"/>
        <v>0</v>
      </c>
      <c r="BD32" s="386">
        <f t="shared" si="2"/>
        <v>3997.7599999999998</v>
      </c>
      <c r="BE32" s="386">
        <f t="shared" si="3"/>
        <v>934.96</v>
      </c>
      <c r="BF32" s="386">
        <f t="shared" si="4"/>
        <v>7698.9120000000003</v>
      </c>
      <c r="BG32" s="386">
        <f t="shared" si="5"/>
        <v>464.9008</v>
      </c>
      <c r="BH32" s="386">
        <f t="shared" si="6"/>
        <v>315.952</v>
      </c>
      <c r="BI32" s="386">
        <f t="shared" si="7"/>
        <v>0</v>
      </c>
      <c r="BJ32" s="386">
        <f t="shared" si="8"/>
        <v>135.40799999999999</v>
      </c>
      <c r="BK32" s="386">
        <f t="shared" si="9"/>
        <v>0</v>
      </c>
      <c r="BL32" s="386">
        <f t="shared" si="32"/>
        <v>13547.892799999998</v>
      </c>
      <c r="BM32" s="386">
        <f t="shared" si="33"/>
        <v>0</v>
      </c>
      <c r="BN32" s="386">
        <f t="shared" si="10"/>
        <v>11650</v>
      </c>
      <c r="BO32" s="386">
        <f t="shared" si="11"/>
        <v>0</v>
      </c>
      <c r="BP32" s="386">
        <f t="shared" si="12"/>
        <v>3997.7599999999998</v>
      </c>
      <c r="BQ32" s="386">
        <f t="shared" si="13"/>
        <v>934.96</v>
      </c>
      <c r="BR32" s="386">
        <f t="shared" si="14"/>
        <v>7698.9120000000003</v>
      </c>
      <c r="BS32" s="386">
        <f t="shared" si="15"/>
        <v>464.9008</v>
      </c>
      <c r="BT32" s="386">
        <f t="shared" si="16"/>
        <v>0</v>
      </c>
      <c r="BU32" s="386">
        <f t="shared" si="17"/>
        <v>0</v>
      </c>
      <c r="BV32" s="386">
        <f t="shared" si="18"/>
        <v>116.06399999999999</v>
      </c>
      <c r="BW32" s="386">
        <f t="shared" si="19"/>
        <v>0</v>
      </c>
      <c r="BX32" s="386">
        <f t="shared" si="34"/>
        <v>13212.596799999999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-315.952</v>
      </c>
      <c r="CG32" s="386">
        <f t="shared" si="24"/>
        <v>0</v>
      </c>
      <c r="CH32" s="386">
        <f t="shared" si="25"/>
        <v>-19.343999999999994</v>
      </c>
      <c r="CI32" s="386">
        <f t="shared" si="26"/>
        <v>0</v>
      </c>
      <c r="CJ32" s="386">
        <f t="shared" si="39"/>
        <v>-335.29599999999999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0001-00</v>
      </c>
    </row>
    <row r="33" spans="1:92" ht="15.75" thickBot="1" x14ac:dyDescent="0.3">
      <c r="A33" s="376" t="s">
        <v>161</v>
      </c>
      <c r="B33" s="376" t="s">
        <v>162</v>
      </c>
      <c r="C33" s="376" t="s">
        <v>267</v>
      </c>
      <c r="D33" s="376" t="s">
        <v>268</v>
      </c>
      <c r="E33" s="376" t="s">
        <v>165</v>
      </c>
      <c r="F33" s="377" t="s">
        <v>166</v>
      </c>
      <c r="G33" s="376" t="s">
        <v>282</v>
      </c>
      <c r="H33" s="378"/>
      <c r="I33" s="378"/>
      <c r="J33" s="376" t="s">
        <v>168</v>
      </c>
      <c r="K33" s="376" t="s">
        <v>269</v>
      </c>
      <c r="L33" s="376" t="s">
        <v>166</v>
      </c>
      <c r="M33" s="376" t="s">
        <v>171</v>
      </c>
      <c r="N33" s="376" t="s">
        <v>270</v>
      </c>
      <c r="O33" s="379">
        <v>0</v>
      </c>
      <c r="P33" s="384">
        <v>0</v>
      </c>
      <c r="Q33" s="384">
        <v>0</v>
      </c>
      <c r="R33" s="380">
        <v>0</v>
      </c>
      <c r="S33" s="384">
        <v>0</v>
      </c>
      <c r="T33" s="380">
        <v>9337.36</v>
      </c>
      <c r="U33" s="380">
        <v>0</v>
      </c>
      <c r="V33" s="380">
        <v>5492.85</v>
      </c>
      <c r="W33" s="380">
        <v>0</v>
      </c>
      <c r="X33" s="380">
        <v>0</v>
      </c>
      <c r="Y33" s="380">
        <v>0</v>
      </c>
      <c r="Z33" s="380">
        <v>0</v>
      </c>
      <c r="AA33" s="378"/>
      <c r="AB33" s="376" t="s">
        <v>45</v>
      </c>
      <c r="AC33" s="376" t="s">
        <v>45</v>
      </c>
      <c r="AD33" s="378"/>
      <c r="AE33" s="378"/>
      <c r="AF33" s="378"/>
      <c r="AG33" s="378"/>
      <c r="AH33" s="379">
        <v>0</v>
      </c>
      <c r="AI33" s="379">
        <v>0</v>
      </c>
      <c r="AJ33" s="378"/>
      <c r="AK33" s="378"/>
      <c r="AL33" s="376" t="s">
        <v>170</v>
      </c>
      <c r="AM33" s="378"/>
      <c r="AN33" s="378"/>
      <c r="AO33" s="379">
        <v>0</v>
      </c>
      <c r="AP33" s="384">
        <v>0</v>
      </c>
      <c r="AQ33" s="384">
        <v>0</v>
      </c>
      <c r="AR33" s="383"/>
      <c r="AS33" s="386">
        <f t="shared" si="27"/>
        <v>0</v>
      </c>
      <c r="AT33">
        <f t="shared" si="28"/>
        <v>0</v>
      </c>
      <c r="AU33" s="386" t="str">
        <f>IF(AT33=0,"",IF(AND(AT33=1,M33="F",SUMIF(C2:C167,C33,AS2:AS167)&lt;=1),SUMIF(C2:C167,C33,AS2:AS167),IF(AND(AT33=1,M33="F",SUMIF(C2:C167,C33,AS2:AS167)&gt;1),1,"")))</f>
        <v/>
      </c>
      <c r="AV33" s="386" t="str">
        <f>IF(AT33=0,"",IF(AND(AT33=3,M33="F",SUMIF(C2:C167,C33,AS2:AS167)&lt;=1),SUMIF(C2:C167,C33,AS2:AS167),IF(AND(AT33=3,M33="F",SUMIF(C2:C167,C33,AS2:AS167)&gt;1),1,"")))</f>
        <v/>
      </c>
      <c r="AW33" s="386">
        <f>SUMIF(C2:C167,C33,O2:O167)</f>
        <v>0</v>
      </c>
      <c r="AX33" s="386">
        <f>IF(AND(M33="F",AS33&lt;&gt;0),SUMIF(C2:C167,C33,W2:W167),0)</f>
        <v>0</v>
      </c>
      <c r="AY33" s="386" t="str">
        <f t="shared" si="29"/>
        <v/>
      </c>
      <c r="AZ33" s="386" t="str">
        <f t="shared" si="30"/>
        <v/>
      </c>
      <c r="BA33" s="386">
        <f t="shared" si="31"/>
        <v>0</v>
      </c>
      <c r="BB33" s="386">
        <f t="shared" si="0"/>
        <v>0</v>
      </c>
      <c r="BC33" s="386">
        <f t="shared" si="1"/>
        <v>0</v>
      </c>
      <c r="BD33" s="386">
        <f t="shared" si="2"/>
        <v>0</v>
      </c>
      <c r="BE33" s="386">
        <f t="shared" si="3"/>
        <v>0</v>
      </c>
      <c r="BF33" s="386">
        <f t="shared" si="4"/>
        <v>0</v>
      </c>
      <c r="BG33" s="386">
        <f t="shared" si="5"/>
        <v>0</v>
      </c>
      <c r="BH33" s="386">
        <f t="shared" si="6"/>
        <v>0</v>
      </c>
      <c r="BI33" s="386">
        <f t="shared" si="7"/>
        <v>0</v>
      </c>
      <c r="BJ33" s="386">
        <f t="shared" si="8"/>
        <v>0</v>
      </c>
      <c r="BK33" s="386">
        <f t="shared" si="9"/>
        <v>0</v>
      </c>
      <c r="BL33" s="386">
        <f t="shared" si="32"/>
        <v>0</v>
      </c>
      <c r="BM33" s="386">
        <f t="shared" si="33"/>
        <v>0</v>
      </c>
      <c r="BN33" s="386">
        <f t="shared" si="10"/>
        <v>0</v>
      </c>
      <c r="BO33" s="386">
        <f t="shared" si="11"/>
        <v>0</v>
      </c>
      <c r="BP33" s="386">
        <f t="shared" si="12"/>
        <v>0</v>
      </c>
      <c r="BQ33" s="386">
        <f t="shared" si="13"/>
        <v>0</v>
      </c>
      <c r="BR33" s="386">
        <f t="shared" si="14"/>
        <v>0</v>
      </c>
      <c r="BS33" s="386">
        <f t="shared" si="15"/>
        <v>0</v>
      </c>
      <c r="BT33" s="386">
        <f t="shared" si="16"/>
        <v>0</v>
      </c>
      <c r="BU33" s="386">
        <f t="shared" si="17"/>
        <v>0</v>
      </c>
      <c r="BV33" s="386">
        <f t="shared" si="18"/>
        <v>0</v>
      </c>
      <c r="BW33" s="386">
        <f t="shared" si="19"/>
        <v>0</v>
      </c>
      <c r="BX33" s="386">
        <f t="shared" si="34"/>
        <v>0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0</v>
      </c>
      <c r="CG33" s="386">
        <f t="shared" si="24"/>
        <v>0</v>
      </c>
      <c r="CH33" s="386">
        <f t="shared" si="25"/>
        <v>0</v>
      </c>
      <c r="CI33" s="386">
        <f t="shared" si="26"/>
        <v>0</v>
      </c>
      <c r="CJ33" s="386">
        <f t="shared" si="39"/>
        <v>0</v>
      </c>
      <c r="CK33" s="386" t="str">
        <f t="shared" si="40"/>
        <v/>
      </c>
      <c r="CL33" s="386">
        <f t="shared" si="41"/>
        <v>9337.36</v>
      </c>
      <c r="CM33" s="386">
        <f t="shared" si="42"/>
        <v>5492.85</v>
      </c>
      <c r="CN33" s="386" t="str">
        <f t="shared" si="43"/>
        <v>0001-00</v>
      </c>
    </row>
    <row r="34" spans="1:92" ht="15.75" thickBot="1" x14ac:dyDescent="0.3">
      <c r="A34" s="376" t="s">
        <v>161</v>
      </c>
      <c r="B34" s="376" t="s">
        <v>162</v>
      </c>
      <c r="C34" s="376" t="s">
        <v>337</v>
      </c>
      <c r="D34" s="376" t="s">
        <v>291</v>
      </c>
      <c r="E34" s="376" t="s">
        <v>165</v>
      </c>
      <c r="F34" s="377" t="s">
        <v>166</v>
      </c>
      <c r="G34" s="376" t="s">
        <v>282</v>
      </c>
      <c r="H34" s="378"/>
      <c r="I34" s="378"/>
      <c r="J34" s="376" t="s">
        <v>168</v>
      </c>
      <c r="K34" s="376" t="s">
        <v>292</v>
      </c>
      <c r="L34" s="376" t="s">
        <v>289</v>
      </c>
      <c r="M34" s="376" t="s">
        <v>171</v>
      </c>
      <c r="N34" s="376" t="s">
        <v>172</v>
      </c>
      <c r="O34" s="379">
        <v>1</v>
      </c>
      <c r="P34" s="384">
        <v>1</v>
      </c>
      <c r="Q34" s="384">
        <v>1</v>
      </c>
      <c r="R34" s="380">
        <v>80</v>
      </c>
      <c r="S34" s="384">
        <v>1</v>
      </c>
      <c r="T34" s="380">
        <v>61981.63</v>
      </c>
      <c r="U34" s="380">
        <v>0</v>
      </c>
      <c r="V34" s="380">
        <v>23737.200000000001</v>
      </c>
      <c r="W34" s="380">
        <v>70720</v>
      </c>
      <c r="X34" s="380">
        <v>26508.959999999999</v>
      </c>
      <c r="Y34" s="380">
        <v>70720</v>
      </c>
      <c r="Z34" s="380">
        <v>26141.22</v>
      </c>
      <c r="AA34" s="376" t="s">
        <v>338</v>
      </c>
      <c r="AB34" s="376" t="s">
        <v>339</v>
      </c>
      <c r="AC34" s="376" t="s">
        <v>197</v>
      </c>
      <c r="AD34" s="376" t="s">
        <v>289</v>
      </c>
      <c r="AE34" s="376" t="s">
        <v>292</v>
      </c>
      <c r="AF34" s="376" t="s">
        <v>177</v>
      </c>
      <c r="AG34" s="376" t="s">
        <v>178</v>
      </c>
      <c r="AH34" s="379">
        <v>34</v>
      </c>
      <c r="AI34" s="381">
        <v>23704.1</v>
      </c>
      <c r="AJ34" s="376" t="s">
        <v>179</v>
      </c>
      <c r="AK34" s="376" t="s">
        <v>180</v>
      </c>
      <c r="AL34" s="376" t="s">
        <v>170</v>
      </c>
      <c r="AM34" s="376" t="s">
        <v>181</v>
      </c>
      <c r="AN34" s="376" t="s">
        <v>68</v>
      </c>
      <c r="AO34" s="379">
        <v>80</v>
      </c>
      <c r="AP34" s="384">
        <v>1</v>
      </c>
      <c r="AQ34" s="384">
        <v>1</v>
      </c>
      <c r="AR34" s="382" t="s">
        <v>182</v>
      </c>
      <c r="AS34" s="386">
        <f t="shared" si="27"/>
        <v>1</v>
      </c>
      <c r="AT34">
        <f t="shared" si="28"/>
        <v>1</v>
      </c>
      <c r="AU34" s="386">
        <f>IF(AT34=0,"",IF(AND(AT34=1,M34="F",SUMIF(C2:C167,C34,AS2:AS167)&lt;=1),SUMIF(C2:C167,C34,AS2:AS167),IF(AND(AT34=1,M34="F",SUMIF(C2:C167,C34,AS2:AS167)&gt;1),1,"")))</f>
        <v>1</v>
      </c>
      <c r="AV34" s="386" t="str">
        <f>IF(AT34=0,"",IF(AND(AT34=3,M34="F",SUMIF(C2:C167,C34,AS2:AS167)&lt;=1),SUMIF(C2:C167,C34,AS2:AS167),IF(AND(AT34=3,M34="F",SUMIF(C2:C167,C34,AS2:AS167)&gt;1),1,"")))</f>
        <v/>
      </c>
      <c r="AW34" s="386">
        <f>SUMIF(C2:C167,C34,O2:O167)</f>
        <v>2</v>
      </c>
      <c r="AX34" s="386">
        <f>IF(AND(M34="F",AS34&lt;&gt;0),SUMIF(C2:C167,C34,W2:W167),0)</f>
        <v>70720</v>
      </c>
      <c r="AY34" s="386">
        <f t="shared" si="29"/>
        <v>70720</v>
      </c>
      <c r="AZ34" s="386" t="str">
        <f t="shared" si="30"/>
        <v/>
      </c>
      <c r="BA34" s="386">
        <f t="shared" si="31"/>
        <v>0</v>
      </c>
      <c r="BB34" s="386">
        <f t="shared" ref="BB34:BB65" si="44">IF(AND(AT34=1,AK34="E",AU34&gt;=0.75,AW34=1),Health,IF(AND(AT34=1,AK34="E",AU34&gt;=0.75),Health*P34,IF(AND(AT34=1,AK34="E",AU34&gt;=0.5,AW34=1),PTHealth,IF(AND(AT34=1,AK34="E",AU34&gt;=0.5),PTHealth*P34,0))))</f>
        <v>11650</v>
      </c>
      <c r="BC34" s="386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6">
        <f t="shared" ref="BD34:BD65" si="46">IF(AND(AT34&lt;&gt;0,AX34&gt;=MAXSSDI),SSDI*MAXSSDI*P34,IF(AT34&lt;&gt;0,SSDI*W34,0))</f>
        <v>4384.6400000000003</v>
      </c>
      <c r="BE34" s="386">
        <f t="shared" ref="BE34:BE65" si="47">IF(AT34&lt;&gt;0,SSHI*W34,0)</f>
        <v>1025.44</v>
      </c>
      <c r="BF34" s="386">
        <f t="shared" ref="BF34:BF65" si="48">IF(AND(AT34&lt;&gt;0,AN34&lt;&gt;"NE"),VLOOKUP(AN34,Retirement_Rates,3,FALSE)*W34,0)</f>
        <v>8443.9680000000008</v>
      </c>
      <c r="BG34" s="386">
        <f t="shared" ref="BG34:BG65" si="49">IF(AND(AT34&lt;&gt;0,AJ34&lt;&gt;"PF"),Life*W34,0)</f>
        <v>509.89120000000003</v>
      </c>
      <c r="BH34" s="386">
        <f t="shared" ref="BH34:BH65" si="50">IF(AND(AT34&lt;&gt;0,AM34="Y"),UI*W34,0)</f>
        <v>346.52799999999996</v>
      </c>
      <c r="BI34" s="386">
        <f t="shared" ref="BI34:BI65" si="51">IF(AND(AT34&lt;&gt;0,N34&lt;&gt;"NR"),DHR*W34,0)</f>
        <v>0</v>
      </c>
      <c r="BJ34" s="386">
        <f t="shared" ref="BJ34:BJ65" si="52">IF(AT34&lt;&gt;0,WC*W34,0)</f>
        <v>148.512</v>
      </c>
      <c r="BK34" s="386">
        <f t="shared" ref="BK34:BK65" si="53">IF(OR(AND(AT34&lt;&gt;0,AJ34&lt;&gt;"PF",AN34&lt;&gt;"NE",AG34&lt;&gt;"A"),AND(AL34="E",OR(AT34=1,AT34=3))),Sick*W34,0)</f>
        <v>0</v>
      </c>
      <c r="BL34" s="386">
        <f t="shared" si="32"/>
        <v>14858.979200000002</v>
      </c>
      <c r="BM34" s="386">
        <f t="shared" si="33"/>
        <v>0</v>
      </c>
      <c r="BN34" s="386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11650</v>
      </c>
      <c r="BO34" s="386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6">
        <f t="shared" ref="BP34:BP65" si="56">IF(AND(AT34&lt;&gt;0,(AX34+BA34)&gt;=MAXSSDIBY),SSDIBY*MAXSSDIBY*P34,IF(AT34&lt;&gt;0,SSDIBY*W34,0))</f>
        <v>4384.6400000000003</v>
      </c>
      <c r="BQ34" s="386">
        <f t="shared" ref="BQ34:BQ65" si="57">IF(AT34&lt;&gt;0,SSHIBY*W34,0)</f>
        <v>1025.44</v>
      </c>
      <c r="BR34" s="386">
        <f t="shared" ref="BR34:BR65" si="58">IF(AND(AT34&lt;&gt;0,AN34&lt;&gt;"NE"),VLOOKUP(AN34,Retirement_Rates,4,FALSE)*W34,0)</f>
        <v>8443.9680000000008</v>
      </c>
      <c r="BS34" s="386">
        <f t="shared" ref="BS34:BS65" si="59">IF(AND(AT34&lt;&gt;0,AJ34&lt;&gt;"PF"),LifeBY*W34,0)</f>
        <v>509.89120000000003</v>
      </c>
      <c r="BT34" s="386">
        <f t="shared" ref="BT34:BT65" si="60">IF(AND(AT34&lt;&gt;0,AM34="Y"),UIBY*W34,0)</f>
        <v>0</v>
      </c>
      <c r="BU34" s="386">
        <f t="shared" ref="BU34:BU65" si="61">IF(AND(AT34&lt;&gt;0,N34&lt;&gt;"NR"),DHRBY*W34,0)</f>
        <v>0</v>
      </c>
      <c r="BV34" s="386">
        <f t="shared" ref="BV34:BV65" si="62">IF(AT34&lt;&gt;0,WCBY*W34,0)</f>
        <v>127.29599999999999</v>
      </c>
      <c r="BW34" s="386">
        <f t="shared" ref="BW34:BW65" si="63">IF(OR(AND(AT34&lt;&gt;0,AJ34&lt;&gt;"PF",AN34&lt;&gt;"NE",AG34&lt;&gt;"A"),AND(AL34="E",OR(AT34=1,AT34=3))),SickBY*W34,0)</f>
        <v>0</v>
      </c>
      <c r="BX34" s="386">
        <f t="shared" si="34"/>
        <v>14491.235200000001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ref="CC34:CC65" si="64">IF(AT34&lt;&gt;0,SSHICHG*Y34,0)</f>
        <v>0</v>
      </c>
      <c r="CD34" s="386">
        <f t="shared" ref="CD34:CD65" si="65">IF(AND(AT34&lt;&gt;0,AN34&lt;&gt;"NE"),VLOOKUP(AN34,Retirement_Rates,5,FALSE)*Y34,0)</f>
        <v>0</v>
      </c>
      <c r="CE34" s="386">
        <f t="shared" ref="CE34:CE65" si="66">IF(AND(AT34&lt;&gt;0,AJ34&lt;&gt;"PF"),LifeCHG*Y34,0)</f>
        <v>0</v>
      </c>
      <c r="CF34" s="386">
        <f t="shared" ref="CF34:CF65" si="67">IF(AND(AT34&lt;&gt;0,AM34="Y"),UICHG*Y34,0)</f>
        <v>-346.52799999999996</v>
      </c>
      <c r="CG34" s="386">
        <f t="shared" ref="CG34:CG65" si="68">IF(AND(AT34&lt;&gt;0,N34&lt;&gt;"NR"),DHRCHG*Y34,0)</f>
        <v>0</v>
      </c>
      <c r="CH34" s="386">
        <f t="shared" ref="CH34:CH65" si="69">IF(AT34&lt;&gt;0,WCCHG*Y34,0)</f>
        <v>-21.215999999999994</v>
      </c>
      <c r="CI34" s="386">
        <f t="shared" ref="CI34:CI65" si="70">IF(OR(AND(AT34&lt;&gt;0,AJ34&lt;&gt;"PF",AN34&lt;&gt;"NE",AG34&lt;&gt;"A"),AND(AL34="E",OR(AT34=1,AT34=3))),SickCHG*Y34,0)</f>
        <v>0</v>
      </c>
      <c r="CJ34" s="386">
        <f t="shared" si="39"/>
        <v>-367.74399999999997</v>
      </c>
      <c r="CK34" s="386" t="str">
        <f t="shared" si="40"/>
        <v/>
      </c>
      <c r="CL34" s="386" t="str">
        <f t="shared" si="41"/>
        <v/>
      </c>
      <c r="CM34" s="386" t="str">
        <f t="shared" si="42"/>
        <v/>
      </c>
      <c r="CN34" s="386" t="str">
        <f t="shared" si="43"/>
        <v>0001-00</v>
      </c>
    </row>
    <row r="35" spans="1:92" ht="15.75" thickBot="1" x14ac:dyDescent="0.3">
      <c r="A35" s="376" t="s">
        <v>161</v>
      </c>
      <c r="B35" s="376" t="s">
        <v>162</v>
      </c>
      <c r="C35" s="376" t="s">
        <v>340</v>
      </c>
      <c r="D35" s="376" t="s">
        <v>291</v>
      </c>
      <c r="E35" s="376" t="s">
        <v>165</v>
      </c>
      <c r="F35" s="377" t="s">
        <v>166</v>
      </c>
      <c r="G35" s="376" t="s">
        <v>282</v>
      </c>
      <c r="H35" s="378"/>
      <c r="I35" s="378"/>
      <c r="J35" s="376" t="s">
        <v>168</v>
      </c>
      <c r="K35" s="376" t="s">
        <v>292</v>
      </c>
      <c r="L35" s="376" t="s">
        <v>289</v>
      </c>
      <c r="M35" s="376" t="s">
        <v>171</v>
      </c>
      <c r="N35" s="376" t="s">
        <v>172</v>
      </c>
      <c r="O35" s="379">
        <v>1</v>
      </c>
      <c r="P35" s="384">
        <v>1</v>
      </c>
      <c r="Q35" s="384">
        <v>1</v>
      </c>
      <c r="R35" s="380">
        <v>80</v>
      </c>
      <c r="S35" s="384">
        <v>1</v>
      </c>
      <c r="T35" s="380">
        <v>61409.35</v>
      </c>
      <c r="U35" s="380">
        <v>0</v>
      </c>
      <c r="V35" s="380">
        <v>22738.799999999999</v>
      </c>
      <c r="W35" s="380">
        <v>70720</v>
      </c>
      <c r="X35" s="380">
        <v>26508.959999999999</v>
      </c>
      <c r="Y35" s="380">
        <v>70720</v>
      </c>
      <c r="Z35" s="380">
        <v>26141.22</v>
      </c>
      <c r="AA35" s="376" t="s">
        <v>341</v>
      </c>
      <c r="AB35" s="376" t="s">
        <v>342</v>
      </c>
      <c r="AC35" s="376" t="s">
        <v>343</v>
      </c>
      <c r="AD35" s="376" t="s">
        <v>298</v>
      </c>
      <c r="AE35" s="376" t="s">
        <v>292</v>
      </c>
      <c r="AF35" s="376" t="s">
        <v>177</v>
      </c>
      <c r="AG35" s="376" t="s">
        <v>178</v>
      </c>
      <c r="AH35" s="379">
        <v>34</v>
      </c>
      <c r="AI35" s="379">
        <v>15490</v>
      </c>
      <c r="AJ35" s="376" t="s">
        <v>179</v>
      </c>
      <c r="AK35" s="376" t="s">
        <v>180</v>
      </c>
      <c r="AL35" s="376" t="s">
        <v>170</v>
      </c>
      <c r="AM35" s="376" t="s">
        <v>181</v>
      </c>
      <c r="AN35" s="376" t="s">
        <v>68</v>
      </c>
      <c r="AO35" s="379">
        <v>80</v>
      </c>
      <c r="AP35" s="384">
        <v>1</v>
      </c>
      <c r="AQ35" s="384">
        <v>1</v>
      </c>
      <c r="AR35" s="382" t="s">
        <v>182</v>
      </c>
      <c r="AS35" s="386">
        <f t="shared" si="27"/>
        <v>1</v>
      </c>
      <c r="AT35">
        <f t="shared" si="28"/>
        <v>1</v>
      </c>
      <c r="AU35" s="386">
        <f>IF(AT35=0,"",IF(AND(AT35=1,M35="F",SUMIF(C2:C167,C35,AS2:AS167)&lt;=1),SUMIF(C2:C167,C35,AS2:AS167),IF(AND(AT35=1,M35="F",SUMIF(C2:C167,C35,AS2:AS167)&gt;1),1,"")))</f>
        <v>1</v>
      </c>
      <c r="AV35" s="386" t="str">
        <f>IF(AT35=0,"",IF(AND(AT35=3,M35="F",SUMIF(C2:C167,C35,AS2:AS167)&lt;=1),SUMIF(C2:C167,C35,AS2:AS167),IF(AND(AT35=3,M35="F",SUMIF(C2:C167,C35,AS2:AS167)&gt;1),1,"")))</f>
        <v/>
      </c>
      <c r="AW35" s="386">
        <f>SUMIF(C2:C167,C35,O2:O167)</f>
        <v>2</v>
      </c>
      <c r="AX35" s="386">
        <f>IF(AND(M35="F",AS35&lt;&gt;0),SUMIF(C2:C167,C35,W2:W167),0)</f>
        <v>70720</v>
      </c>
      <c r="AY35" s="386">
        <f t="shared" si="29"/>
        <v>70720</v>
      </c>
      <c r="AZ35" s="386" t="str">
        <f t="shared" si="30"/>
        <v/>
      </c>
      <c r="BA35" s="386">
        <f t="shared" si="31"/>
        <v>0</v>
      </c>
      <c r="BB35" s="386">
        <f t="shared" si="44"/>
        <v>11650</v>
      </c>
      <c r="BC35" s="386">
        <f t="shared" si="45"/>
        <v>0</v>
      </c>
      <c r="BD35" s="386">
        <f t="shared" si="46"/>
        <v>4384.6400000000003</v>
      </c>
      <c r="BE35" s="386">
        <f t="shared" si="47"/>
        <v>1025.44</v>
      </c>
      <c r="BF35" s="386">
        <f t="shared" si="48"/>
        <v>8443.9680000000008</v>
      </c>
      <c r="BG35" s="386">
        <f t="shared" si="49"/>
        <v>509.89120000000003</v>
      </c>
      <c r="BH35" s="386">
        <f t="shared" si="50"/>
        <v>346.52799999999996</v>
      </c>
      <c r="BI35" s="386">
        <f t="shared" si="51"/>
        <v>0</v>
      </c>
      <c r="BJ35" s="386">
        <f t="shared" si="52"/>
        <v>148.512</v>
      </c>
      <c r="BK35" s="386">
        <f t="shared" si="53"/>
        <v>0</v>
      </c>
      <c r="BL35" s="386">
        <f t="shared" si="32"/>
        <v>14858.979200000002</v>
      </c>
      <c r="BM35" s="386">
        <f t="shared" si="33"/>
        <v>0</v>
      </c>
      <c r="BN35" s="386">
        <f t="shared" si="54"/>
        <v>11650</v>
      </c>
      <c r="BO35" s="386">
        <f t="shared" si="55"/>
        <v>0</v>
      </c>
      <c r="BP35" s="386">
        <f t="shared" si="56"/>
        <v>4384.6400000000003</v>
      </c>
      <c r="BQ35" s="386">
        <f t="shared" si="57"/>
        <v>1025.44</v>
      </c>
      <c r="BR35" s="386">
        <f t="shared" si="58"/>
        <v>8443.9680000000008</v>
      </c>
      <c r="BS35" s="386">
        <f t="shared" si="59"/>
        <v>509.89120000000003</v>
      </c>
      <c r="BT35" s="386">
        <f t="shared" si="60"/>
        <v>0</v>
      </c>
      <c r="BU35" s="386">
        <f t="shared" si="61"/>
        <v>0</v>
      </c>
      <c r="BV35" s="386">
        <f t="shared" si="62"/>
        <v>127.29599999999999</v>
      </c>
      <c r="BW35" s="386">
        <f t="shared" si="63"/>
        <v>0</v>
      </c>
      <c r="BX35" s="386">
        <f t="shared" si="34"/>
        <v>14491.235200000001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64"/>
        <v>0</v>
      </c>
      <c r="CD35" s="386">
        <f t="shared" si="65"/>
        <v>0</v>
      </c>
      <c r="CE35" s="386">
        <f t="shared" si="66"/>
        <v>0</v>
      </c>
      <c r="CF35" s="386">
        <f t="shared" si="67"/>
        <v>-346.52799999999996</v>
      </c>
      <c r="CG35" s="386">
        <f t="shared" si="68"/>
        <v>0</v>
      </c>
      <c r="CH35" s="386">
        <f t="shared" si="69"/>
        <v>-21.215999999999994</v>
      </c>
      <c r="CI35" s="386">
        <f t="shared" si="70"/>
        <v>0</v>
      </c>
      <c r="CJ35" s="386">
        <f t="shared" si="39"/>
        <v>-367.74399999999997</v>
      </c>
      <c r="CK35" s="386" t="str">
        <f t="shared" si="40"/>
        <v/>
      </c>
      <c r="CL35" s="386" t="str">
        <f t="shared" si="41"/>
        <v/>
      </c>
      <c r="CM35" s="386" t="str">
        <f t="shared" si="42"/>
        <v/>
      </c>
      <c r="CN35" s="386" t="str">
        <f t="shared" si="43"/>
        <v>0001-00</v>
      </c>
    </row>
    <row r="36" spans="1:92" ht="15.75" thickBot="1" x14ac:dyDescent="0.3">
      <c r="A36" s="376" t="s">
        <v>161</v>
      </c>
      <c r="B36" s="376" t="s">
        <v>162</v>
      </c>
      <c r="C36" s="376" t="s">
        <v>183</v>
      </c>
      <c r="D36" s="376" t="s">
        <v>184</v>
      </c>
      <c r="E36" s="376" t="s">
        <v>165</v>
      </c>
      <c r="F36" s="377" t="s">
        <v>166</v>
      </c>
      <c r="G36" s="376" t="s">
        <v>282</v>
      </c>
      <c r="H36" s="378"/>
      <c r="I36" s="378"/>
      <c r="J36" s="376" t="s">
        <v>185</v>
      </c>
      <c r="K36" s="376" t="s">
        <v>186</v>
      </c>
      <c r="L36" s="376" t="s">
        <v>187</v>
      </c>
      <c r="M36" s="376" t="s">
        <v>171</v>
      </c>
      <c r="N36" s="376" t="s">
        <v>172</v>
      </c>
      <c r="O36" s="379">
        <v>1</v>
      </c>
      <c r="P36" s="384">
        <v>0.15</v>
      </c>
      <c r="Q36" s="384">
        <v>0.15</v>
      </c>
      <c r="R36" s="380">
        <v>80</v>
      </c>
      <c r="S36" s="384">
        <v>0.15</v>
      </c>
      <c r="T36" s="380">
        <v>10749.57</v>
      </c>
      <c r="U36" s="380">
        <v>0</v>
      </c>
      <c r="V36" s="380">
        <v>3930.75</v>
      </c>
      <c r="W36" s="380">
        <v>11203.92</v>
      </c>
      <c r="X36" s="380">
        <v>4101.55</v>
      </c>
      <c r="Y36" s="380">
        <v>11203.92</v>
      </c>
      <c r="Z36" s="380">
        <v>4043.29</v>
      </c>
      <c r="AA36" s="376" t="s">
        <v>188</v>
      </c>
      <c r="AB36" s="376" t="s">
        <v>189</v>
      </c>
      <c r="AC36" s="376" t="s">
        <v>190</v>
      </c>
      <c r="AD36" s="376" t="s">
        <v>191</v>
      </c>
      <c r="AE36" s="376" t="s">
        <v>186</v>
      </c>
      <c r="AF36" s="376" t="s">
        <v>177</v>
      </c>
      <c r="AG36" s="376" t="s">
        <v>178</v>
      </c>
      <c r="AH36" s="381">
        <v>35.909999999999997</v>
      </c>
      <c r="AI36" s="381">
        <v>17168.2</v>
      </c>
      <c r="AJ36" s="376" t="s">
        <v>179</v>
      </c>
      <c r="AK36" s="376" t="s">
        <v>180</v>
      </c>
      <c r="AL36" s="376" t="s">
        <v>170</v>
      </c>
      <c r="AM36" s="376" t="s">
        <v>181</v>
      </c>
      <c r="AN36" s="376" t="s">
        <v>68</v>
      </c>
      <c r="AO36" s="379">
        <v>80</v>
      </c>
      <c r="AP36" s="384">
        <v>1</v>
      </c>
      <c r="AQ36" s="384">
        <v>0.15</v>
      </c>
      <c r="AR36" s="382" t="s">
        <v>182</v>
      </c>
      <c r="AS36" s="386">
        <f t="shared" si="27"/>
        <v>0.15</v>
      </c>
      <c r="AT36">
        <f t="shared" si="28"/>
        <v>1</v>
      </c>
      <c r="AU36" s="386">
        <f>IF(AT36=0,"",IF(AND(AT36=1,M36="F",SUMIF(C2:C167,C36,AS2:AS167)&lt;=1),SUMIF(C2:C167,C36,AS2:AS167),IF(AND(AT36=1,M36="F",SUMIF(C2:C167,C36,AS2:AS167)&gt;1),1,"")))</f>
        <v>1</v>
      </c>
      <c r="AV36" s="386" t="str">
        <f>IF(AT36=0,"",IF(AND(AT36=3,M36="F",SUMIF(C2:C167,C36,AS2:AS167)&lt;=1),SUMIF(C2:C167,C36,AS2:AS167),IF(AND(AT36=3,M36="F",SUMIF(C2:C167,C36,AS2:AS167)&gt;1),1,"")))</f>
        <v/>
      </c>
      <c r="AW36" s="386">
        <f>SUMIF(C2:C167,C36,O2:O167)</f>
        <v>4</v>
      </c>
      <c r="AX36" s="386">
        <f>IF(AND(M36="F",AS36&lt;&gt;0),SUMIF(C2:C167,C36,W2:W167),0)</f>
        <v>74692.800000000003</v>
      </c>
      <c r="AY36" s="386">
        <f t="shared" si="29"/>
        <v>11203.92</v>
      </c>
      <c r="AZ36" s="386" t="str">
        <f t="shared" si="30"/>
        <v/>
      </c>
      <c r="BA36" s="386">
        <f t="shared" si="31"/>
        <v>0</v>
      </c>
      <c r="BB36" s="386">
        <f t="shared" si="44"/>
        <v>1747.5</v>
      </c>
      <c r="BC36" s="386">
        <f t="shared" si="45"/>
        <v>0</v>
      </c>
      <c r="BD36" s="386">
        <f t="shared" si="46"/>
        <v>694.64304000000004</v>
      </c>
      <c r="BE36" s="386">
        <f t="shared" si="47"/>
        <v>162.45684</v>
      </c>
      <c r="BF36" s="386">
        <f t="shared" si="48"/>
        <v>1337.7480480000002</v>
      </c>
      <c r="BG36" s="386">
        <f t="shared" si="49"/>
        <v>80.780263200000007</v>
      </c>
      <c r="BH36" s="386">
        <f t="shared" si="50"/>
        <v>54.899208000000002</v>
      </c>
      <c r="BI36" s="386">
        <f t="shared" si="51"/>
        <v>0</v>
      </c>
      <c r="BJ36" s="386">
        <f t="shared" si="52"/>
        <v>23.528231999999999</v>
      </c>
      <c r="BK36" s="386">
        <f t="shared" si="53"/>
        <v>0</v>
      </c>
      <c r="BL36" s="386">
        <f t="shared" si="32"/>
        <v>2354.0556311999999</v>
      </c>
      <c r="BM36" s="386">
        <f t="shared" si="33"/>
        <v>0</v>
      </c>
      <c r="BN36" s="386">
        <f t="shared" si="54"/>
        <v>1747.5</v>
      </c>
      <c r="BO36" s="386">
        <f t="shared" si="55"/>
        <v>0</v>
      </c>
      <c r="BP36" s="386">
        <f t="shared" si="56"/>
        <v>694.64304000000004</v>
      </c>
      <c r="BQ36" s="386">
        <f t="shared" si="57"/>
        <v>162.45684</v>
      </c>
      <c r="BR36" s="386">
        <f t="shared" si="58"/>
        <v>1337.7480480000002</v>
      </c>
      <c r="BS36" s="386">
        <f t="shared" si="59"/>
        <v>80.780263200000007</v>
      </c>
      <c r="BT36" s="386">
        <f t="shared" si="60"/>
        <v>0</v>
      </c>
      <c r="BU36" s="386">
        <f t="shared" si="61"/>
        <v>0</v>
      </c>
      <c r="BV36" s="386">
        <f t="shared" si="62"/>
        <v>20.167055999999999</v>
      </c>
      <c r="BW36" s="386">
        <f t="shared" si="63"/>
        <v>0</v>
      </c>
      <c r="BX36" s="386">
        <f t="shared" si="34"/>
        <v>2295.7952471999997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64"/>
        <v>0</v>
      </c>
      <c r="CD36" s="386">
        <f t="shared" si="65"/>
        <v>0</v>
      </c>
      <c r="CE36" s="386">
        <f t="shared" si="66"/>
        <v>0</v>
      </c>
      <c r="CF36" s="386">
        <f t="shared" si="67"/>
        <v>-54.899208000000002</v>
      </c>
      <c r="CG36" s="386">
        <f t="shared" si="68"/>
        <v>0</v>
      </c>
      <c r="CH36" s="386">
        <f t="shared" si="69"/>
        <v>-3.3611759999999991</v>
      </c>
      <c r="CI36" s="386">
        <f t="shared" si="70"/>
        <v>0</v>
      </c>
      <c r="CJ36" s="386">
        <f t="shared" si="39"/>
        <v>-58.260384000000002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0001-00</v>
      </c>
    </row>
    <row r="37" spans="1:92" ht="15.75" thickBot="1" x14ac:dyDescent="0.3">
      <c r="A37" s="376" t="s">
        <v>161</v>
      </c>
      <c r="B37" s="376" t="s">
        <v>162</v>
      </c>
      <c r="C37" s="376" t="s">
        <v>192</v>
      </c>
      <c r="D37" s="376" t="s">
        <v>193</v>
      </c>
      <c r="E37" s="376" t="s">
        <v>165</v>
      </c>
      <c r="F37" s="377" t="s">
        <v>166</v>
      </c>
      <c r="G37" s="376" t="s">
        <v>282</v>
      </c>
      <c r="H37" s="378"/>
      <c r="I37" s="378"/>
      <c r="J37" s="376" t="s">
        <v>185</v>
      </c>
      <c r="K37" s="376" t="s">
        <v>194</v>
      </c>
      <c r="L37" s="376" t="s">
        <v>166</v>
      </c>
      <c r="M37" s="376" t="s">
        <v>171</v>
      </c>
      <c r="N37" s="376" t="s">
        <v>172</v>
      </c>
      <c r="O37" s="379">
        <v>1</v>
      </c>
      <c r="P37" s="384">
        <v>0.05</v>
      </c>
      <c r="Q37" s="384">
        <v>0.05</v>
      </c>
      <c r="R37" s="380">
        <v>80</v>
      </c>
      <c r="S37" s="384">
        <v>0.05</v>
      </c>
      <c r="T37" s="380">
        <v>4459.45</v>
      </c>
      <c r="U37" s="380">
        <v>0</v>
      </c>
      <c r="V37" s="380">
        <v>1421.38</v>
      </c>
      <c r="W37" s="380">
        <v>4552.08</v>
      </c>
      <c r="X37" s="380">
        <v>1538.93</v>
      </c>
      <c r="Y37" s="380">
        <v>4552.08</v>
      </c>
      <c r="Z37" s="380">
        <v>1515.26</v>
      </c>
      <c r="AA37" s="376" t="s">
        <v>195</v>
      </c>
      <c r="AB37" s="376" t="s">
        <v>196</v>
      </c>
      <c r="AC37" s="376" t="s">
        <v>197</v>
      </c>
      <c r="AD37" s="376" t="s">
        <v>198</v>
      </c>
      <c r="AE37" s="376" t="s">
        <v>194</v>
      </c>
      <c r="AF37" s="376" t="s">
        <v>177</v>
      </c>
      <c r="AG37" s="376" t="s">
        <v>178</v>
      </c>
      <c r="AH37" s="381">
        <v>43.77</v>
      </c>
      <c r="AI37" s="381">
        <v>6572.5</v>
      </c>
      <c r="AJ37" s="376" t="s">
        <v>179</v>
      </c>
      <c r="AK37" s="376" t="s">
        <v>180</v>
      </c>
      <c r="AL37" s="376" t="s">
        <v>170</v>
      </c>
      <c r="AM37" s="376" t="s">
        <v>181</v>
      </c>
      <c r="AN37" s="376" t="s">
        <v>68</v>
      </c>
      <c r="AO37" s="379">
        <v>80</v>
      </c>
      <c r="AP37" s="384">
        <v>1</v>
      </c>
      <c r="AQ37" s="384">
        <v>0.05</v>
      </c>
      <c r="AR37" s="382" t="s">
        <v>182</v>
      </c>
      <c r="AS37" s="386">
        <f t="shared" si="27"/>
        <v>0.05</v>
      </c>
      <c r="AT37">
        <f t="shared" si="28"/>
        <v>1</v>
      </c>
      <c r="AU37" s="386">
        <f>IF(AT37=0,"",IF(AND(AT37=1,M37="F",SUMIF(C2:C167,C37,AS2:AS167)&lt;=1),SUMIF(C2:C167,C37,AS2:AS167),IF(AND(AT37=1,M37="F",SUMIF(C2:C167,C37,AS2:AS167)&gt;1),1,"")))</f>
        <v>1</v>
      </c>
      <c r="AV37" s="386" t="str">
        <f>IF(AT37=0,"",IF(AND(AT37=3,M37="F",SUMIF(C2:C167,C37,AS2:AS167)&lt;=1),SUMIF(C2:C167,C37,AS2:AS167),IF(AND(AT37=3,M37="F",SUMIF(C2:C167,C37,AS2:AS167)&gt;1),1,"")))</f>
        <v/>
      </c>
      <c r="AW37" s="386">
        <f>SUMIF(C2:C167,C37,O2:O167)</f>
        <v>5</v>
      </c>
      <c r="AX37" s="386">
        <f>IF(AND(M37="F",AS37&lt;&gt;0),SUMIF(C2:C167,C37,W2:W167),0)</f>
        <v>91041.600000000006</v>
      </c>
      <c r="AY37" s="386">
        <f t="shared" si="29"/>
        <v>4552.08</v>
      </c>
      <c r="AZ37" s="386" t="str">
        <f t="shared" si="30"/>
        <v/>
      </c>
      <c r="BA37" s="386">
        <f t="shared" si="31"/>
        <v>0</v>
      </c>
      <c r="BB37" s="386">
        <f t="shared" si="44"/>
        <v>582.5</v>
      </c>
      <c r="BC37" s="386">
        <f t="shared" si="45"/>
        <v>0</v>
      </c>
      <c r="BD37" s="386">
        <f t="shared" si="46"/>
        <v>282.22895999999997</v>
      </c>
      <c r="BE37" s="386">
        <f t="shared" si="47"/>
        <v>66.005160000000004</v>
      </c>
      <c r="BF37" s="386">
        <f t="shared" si="48"/>
        <v>543.51835200000005</v>
      </c>
      <c r="BG37" s="386">
        <f t="shared" si="49"/>
        <v>32.820496800000001</v>
      </c>
      <c r="BH37" s="386">
        <f t="shared" si="50"/>
        <v>22.305191999999998</v>
      </c>
      <c r="BI37" s="386">
        <f t="shared" si="51"/>
        <v>0</v>
      </c>
      <c r="BJ37" s="386">
        <f t="shared" si="52"/>
        <v>9.5593679999999992</v>
      </c>
      <c r="BK37" s="386">
        <f t="shared" si="53"/>
        <v>0</v>
      </c>
      <c r="BL37" s="386">
        <f t="shared" si="32"/>
        <v>956.4375288</v>
      </c>
      <c r="BM37" s="386">
        <f t="shared" si="33"/>
        <v>0</v>
      </c>
      <c r="BN37" s="386">
        <f t="shared" si="54"/>
        <v>582.5</v>
      </c>
      <c r="BO37" s="386">
        <f t="shared" si="55"/>
        <v>0</v>
      </c>
      <c r="BP37" s="386">
        <f t="shared" si="56"/>
        <v>282.22895999999997</v>
      </c>
      <c r="BQ37" s="386">
        <f t="shared" si="57"/>
        <v>66.005160000000004</v>
      </c>
      <c r="BR37" s="386">
        <f t="shared" si="58"/>
        <v>543.51835200000005</v>
      </c>
      <c r="BS37" s="386">
        <f t="shared" si="59"/>
        <v>32.820496800000001</v>
      </c>
      <c r="BT37" s="386">
        <f t="shared" si="60"/>
        <v>0</v>
      </c>
      <c r="BU37" s="386">
        <f t="shared" si="61"/>
        <v>0</v>
      </c>
      <c r="BV37" s="386">
        <f t="shared" si="62"/>
        <v>8.1937439999999988</v>
      </c>
      <c r="BW37" s="386">
        <f t="shared" si="63"/>
        <v>0</v>
      </c>
      <c r="BX37" s="386">
        <f t="shared" si="34"/>
        <v>932.76671280000005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64"/>
        <v>0</v>
      </c>
      <c r="CD37" s="386">
        <f t="shared" si="65"/>
        <v>0</v>
      </c>
      <c r="CE37" s="386">
        <f t="shared" si="66"/>
        <v>0</v>
      </c>
      <c r="CF37" s="386">
        <f t="shared" si="67"/>
        <v>-22.305191999999998</v>
      </c>
      <c r="CG37" s="386">
        <f t="shared" si="68"/>
        <v>0</v>
      </c>
      <c r="CH37" s="386">
        <f t="shared" si="69"/>
        <v>-1.3656239999999995</v>
      </c>
      <c r="CI37" s="386">
        <f t="shared" si="70"/>
        <v>0</v>
      </c>
      <c r="CJ37" s="386">
        <f t="shared" si="39"/>
        <v>-23.670815999999999</v>
      </c>
      <c r="CK37" s="386" t="str">
        <f t="shared" si="40"/>
        <v/>
      </c>
      <c r="CL37" s="386" t="str">
        <f t="shared" si="41"/>
        <v/>
      </c>
      <c r="CM37" s="386" t="str">
        <f t="shared" si="42"/>
        <v/>
      </c>
      <c r="CN37" s="386" t="str">
        <f t="shared" si="43"/>
        <v>0001-00</v>
      </c>
    </row>
    <row r="38" spans="1:92" ht="15.75" thickBot="1" x14ac:dyDescent="0.3">
      <c r="A38" s="376" t="s">
        <v>161</v>
      </c>
      <c r="B38" s="376" t="s">
        <v>162</v>
      </c>
      <c r="C38" s="376" t="s">
        <v>344</v>
      </c>
      <c r="D38" s="376" t="s">
        <v>318</v>
      </c>
      <c r="E38" s="376" t="s">
        <v>165</v>
      </c>
      <c r="F38" s="377" t="s">
        <v>166</v>
      </c>
      <c r="G38" s="376" t="s">
        <v>282</v>
      </c>
      <c r="H38" s="378"/>
      <c r="I38" s="378"/>
      <c r="J38" s="376" t="s">
        <v>168</v>
      </c>
      <c r="K38" s="376" t="s">
        <v>319</v>
      </c>
      <c r="L38" s="376" t="s">
        <v>178</v>
      </c>
      <c r="M38" s="376" t="s">
        <v>171</v>
      </c>
      <c r="N38" s="376" t="s">
        <v>172</v>
      </c>
      <c r="O38" s="379">
        <v>1</v>
      </c>
      <c r="P38" s="384">
        <v>1</v>
      </c>
      <c r="Q38" s="384">
        <v>1</v>
      </c>
      <c r="R38" s="380">
        <v>80</v>
      </c>
      <c r="S38" s="384">
        <v>1</v>
      </c>
      <c r="T38" s="380">
        <v>42341.65</v>
      </c>
      <c r="U38" s="380">
        <v>0</v>
      </c>
      <c r="V38" s="380">
        <v>20204.8</v>
      </c>
      <c r="W38" s="380">
        <v>42203.199999999997</v>
      </c>
      <c r="X38" s="380">
        <v>20517.28</v>
      </c>
      <c r="Y38" s="380">
        <v>42203.199999999997</v>
      </c>
      <c r="Z38" s="380">
        <v>20297.830000000002</v>
      </c>
      <c r="AA38" s="376" t="s">
        <v>345</v>
      </c>
      <c r="AB38" s="376" t="s">
        <v>346</v>
      </c>
      <c r="AC38" s="376" t="s">
        <v>347</v>
      </c>
      <c r="AD38" s="376" t="s">
        <v>176</v>
      </c>
      <c r="AE38" s="376" t="s">
        <v>319</v>
      </c>
      <c r="AF38" s="376" t="s">
        <v>177</v>
      </c>
      <c r="AG38" s="376" t="s">
        <v>178</v>
      </c>
      <c r="AH38" s="381">
        <v>20.29</v>
      </c>
      <c r="AI38" s="381">
        <v>47132.4</v>
      </c>
      <c r="AJ38" s="376" t="s">
        <v>179</v>
      </c>
      <c r="AK38" s="376" t="s">
        <v>180</v>
      </c>
      <c r="AL38" s="376" t="s">
        <v>170</v>
      </c>
      <c r="AM38" s="376" t="s">
        <v>181</v>
      </c>
      <c r="AN38" s="376" t="s">
        <v>68</v>
      </c>
      <c r="AO38" s="379">
        <v>80</v>
      </c>
      <c r="AP38" s="384">
        <v>1</v>
      </c>
      <c r="AQ38" s="384">
        <v>1</v>
      </c>
      <c r="AR38" s="382" t="s">
        <v>182</v>
      </c>
      <c r="AS38" s="386">
        <f t="shared" si="27"/>
        <v>1</v>
      </c>
      <c r="AT38">
        <f t="shared" si="28"/>
        <v>1</v>
      </c>
      <c r="AU38" s="386">
        <f>IF(AT38=0,"",IF(AND(AT38=1,M38="F",SUMIF(C2:C167,C38,AS2:AS167)&lt;=1),SUMIF(C2:C167,C38,AS2:AS167),IF(AND(AT38=1,M38="F",SUMIF(C2:C167,C38,AS2:AS167)&gt;1),1,"")))</f>
        <v>1</v>
      </c>
      <c r="AV38" s="386" t="str">
        <f>IF(AT38=0,"",IF(AND(AT38=3,M38="F",SUMIF(C2:C167,C38,AS2:AS167)&lt;=1),SUMIF(C2:C167,C38,AS2:AS167),IF(AND(AT38=3,M38="F",SUMIF(C2:C167,C38,AS2:AS167)&gt;1),1,"")))</f>
        <v/>
      </c>
      <c r="AW38" s="386">
        <f>SUMIF(C2:C167,C38,O2:O167)</f>
        <v>1</v>
      </c>
      <c r="AX38" s="386">
        <f>IF(AND(M38="F",AS38&lt;&gt;0),SUMIF(C2:C167,C38,W2:W167),0)</f>
        <v>42203.199999999997</v>
      </c>
      <c r="AY38" s="386">
        <f t="shared" si="29"/>
        <v>42203.199999999997</v>
      </c>
      <c r="AZ38" s="386" t="str">
        <f t="shared" si="30"/>
        <v/>
      </c>
      <c r="BA38" s="386">
        <f t="shared" si="31"/>
        <v>0</v>
      </c>
      <c r="BB38" s="386">
        <f t="shared" si="44"/>
        <v>11650</v>
      </c>
      <c r="BC38" s="386">
        <f t="shared" si="45"/>
        <v>0</v>
      </c>
      <c r="BD38" s="386">
        <f t="shared" si="46"/>
        <v>2616.5983999999999</v>
      </c>
      <c r="BE38" s="386">
        <f t="shared" si="47"/>
        <v>611.94640000000004</v>
      </c>
      <c r="BF38" s="386">
        <f t="shared" si="48"/>
        <v>5039.0620799999997</v>
      </c>
      <c r="BG38" s="386">
        <f t="shared" si="49"/>
        <v>304.28507200000001</v>
      </c>
      <c r="BH38" s="386">
        <f t="shared" si="50"/>
        <v>206.79567999999998</v>
      </c>
      <c r="BI38" s="386">
        <f t="shared" si="51"/>
        <v>0</v>
      </c>
      <c r="BJ38" s="386">
        <f t="shared" si="52"/>
        <v>88.626719999999992</v>
      </c>
      <c r="BK38" s="386">
        <f t="shared" si="53"/>
        <v>0</v>
      </c>
      <c r="BL38" s="386">
        <f t="shared" si="32"/>
        <v>8867.3143519999994</v>
      </c>
      <c r="BM38" s="386">
        <f t="shared" si="33"/>
        <v>0</v>
      </c>
      <c r="BN38" s="386">
        <f t="shared" si="54"/>
        <v>11650</v>
      </c>
      <c r="BO38" s="386">
        <f t="shared" si="55"/>
        <v>0</v>
      </c>
      <c r="BP38" s="386">
        <f t="shared" si="56"/>
        <v>2616.5983999999999</v>
      </c>
      <c r="BQ38" s="386">
        <f t="shared" si="57"/>
        <v>611.94640000000004</v>
      </c>
      <c r="BR38" s="386">
        <f t="shared" si="58"/>
        <v>5039.0620799999997</v>
      </c>
      <c r="BS38" s="386">
        <f t="shared" si="59"/>
        <v>304.28507200000001</v>
      </c>
      <c r="BT38" s="386">
        <f t="shared" si="60"/>
        <v>0</v>
      </c>
      <c r="BU38" s="386">
        <f t="shared" si="61"/>
        <v>0</v>
      </c>
      <c r="BV38" s="386">
        <f t="shared" si="62"/>
        <v>75.965759999999989</v>
      </c>
      <c r="BW38" s="386">
        <f t="shared" si="63"/>
        <v>0</v>
      </c>
      <c r="BX38" s="386">
        <f t="shared" si="34"/>
        <v>8647.8577119999991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64"/>
        <v>0</v>
      </c>
      <c r="CD38" s="386">
        <f t="shared" si="65"/>
        <v>0</v>
      </c>
      <c r="CE38" s="386">
        <f t="shared" si="66"/>
        <v>0</v>
      </c>
      <c r="CF38" s="386">
        <f t="shared" si="67"/>
        <v>-206.79567999999998</v>
      </c>
      <c r="CG38" s="386">
        <f t="shared" si="68"/>
        <v>0</v>
      </c>
      <c r="CH38" s="386">
        <f t="shared" si="69"/>
        <v>-12.660959999999996</v>
      </c>
      <c r="CI38" s="386">
        <f t="shared" si="70"/>
        <v>0</v>
      </c>
      <c r="CJ38" s="386">
        <f t="shared" si="39"/>
        <v>-219.45663999999996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0001-00</v>
      </c>
    </row>
    <row r="39" spans="1:92" ht="15.75" thickBot="1" x14ac:dyDescent="0.3">
      <c r="A39" s="376" t="s">
        <v>161</v>
      </c>
      <c r="B39" s="376" t="s">
        <v>162</v>
      </c>
      <c r="C39" s="376" t="s">
        <v>348</v>
      </c>
      <c r="D39" s="376" t="s">
        <v>349</v>
      </c>
      <c r="E39" s="376" t="s">
        <v>165</v>
      </c>
      <c r="F39" s="377" t="s">
        <v>166</v>
      </c>
      <c r="G39" s="376" t="s">
        <v>282</v>
      </c>
      <c r="H39" s="378"/>
      <c r="I39" s="378"/>
      <c r="J39" s="376" t="s">
        <v>168</v>
      </c>
      <c r="K39" s="376" t="s">
        <v>350</v>
      </c>
      <c r="L39" s="376" t="s">
        <v>166</v>
      </c>
      <c r="M39" s="376" t="s">
        <v>171</v>
      </c>
      <c r="N39" s="376" t="s">
        <v>172</v>
      </c>
      <c r="O39" s="379">
        <v>1</v>
      </c>
      <c r="P39" s="384">
        <v>1</v>
      </c>
      <c r="Q39" s="384">
        <v>1</v>
      </c>
      <c r="R39" s="380">
        <v>80</v>
      </c>
      <c r="S39" s="384">
        <v>1</v>
      </c>
      <c r="T39" s="380">
        <v>97345.12</v>
      </c>
      <c r="U39" s="380">
        <v>0</v>
      </c>
      <c r="V39" s="380">
        <v>29906.91</v>
      </c>
      <c r="W39" s="380">
        <v>92913.600000000006</v>
      </c>
      <c r="X39" s="380">
        <v>31172.04</v>
      </c>
      <c r="Y39" s="380">
        <v>92913.600000000006</v>
      </c>
      <c r="Z39" s="380">
        <v>30688.9</v>
      </c>
      <c r="AA39" s="376" t="s">
        <v>351</v>
      </c>
      <c r="AB39" s="376" t="s">
        <v>352</v>
      </c>
      <c r="AC39" s="376" t="s">
        <v>217</v>
      </c>
      <c r="AD39" s="376" t="s">
        <v>263</v>
      </c>
      <c r="AE39" s="376" t="s">
        <v>350</v>
      </c>
      <c r="AF39" s="376" t="s">
        <v>177</v>
      </c>
      <c r="AG39" s="376" t="s">
        <v>178</v>
      </c>
      <c r="AH39" s="381">
        <v>44.67</v>
      </c>
      <c r="AI39" s="381">
        <v>32236.9</v>
      </c>
      <c r="AJ39" s="376" t="s">
        <v>179</v>
      </c>
      <c r="AK39" s="376" t="s">
        <v>180</v>
      </c>
      <c r="AL39" s="376" t="s">
        <v>170</v>
      </c>
      <c r="AM39" s="376" t="s">
        <v>181</v>
      </c>
      <c r="AN39" s="376" t="s">
        <v>68</v>
      </c>
      <c r="AO39" s="379">
        <v>80</v>
      </c>
      <c r="AP39" s="384">
        <v>1</v>
      </c>
      <c r="AQ39" s="384">
        <v>1</v>
      </c>
      <c r="AR39" s="382" t="s">
        <v>182</v>
      </c>
      <c r="AS39" s="386">
        <f t="shared" si="27"/>
        <v>1</v>
      </c>
      <c r="AT39">
        <f t="shared" si="28"/>
        <v>1</v>
      </c>
      <c r="AU39" s="386">
        <f>IF(AT39=0,"",IF(AND(AT39=1,M39="F",SUMIF(C2:C167,C39,AS2:AS167)&lt;=1),SUMIF(C2:C167,C39,AS2:AS167),IF(AND(AT39=1,M39="F",SUMIF(C2:C167,C39,AS2:AS167)&gt;1),1,"")))</f>
        <v>1</v>
      </c>
      <c r="AV39" s="386" t="str">
        <f>IF(AT39=0,"",IF(AND(AT39=3,M39="F",SUMIF(C2:C167,C39,AS2:AS167)&lt;=1),SUMIF(C2:C167,C39,AS2:AS167),IF(AND(AT39=3,M39="F",SUMIF(C2:C167,C39,AS2:AS167)&gt;1),1,"")))</f>
        <v/>
      </c>
      <c r="AW39" s="386">
        <f>SUMIF(C2:C167,C39,O2:O167)</f>
        <v>2</v>
      </c>
      <c r="AX39" s="386">
        <f>IF(AND(M39="F",AS39&lt;&gt;0),SUMIF(C2:C167,C39,W2:W167),0)</f>
        <v>92913.600000000006</v>
      </c>
      <c r="AY39" s="386">
        <f t="shared" si="29"/>
        <v>92913.600000000006</v>
      </c>
      <c r="AZ39" s="386" t="str">
        <f t="shared" si="30"/>
        <v/>
      </c>
      <c r="BA39" s="386">
        <f t="shared" si="31"/>
        <v>0</v>
      </c>
      <c r="BB39" s="386">
        <f t="shared" si="44"/>
        <v>11650</v>
      </c>
      <c r="BC39" s="386">
        <f t="shared" si="45"/>
        <v>0</v>
      </c>
      <c r="BD39" s="386">
        <f t="shared" si="46"/>
        <v>5760.6432000000004</v>
      </c>
      <c r="BE39" s="386">
        <f t="shared" si="47"/>
        <v>1347.2472000000002</v>
      </c>
      <c r="BF39" s="386">
        <f t="shared" si="48"/>
        <v>11093.88384</v>
      </c>
      <c r="BG39" s="386">
        <f t="shared" si="49"/>
        <v>669.90705600000001</v>
      </c>
      <c r="BH39" s="386">
        <f t="shared" si="50"/>
        <v>455.27663999999999</v>
      </c>
      <c r="BI39" s="386">
        <f t="shared" si="51"/>
        <v>0</v>
      </c>
      <c r="BJ39" s="386">
        <f t="shared" si="52"/>
        <v>195.11856</v>
      </c>
      <c r="BK39" s="386">
        <f t="shared" si="53"/>
        <v>0</v>
      </c>
      <c r="BL39" s="386">
        <f t="shared" si="32"/>
        <v>19522.076495999998</v>
      </c>
      <c r="BM39" s="386">
        <f t="shared" si="33"/>
        <v>0</v>
      </c>
      <c r="BN39" s="386">
        <f t="shared" si="54"/>
        <v>11650</v>
      </c>
      <c r="BO39" s="386">
        <f t="shared" si="55"/>
        <v>0</v>
      </c>
      <c r="BP39" s="386">
        <f t="shared" si="56"/>
        <v>5760.6432000000004</v>
      </c>
      <c r="BQ39" s="386">
        <f t="shared" si="57"/>
        <v>1347.2472000000002</v>
      </c>
      <c r="BR39" s="386">
        <f t="shared" si="58"/>
        <v>11093.88384</v>
      </c>
      <c r="BS39" s="386">
        <f t="shared" si="59"/>
        <v>669.90705600000001</v>
      </c>
      <c r="BT39" s="386">
        <f t="shared" si="60"/>
        <v>0</v>
      </c>
      <c r="BU39" s="386">
        <f t="shared" si="61"/>
        <v>0</v>
      </c>
      <c r="BV39" s="386">
        <f t="shared" si="62"/>
        <v>167.24448000000001</v>
      </c>
      <c r="BW39" s="386">
        <f t="shared" si="63"/>
        <v>0</v>
      </c>
      <c r="BX39" s="386">
        <f t="shared" si="34"/>
        <v>19038.925776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64"/>
        <v>0</v>
      </c>
      <c r="CD39" s="386">
        <f t="shared" si="65"/>
        <v>0</v>
      </c>
      <c r="CE39" s="386">
        <f t="shared" si="66"/>
        <v>0</v>
      </c>
      <c r="CF39" s="386">
        <f t="shared" si="67"/>
        <v>-455.27663999999999</v>
      </c>
      <c r="CG39" s="386">
        <f t="shared" si="68"/>
        <v>0</v>
      </c>
      <c r="CH39" s="386">
        <f t="shared" si="69"/>
        <v>-27.874079999999996</v>
      </c>
      <c r="CI39" s="386">
        <f t="shared" si="70"/>
        <v>0</v>
      </c>
      <c r="CJ39" s="386">
        <f t="shared" si="39"/>
        <v>-483.15071999999998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0001-00</v>
      </c>
    </row>
    <row r="40" spans="1:92" ht="15.75" thickBot="1" x14ac:dyDescent="0.3">
      <c r="A40" s="376" t="s">
        <v>161</v>
      </c>
      <c r="B40" s="376" t="s">
        <v>162</v>
      </c>
      <c r="C40" s="376" t="s">
        <v>199</v>
      </c>
      <c r="D40" s="376" t="s">
        <v>200</v>
      </c>
      <c r="E40" s="376" t="s">
        <v>165</v>
      </c>
      <c r="F40" s="377" t="s">
        <v>166</v>
      </c>
      <c r="G40" s="376" t="s">
        <v>282</v>
      </c>
      <c r="H40" s="378"/>
      <c r="I40" s="378"/>
      <c r="J40" s="376" t="s">
        <v>185</v>
      </c>
      <c r="K40" s="376" t="s">
        <v>201</v>
      </c>
      <c r="L40" s="376" t="s">
        <v>178</v>
      </c>
      <c r="M40" s="376" t="s">
        <v>171</v>
      </c>
      <c r="N40" s="376" t="s">
        <v>172</v>
      </c>
      <c r="O40" s="379">
        <v>1</v>
      </c>
      <c r="P40" s="384">
        <v>0.1</v>
      </c>
      <c r="Q40" s="384">
        <v>0.1</v>
      </c>
      <c r="R40" s="380">
        <v>80</v>
      </c>
      <c r="S40" s="384">
        <v>0.1</v>
      </c>
      <c r="T40" s="380">
        <v>3038.44</v>
      </c>
      <c r="U40" s="380">
        <v>0</v>
      </c>
      <c r="V40" s="380">
        <v>1520.12</v>
      </c>
      <c r="W40" s="380">
        <v>4160</v>
      </c>
      <c r="X40" s="380">
        <v>2039.05</v>
      </c>
      <c r="Y40" s="380">
        <v>4160</v>
      </c>
      <c r="Z40" s="380">
        <v>2017.42</v>
      </c>
      <c r="AA40" s="376" t="s">
        <v>202</v>
      </c>
      <c r="AB40" s="376" t="s">
        <v>203</v>
      </c>
      <c r="AC40" s="376" t="s">
        <v>204</v>
      </c>
      <c r="AD40" s="376" t="s">
        <v>176</v>
      </c>
      <c r="AE40" s="376" t="s">
        <v>201</v>
      </c>
      <c r="AF40" s="376" t="s">
        <v>177</v>
      </c>
      <c r="AG40" s="376" t="s">
        <v>178</v>
      </c>
      <c r="AH40" s="379">
        <v>20</v>
      </c>
      <c r="AI40" s="379">
        <v>769</v>
      </c>
      <c r="AJ40" s="376" t="s">
        <v>179</v>
      </c>
      <c r="AK40" s="376" t="s">
        <v>180</v>
      </c>
      <c r="AL40" s="376" t="s">
        <v>170</v>
      </c>
      <c r="AM40" s="376" t="s">
        <v>181</v>
      </c>
      <c r="AN40" s="376" t="s">
        <v>68</v>
      </c>
      <c r="AO40" s="379">
        <v>80</v>
      </c>
      <c r="AP40" s="384">
        <v>1</v>
      </c>
      <c r="AQ40" s="384">
        <v>0.1</v>
      </c>
      <c r="AR40" s="382" t="s">
        <v>182</v>
      </c>
      <c r="AS40" s="386">
        <f t="shared" si="27"/>
        <v>0.1</v>
      </c>
      <c r="AT40">
        <f t="shared" si="28"/>
        <v>1</v>
      </c>
      <c r="AU40" s="386">
        <f>IF(AT40=0,"",IF(AND(AT40=1,M40="F",SUMIF(C2:C167,C40,AS2:AS167)&lt;=1),SUMIF(C2:C167,C40,AS2:AS167),IF(AND(AT40=1,M40="F",SUMIF(C2:C167,C40,AS2:AS167)&gt;1),1,"")))</f>
        <v>1</v>
      </c>
      <c r="AV40" s="386" t="str">
        <f>IF(AT40=0,"",IF(AND(AT40=3,M40="F",SUMIF(C2:C167,C40,AS2:AS167)&lt;=1),SUMIF(C2:C167,C40,AS2:AS167),IF(AND(AT40=3,M40="F",SUMIF(C2:C167,C40,AS2:AS167)&gt;1),1,"")))</f>
        <v/>
      </c>
      <c r="AW40" s="386">
        <f>SUMIF(C2:C167,C40,O2:O167)</f>
        <v>4</v>
      </c>
      <c r="AX40" s="386">
        <f>IF(AND(M40="F",AS40&lt;&gt;0),SUMIF(C2:C167,C40,W2:W167),0)</f>
        <v>41600</v>
      </c>
      <c r="AY40" s="386">
        <f t="shared" si="29"/>
        <v>4160</v>
      </c>
      <c r="AZ40" s="386" t="str">
        <f t="shared" si="30"/>
        <v/>
      </c>
      <c r="BA40" s="386">
        <f t="shared" si="31"/>
        <v>0</v>
      </c>
      <c r="BB40" s="386">
        <f t="shared" si="44"/>
        <v>1165</v>
      </c>
      <c r="BC40" s="386">
        <f t="shared" si="45"/>
        <v>0</v>
      </c>
      <c r="BD40" s="386">
        <f t="shared" si="46"/>
        <v>257.92</v>
      </c>
      <c r="BE40" s="386">
        <f t="shared" si="47"/>
        <v>60.32</v>
      </c>
      <c r="BF40" s="386">
        <f t="shared" si="48"/>
        <v>496.70400000000001</v>
      </c>
      <c r="BG40" s="386">
        <f t="shared" si="49"/>
        <v>29.993600000000001</v>
      </c>
      <c r="BH40" s="386">
        <f t="shared" si="50"/>
        <v>20.384</v>
      </c>
      <c r="BI40" s="386">
        <f t="shared" si="51"/>
        <v>0</v>
      </c>
      <c r="BJ40" s="386">
        <f t="shared" si="52"/>
        <v>8.7359999999999989</v>
      </c>
      <c r="BK40" s="386">
        <f t="shared" si="53"/>
        <v>0</v>
      </c>
      <c r="BL40" s="386">
        <f t="shared" si="32"/>
        <v>874.05759999999998</v>
      </c>
      <c r="BM40" s="386">
        <f t="shared" si="33"/>
        <v>0</v>
      </c>
      <c r="BN40" s="386">
        <f t="shared" si="54"/>
        <v>1165</v>
      </c>
      <c r="BO40" s="386">
        <f t="shared" si="55"/>
        <v>0</v>
      </c>
      <c r="BP40" s="386">
        <f t="shared" si="56"/>
        <v>257.92</v>
      </c>
      <c r="BQ40" s="386">
        <f t="shared" si="57"/>
        <v>60.32</v>
      </c>
      <c r="BR40" s="386">
        <f t="shared" si="58"/>
        <v>496.70400000000001</v>
      </c>
      <c r="BS40" s="386">
        <f t="shared" si="59"/>
        <v>29.993600000000001</v>
      </c>
      <c r="BT40" s="386">
        <f t="shared" si="60"/>
        <v>0</v>
      </c>
      <c r="BU40" s="386">
        <f t="shared" si="61"/>
        <v>0</v>
      </c>
      <c r="BV40" s="386">
        <f t="shared" si="62"/>
        <v>7.4879999999999995</v>
      </c>
      <c r="BW40" s="386">
        <f t="shared" si="63"/>
        <v>0</v>
      </c>
      <c r="BX40" s="386">
        <f t="shared" si="34"/>
        <v>852.42560000000003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64"/>
        <v>0</v>
      </c>
      <c r="CD40" s="386">
        <f t="shared" si="65"/>
        <v>0</v>
      </c>
      <c r="CE40" s="386">
        <f t="shared" si="66"/>
        <v>0</v>
      </c>
      <c r="CF40" s="386">
        <f t="shared" si="67"/>
        <v>-20.384</v>
      </c>
      <c r="CG40" s="386">
        <f t="shared" si="68"/>
        <v>0</v>
      </c>
      <c r="CH40" s="386">
        <f t="shared" si="69"/>
        <v>-1.2479999999999998</v>
      </c>
      <c r="CI40" s="386">
        <f t="shared" si="70"/>
        <v>0</v>
      </c>
      <c r="CJ40" s="386">
        <f t="shared" si="39"/>
        <v>-21.632000000000001</v>
      </c>
      <c r="CK40" s="386" t="str">
        <f t="shared" si="40"/>
        <v/>
      </c>
      <c r="CL40" s="386" t="str">
        <f t="shared" si="41"/>
        <v/>
      </c>
      <c r="CM40" s="386" t="str">
        <f t="shared" si="42"/>
        <v/>
      </c>
      <c r="CN40" s="386" t="str">
        <f t="shared" si="43"/>
        <v>0001-00</v>
      </c>
    </row>
    <row r="41" spans="1:92" ht="15.75" thickBot="1" x14ac:dyDescent="0.3">
      <c r="A41" s="376" t="s">
        <v>161</v>
      </c>
      <c r="B41" s="376" t="s">
        <v>162</v>
      </c>
      <c r="C41" s="376" t="s">
        <v>212</v>
      </c>
      <c r="D41" s="376" t="s">
        <v>213</v>
      </c>
      <c r="E41" s="376" t="s">
        <v>165</v>
      </c>
      <c r="F41" s="377" t="s">
        <v>166</v>
      </c>
      <c r="G41" s="376" t="s">
        <v>282</v>
      </c>
      <c r="H41" s="378"/>
      <c r="I41" s="378"/>
      <c r="J41" s="376" t="s">
        <v>185</v>
      </c>
      <c r="K41" s="376" t="s">
        <v>214</v>
      </c>
      <c r="L41" s="376" t="s">
        <v>166</v>
      </c>
      <c r="M41" s="376" t="s">
        <v>171</v>
      </c>
      <c r="N41" s="376" t="s">
        <v>172</v>
      </c>
      <c r="O41" s="379">
        <v>1</v>
      </c>
      <c r="P41" s="384">
        <v>0.05</v>
      </c>
      <c r="Q41" s="384">
        <v>0.05</v>
      </c>
      <c r="R41" s="380">
        <v>80</v>
      </c>
      <c r="S41" s="384">
        <v>0.05</v>
      </c>
      <c r="T41" s="380">
        <v>5097.7</v>
      </c>
      <c r="U41" s="380">
        <v>0</v>
      </c>
      <c r="V41" s="380">
        <v>1574.72</v>
      </c>
      <c r="W41" s="380">
        <v>5913.44</v>
      </c>
      <c r="X41" s="380">
        <v>1824.97</v>
      </c>
      <c r="Y41" s="380">
        <v>5913.44</v>
      </c>
      <c r="Z41" s="380">
        <v>1794.22</v>
      </c>
      <c r="AA41" s="376" t="s">
        <v>215</v>
      </c>
      <c r="AB41" s="376" t="s">
        <v>216</v>
      </c>
      <c r="AC41" s="376" t="s">
        <v>217</v>
      </c>
      <c r="AD41" s="376" t="s">
        <v>170</v>
      </c>
      <c r="AE41" s="376" t="s">
        <v>214</v>
      </c>
      <c r="AF41" s="376" t="s">
        <v>177</v>
      </c>
      <c r="AG41" s="376" t="s">
        <v>178</v>
      </c>
      <c r="AH41" s="381">
        <v>56.86</v>
      </c>
      <c r="AI41" s="379">
        <v>2817</v>
      </c>
      <c r="AJ41" s="376" t="s">
        <v>179</v>
      </c>
      <c r="AK41" s="376" t="s">
        <v>180</v>
      </c>
      <c r="AL41" s="376" t="s">
        <v>170</v>
      </c>
      <c r="AM41" s="376" t="s">
        <v>181</v>
      </c>
      <c r="AN41" s="376" t="s">
        <v>68</v>
      </c>
      <c r="AO41" s="379">
        <v>80</v>
      </c>
      <c r="AP41" s="384">
        <v>1</v>
      </c>
      <c r="AQ41" s="384">
        <v>0.05</v>
      </c>
      <c r="AR41" s="382" t="s">
        <v>182</v>
      </c>
      <c r="AS41" s="386">
        <f t="shared" si="27"/>
        <v>0.05</v>
      </c>
      <c r="AT41">
        <f t="shared" si="28"/>
        <v>1</v>
      </c>
      <c r="AU41" s="386">
        <f>IF(AT41=0,"",IF(AND(AT41=1,M41="F",SUMIF(C2:C167,C41,AS2:AS167)&lt;=1),SUMIF(C2:C167,C41,AS2:AS167),IF(AND(AT41=1,M41="F",SUMIF(C2:C167,C41,AS2:AS167)&gt;1),1,"")))</f>
        <v>1</v>
      </c>
      <c r="AV41" s="386" t="str">
        <f>IF(AT41=0,"",IF(AND(AT41=3,M41="F",SUMIF(C2:C167,C41,AS2:AS167)&lt;=1),SUMIF(C2:C167,C41,AS2:AS167),IF(AND(AT41=3,M41="F",SUMIF(C2:C167,C41,AS2:AS167)&gt;1),1,"")))</f>
        <v/>
      </c>
      <c r="AW41" s="386">
        <f>SUMIF(C2:C167,C41,O2:O167)</f>
        <v>5</v>
      </c>
      <c r="AX41" s="386">
        <f>IF(AND(M41="F",AS41&lt;&gt;0),SUMIF(C2:C167,C41,W2:W167),0)</f>
        <v>118268.80000000002</v>
      </c>
      <c r="AY41" s="386">
        <f t="shared" si="29"/>
        <v>5913.44</v>
      </c>
      <c r="AZ41" s="386" t="str">
        <f t="shared" si="30"/>
        <v/>
      </c>
      <c r="BA41" s="386">
        <f t="shared" si="31"/>
        <v>0</v>
      </c>
      <c r="BB41" s="386">
        <f t="shared" si="44"/>
        <v>582.5</v>
      </c>
      <c r="BC41" s="386">
        <f t="shared" si="45"/>
        <v>0</v>
      </c>
      <c r="BD41" s="386">
        <f t="shared" si="46"/>
        <v>366.63327999999996</v>
      </c>
      <c r="BE41" s="386">
        <f t="shared" si="47"/>
        <v>85.744879999999995</v>
      </c>
      <c r="BF41" s="386">
        <f t="shared" si="48"/>
        <v>706.06473600000004</v>
      </c>
      <c r="BG41" s="386">
        <f t="shared" si="49"/>
        <v>42.635902399999999</v>
      </c>
      <c r="BH41" s="386">
        <f t="shared" si="50"/>
        <v>28.975855999999997</v>
      </c>
      <c r="BI41" s="386">
        <f t="shared" si="51"/>
        <v>0</v>
      </c>
      <c r="BJ41" s="386">
        <f t="shared" si="52"/>
        <v>12.418223999999999</v>
      </c>
      <c r="BK41" s="386">
        <f t="shared" si="53"/>
        <v>0</v>
      </c>
      <c r="BL41" s="386">
        <f t="shared" si="32"/>
        <v>1242.4728784000001</v>
      </c>
      <c r="BM41" s="386">
        <f t="shared" si="33"/>
        <v>0</v>
      </c>
      <c r="BN41" s="386">
        <f t="shared" si="54"/>
        <v>582.5</v>
      </c>
      <c r="BO41" s="386">
        <f t="shared" si="55"/>
        <v>0</v>
      </c>
      <c r="BP41" s="386">
        <f t="shared" si="56"/>
        <v>366.63327999999996</v>
      </c>
      <c r="BQ41" s="386">
        <f t="shared" si="57"/>
        <v>85.744879999999995</v>
      </c>
      <c r="BR41" s="386">
        <f t="shared" si="58"/>
        <v>706.06473600000004</v>
      </c>
      <c r="BS41" s="386">
        <f t="shared" si="59"/>
        <v>42.635902399999999</v>
      </c>
      <c r="BT41" s="386">
        <f t="shared" si="60"/>
        <v>0</v>
      </c>
      <c r="BU41" s="386">
        <f t="shared" si="61"/>
        <v>0</v>
      </c>
      <c r="BV41" s="386">
        <f t="shared" si="62"/>
        <v>10.644191999999999</v>
      </c>
      <c r="BW41" s="386">
        <f t="shared" si="63"/>
        <v>0</v>
      </c>
      <c r="BX41" s="386">
        <f t="shared" si="34"/>
        <v>1211.7229904000001</v>
      </c>
      <c r="BY41" s="386">
        <f t="shared" si="35"/>
        <v>0</v>
      </c>
      <c r="BZ41" s="386">
        <f t="shared" si="36"/>
        <v>0</v>
      </c>
      <c r="CA41" s="386">
        <f t="shared" si="37"/>
        <v>0</v>
      </c>
      <c r="CB41" s="386">
        <f t="shared" si="38"/>
        <v>0</v>
      </c>
      <c r="CC41" s="386">
        <f t="shared" si="64"/>
        <v>0</v>
      </c>
      <c r="CD41" s="386">
        <f t="shared" si="65"/>
        <v>0</v>
      </c>
      <c r="CE41" s="386">
        <f t="shared" si="66"/>
        <v>0</v>
      </c>
      <c r="CF41" s="386">
        <f t="shared" si="67"/>
        <v>-28.975855999999997</v>
      </c>
      <c r="CG41" s="386">
        <f t="shared" si="68"/>
        <v>0</v>
      </c>
      <c r="CH41" s="386">
        <f t="shared" si="69"/>
        <v>-1.7740319999999994</v>
      </c>
      <c r="CI41" s="386">
        <f t="shared" si="70"/>
        <v>0</v>
      </c>
      <c r="CJ41" s="386">
        <f t="shared" si="39"/>
        <v>-30.749887999999995</v>
      </c>
      <c r="CK41" s="386" t="str">
        <f t="shared" si="40"/>
        <v/>
      </c>
      <c r="CL41" s="386" t="str">
        <f t="shared" si="41"/>
        <v/>
      </c>
      <c r="CM41" s="386" t="str">
        <f t="shared" si="42"/>
        <v/>
      </c>
      <c r="CN41" s="386" t="str">
        <f t="shared" si="43"/>
        <v>0001-00</v>
      </c>
    </row>
    <row r="42" spans="1:92" ht="15.75" thickBot="1" x14ac:dyDescent="0.3">
      <c r="A42" s="376" t="s">
        <v>161</v>
      </c>
      <c r="B42" s="376" t="s">
        <v>162</v>
      </c>
      <c r="C42" s="376" t="s">
        <v>218</v>
      </c>
      <c r="D42" s="376" t="s">
        <v>219</v>
      </c>
      <c r="E42" s="376" t="s">
        <v>165</v>
      </c>
      <c r="F42" s="377" t="s">
        <v>166</v>
      </c>
      <c r="G42" s="376" t="s">
        <v>282</v>
      </c>
      <c r="H42" s="378"/>
      <c r="I42" s="378"/>
      <c r="J42" s="376" t="s">
        <v>220</v>
      </c>
      <c r="K42" s="376" t="s">
        <v>221</v>
      </c>
      <c r="L42" s="376" t="s">
        <v>166</v>
      </c>
      <c r="M42" s="376" t="s">
        <v>171</v>
      </c>
      <c r="N42" s="376" t="s">
        <v>172</v>
      </c>
      <c r="O42" s="379">
        <v>1</v>
      </c>
      <c r="P42" s="384">
        <v>0.02</v>
      </c>
      <c r="Q42" s="384">
        <v>0.02</v>
      </c>
      <c r="R42" s="380">
        <v>80</v>
      </c>
      <c r="S42" s="384">
        <v>0.02</v>
      </c>
      <c r="T42" s="380">
        <v>2132.92</v>
      </c>
      <c r="U42" s="380">
        <v>0</v>
      </c>
      <c r="V42" s="380">
        <v>802.1</v>
      </c>
      <c r="W42" s="380">
        <v>1272.96</v>
      </c>
      <c r="X42" s="380">
        <v>500.46</v>
      </c>
      <c r="Y42" s="380">
        <v>1272.96</v>
      </c>
      <c r="Z42" s="380">
        <v>493.84</v>
      </c>
      <c r="AA42" s="376" t="s">
        <v>222</v>
      </c>
      <c r="AB42" s="376" t="s">
        <v>223</v>
      </c>
      <c r="AC42" s="376" t="s">
        <v>224</v>
      </c>
      <c r="AD42" s="376" t="s">
        <v>170</v>
      </c>
      <c r="AE42" s="376" t="s">
        <v>221</v>
      </c>
      <c r="AF42" s="376" t="s">
        <v>177</v>
      </c>
      <c r="AG42" s="376" t="s">
        <v>178</v>
      </c>
      <c r="AH42" s="381">
        <v>30.6</v>
      </c>
      <c r="AI42" s="379">
        <v>6405</v>
      </c>
      <c r="AJ42" s="376" t="s">
        <v>179</v>
      </c>
      <c r="AK42" s="376" t="s">
        <v>180</v>
      </c>
      <c r="AL42" s="376" t="s">
        <v>170</v>
      </c>
      <c r="AM42" s="376" t="s">
        <v>181</v>
      </c>
      <c r="AN42" s="376" t="s">
        <v>68</v>
      </c>
      <c r="AO42" s="379">
        <v>80</v>
      </c>
      <c r="AP42" s="384">
        <v>1</v>
      </c>
      <c r="AQ42" s="384">
        <v>0.02</v>
      </c>
      <c r="AR42" s="382" t="s">
        <v>182</v>
      </c>
      <c r="AS42" s="386">
        <f t="shared" si="27"/>
        <v>0.02</v>
      </c>
      <c r="AT42">
        <f t="shared" si="28"/>
        <v>1</v>
      </c>
      <c r="AU42" s="386">
        <f>IF(AT42=0,"",IF(AND(AT42=1,M42="F",SUMIF(C2:C167,C42,AS2:AS167)&lt;=1),SUMIF(C2:C167,C42,AS2:AS167),IF(AND(AT42=1,M42="F",SUMIF(C2:C167,C42,AS2:AS167)&gt;1),1,"")))</f>
        <v>1</v>
      </c>
      <c r="AV42" s="386" t="str">
        <f>IF(AT42=0,"",IF(AND(AT42=3,M42="F",SUMIF(C2:C167,C42,AS2:AS167)&lt;=1),SUMIF(C2:C167,C42,AS2:AS167),IF(AND(AT42=3,M42="F",SUMIF(C2:C167,C42,AS2:AS167)&gt;1),1,"")))</f>
        <v/>
      </c>
      <c r="AW42" s="386">
        <f>SUMIF(C2:C167,C42,O2:O167)</f>
        <v>5</v>
      </c>
      <c r="AX42" s="386">
        <f>IF(AND(M42="F",AS42&lt;&gt;0),SUMIF(C2:C167,C42,W2:W167),0)</f>
        <v>63647.999999999993</v>
      </c>
      <c r="AY42" s="386">
        <f t="shared" si="29"/>
        <v>1272.96</v>
      </c>
      <c r="AZ42" s="386" t="str">
        <f t="shared" si="30"/>
        <v/>
      </c>
      <c r="BA42" s="386">
        <f t="shared" si="31"/>
        <v>0</v>
      </c>
      <c r="BB42" s="386">
        <f t="shared" si="44"/>
        <v>233</v>
      </c>
      <c r="BC42" s="386">
        <f t="shared" si="45"/>
        <v>0</v>
      </c>
      <c r="BD42" s="386">
        <f t="shared" si="46"/>
        <v>78.923519999999996</v>
      </c>
      <c r="BE42" s="386">
        <f t="shared" si="47"/>
        <v>18.457920000000001</v>
      </c>
      <c r="BF42" s="386">
        <f t="shared" si="48"/>
        <v>151.99142400000002</v>
      </c>
      <c r="BG42" s="386">
        <f t="shared" si="49"/>
        <v>9.1780416000000002</v>
      </c>
      <c r="BH42" s="386">
        <f t="shared" si="50"/>
        <v>6.2375040000000004</v>
      </c>
      <c r="BI42" s="386">
        <f t="shared" si="51"/>
        <v>0</v>
      </c>
      <c r="BJ42" s="386">
        <f t="shared" si="52"/>
        <v>2.673216</v>
      </c>
      <c r="BK42" s="386">
        <f t="shared" si="53"/>
        <v>0</v>
      </c>
      <c r="BL42" s="386">
        <f t="shared" si="32"/>
        <v>267.46162560000005</v>
      </c>
      <c r="BM42" s="386">
        <f t="shared" si="33"/>
        <v>0</v>
      </c>
      <c r="BN42" s="386">
        <f t="shared" si="54"/>
        <v>233</v>
      </c>
      <c r="BO42" s="386">
        <f t="shared" si="55"/>
        <v>0</v>
      </c>
      <c r="BP42" s="386">
        <f t="shared" si="56"/>
        <v>78.923519999999996</v>
      </c>
      <c r="BQ42" s="386">
        <f t="shared" si="57"/>
        <v>18.457920000000001</v>
      </c>
      <c r="BR42" s="386">
        <f t="shared" si="58"/>
        <v>151.99142400000002</v>
      </c>
      <c r="BS42" s="386">
        <f t="shared" si="59"/>
        <v>9.1780416000000002</v>
      </c>
      <c r="BT42" s="386">
        <f t="shared" si="60"/>
        <v>0</v>
      </c>
      <c r="BU42" s="386">
        <f t="shared" si="61"/>
        <v>0</v>
      </c>
      <c r="BV42" s="386">
        <f t="shared" si="62"/>
        <v>2.291328</v>
      </c>
      <c r="BW42" s="386">
        <f t="shared" si="63"/>
        <v>0</v>
      </c>
      <c r="BX42" s="386">
        <f t="shared" si="34"/>
        <v>260.84223360000004</v>
      </c>
      <c r="BY42" s="386">
        <f t="shared" si="35"/>
        <v>0</v>
      </c>
      <c r="BZ42" s="386">
        <f t="shared" si="36"/>
        <v>0</v>
      </c>
      <c r="CA42" s="386">
        <f t="shared" si="37"/>
        <v>0</v>
      </c>
      <c r="CB42" s="386">
        <f t="shared" si="38"/>
        <v>0</v>
      </c>
      <c r="CC42" s="386">
        <f t="shared" si="64"/>
        <v>0</v>
      </c>
      <c r="CD42" s="386">
        <f t="shared" si="65"/>
        <v>0</v>
      </c>
      <c r="CE42" s="386">
        <f t="shared" si="66"/>
        <v>0</v>
      </c>
      <c r="CF42" s="386">
        <f t="shared" si="67"/>
        <v>-6.2375040000000004</v>
      </c>
      <c r="CG42" s="386">
        <f t="shared" si="68"/>
        <v>0</v>
      </c>
      <c r="CH42" s="386">
        <f t="shared" si="69"/>
        <v>-0.38188799999999989</v>
      </c>
      <c r="CI42" s="386">
        <f t="shared" si="70"/>
        <v>0</v>
      </c>
      <c r="CJ42" s="386">
        <f t="shared" si="39"/>
        <v>-6.6193920000000004</v>
      </c>
      <c r="CK42" s="386" t="str">
        <f t="shared" si="40"/>
        <v/>
      </c>
      <c r="CL42" s="386" t="str">
        <f t="shared" si="41"/>
        <v/>
      </c>
      <c r="CM42" s="386" t="str">
        <f t="shared" si="42"/>
        <v/>
      </c>
      <c r="CN42" s="386" t="str">
        <f t="shared" si="43"/>
        <v>0001-00</v>
      </c>
    </row>
    <row r="43" spans="1:92" ht="15.75" thickBot="1" x14ac:dyDescent="0.3">
      <c r="A43" s="376" t="s">
        <v>161</v>
      </c>
      <c r="B43" s="376" t="s">
        <v>162</v>
      </c>
      <c r="C43" s="376" t="s">
        <v>225</v>
      </c>
      <c r="D43" s="376" t="s">
        <v>226</v>
      </c>
      <c r="E43" s="376" t="s">
        <v>165</v>
      </c>
      <c r="F43" s="377" t="s">
        <v>166</v>
      </c>
      <c r="G43" s="376" t="s">
        <v>282</v>
      </c>
      <c r="H43" s="378"/>
      <c r="I43" s="378"/>
      <c r="J43" s="376" t="s">
        <v>185</v>
      </c>
      <c r="K43" s="376" t="s">
        <v>227</v>
      </c>
      <c r="L43" s="376" t="s">
        <v>166</v>
      </c>
      <c r="M43" s="376" t="s">
        <v>171</v>
      </c>
      <c r="N43" s="376" t="s">
        <v>172</v>
      </c>
      <c r="O43" s="379">
        <v>1</v>
      </c>
      <c r="P43" s="384">
        <v>0.05</v>
      </c>
      <c r="Q43" s="384">
        <v>0.05</v>
      </c>
      <c r="R43" s="380">
        <v>80</v>
      </c>
      <c r="S43" s="384">
        <v>0.05</v>
      </c>
      <c r="T43" s="380">
        <v>6122.77</v>
      </c>
      <c r="U43" s="380">
        <v>0</v>
      </c>
      <c r="V43" s="380">
        <v>1825.74</v>
      </c>
      <c r="W43" s="380">
        <v>6272.24</v>
      </c>
      <c r="X43" s="380">
        <v>1900.35</v>
      </c>
      <c r="Y43" s="380">
        <v>6272.24</v>
      </c>
      <c r="Z43" s="380">
        <v>1867.74</v>
      </c>
      <c r="AA43" s="376" t="s">
        <v>228</v>
      </c>
      <c r="AB43" s="376" t="s">
        <v>229</v>
      </c>
      <c r="AC43" s="376" t="s">
        <v>230</v>
      </c>
      <c r="AD43" s="376" t="s">
        <v>231</v>
      </c>
      <c r="AE43" s="376" t="s">
        <v>227</v>
      </c>
      <c r="AF43" s="376" t="s">
        <v>177</v>
      </c>
      <c r="AG43" s="376" t="s">
        <v>178</v>
      </c>
      <c r="AH43" s="381">
        <v>60.31</v>
      </c>
      <c r="AI43" s="381">
        <v>41188.5</v>
      </c>
      <c r="AJ43" s="376" t="s">
        <v>179</v>
      </c>
      <c r="AK43" s="376" t="s">
        <v>180</v>
      </c>
      <c r="AL43" s="376" t="s">
        <v>170</v>
      </c>
      <c r="AM43" s="376" t="s">
        <v>181</v>
      </c>
      <c r="AN43" s="376" t="s">
        <v>68</v>
      </c>
      <c r="AO43" s="379">
        <v>80</v>
      </c>
      <c r="AP43" s="384">
        <v>1</v>
      </c>
      <c r="AQ43" s="384">
        <v>0.05</v>
      </c>
      <c r="AR43" s="382" t="s">
        <v>182</v>
      </c>
      <c r="AS43" s="386">
        <f t="shared" si="27"/>
        <v>0.05</v>
      </c>
      <c r="AT43">
        <f t="shared" si="28"/>
        <v>1</v>
      </c>
      <c r="AU43" s="386">
        <f>IF(AT43=0,"",IF(AND(AT43=1,M43="F",SUMIF(C2:C167,C43,AS2:AS167)&lt;=1),SUMIF(C2:C167,C43,AS2:AS167),IF(AND(AT43=1,M43="F",SUMIF(C2:C167,C43,AS2:AS167)&gt;1),1,"")))</f>
        <v>1</v>
      </c>
      <c r="AV43" s="386" t="str">
        <f>IF(AT43=0,"",IF(AND(AT43=3,M43="F",SUMIF(C2:C167,C43,AS2:AS167)&lt;=1),SUMIF(C2:C167,C43,AS2:AS167),IF(AND(AT43=3,M43="F",SUMIF(C2:C167,C43,AS2:AS167)&gt;1),1,"")))</f>
        <v/>
      </c>
      <c r="AW43" s="386">
        <f>SUMIF(C2:C167,C43,O2:O167)</f>
        <v>4</v>
      </c>
      <c r="AX43" s="386">
        <f>IF(AND(M43="F",AS43&lt;&gt;0),SUMIF(C2:C167,C43,W2:W167),0)</f>
        <v>125444.79999999999</v>
      </c>
      <c r="AY43" s="386">
        <f t="shared" si="29"/>
        <v>6272.24</v>
      </c>
      <c r="AZ43" s="386" t="str">
        <f t="shared" si="30"/>
        <v/>
      </c>
      <c r="BA43" s="386">
        <f t="shared" si="31"/>
        <v>0</v>
      </c>
      <c r="BB43" s="386">
        <f t="shared" si="44"/>
        <v>582.5</v>
      </c>
      <c r="BC43" s="386">
        <f t="shared" si="45"/>
        <v>0</v>
      </c>
      <c r="BD43" s="386">
        <f t="shared" si="46"/>
        <v>388.87887999999998</v>
      </c>
      <c r="BE43" s="386">
        <f t="shared" si="47"/>
        <v>90.947479999999999</v>
      </c>
      <c r="BF43" s="386">
        <f t="shared" si="48"/>
        <v>748.90545599999996</v>
      </c>
      <c r="BG43" s="386">
        <f t="shared" si="49"/>
        <v>45.222850399999999</v>
      </c>
      <c r="BH43" s="386">
        <f t="shared" si="50"/>
        <v>30.733975999999998</v>
      </c>
      <c r="BI43" s="386">
        <f t="shared" si="51"/>
        <v>0</v>
      </c>
      <c r="BJ43" s="386">
        <f t="shared" si="52"/>
        <v>13.171703999999998</v>
      </c>
      <c r="BK43" s="386">
        <f t="shared" si="53"/>
        <v>0</v>
      </c>
      <c r="BL43" s="386">
        <f t="shared" si="32"/>
        <v>1317.8603464</v>
      </c>
      <c r="BM43" s="386">
        <f t="shared" si="33"/>
        <v>0</v>
      </c>
      <c r="BN43" s="386">
        <f t="shared" si="54"/>
        <v>582.5</v>
      </c>
      <c r="BO43" s="386">
        <f t="shared" si="55"/>
        <v>0</v>
      </c>
      <c r="BP43" s="386">
        <f t="shared" si="56"/>
        <v>388.87887999999998</v>
      </c>
      <c r="BQ43" s="386">
        <f t="shared" si="57"/>
        <v>90.947479999999999</v>
      </c>
      <c r="BR43" s="386">
        <f t="shared" si="58"/>
        <v>748.90545599999996</v>
      </c>
      <c r="BS43" s="386">
        <f t="shared" si="59"/>
        <v>45.222850399999999</v>
      </c>
      <c r="BT43" s="386">
        <f t="shared" si="60"/>
        <v>0</v>
      </c>
      <c r="BU43" s="386">
        <f t="shared" si="61"/>
        <v>0</v>
      </c>
      <c r="BV43" s="386">
        <f t="shared" si="62"/>
        <v>11.290032</v>
      </c>
      <c r="BW43" s="386">
        <f t="shared" si="63"/>
        <v>0</v>
      </c>
      <c r="BX43" s="386">
        <f t="shared" si="34"/>
        <v>1285.2446984000001</v>
      </c>
      <c r="BY43" s="386">
        <f t="shared" si="35"/>
        <v>0</v>
      </c>
      <c r="BZ43" s="386">
        <f t="shared" si="36"/>
        <v>0</v>
      </c>
      <c r="CA43" s="386">
        <f t="shared" si="37"/>
        <v>0</v>
      </c>
      <c r="CB43" s="386">
        <f t="shared" si="38"/>
        <v>0</v>
      </c>
      <c r="CC43" s="386">
        <f t="shared" si="64"/>
        <v>0</v>
      </c>
      <c r="CD43" s="386">
        <f t="shared" si="65"/>
        <v>0</v>
      </c>
      <c r="CE43" s="386">
        <f t="shared" si="66"/>
        <v>0</v>
      </c>
      <c r="CF43" s="386">
        <f t="shared" si="67"/>
        <v>-30.733975999999998</v>
      </c>
      <c r="CG43" s="386">
        <f t="shared" si="68"/>
        <v>0</v>
      </c>
      <c r="CH43" s="386">
        <f t="shared" si="69"/>
        <v>-1.8816719999999993</v>
      </c>
      <c r="CI43" s="386">
        <f t="shared" si="70"/>
        <v>0</v>
      </c>
      <c r="CJ43" s="386">
        <f t="shared" si="39"/>
        <v>-32.615648</v>
      </c>
      <c r="CK43" s="386" t="str">
        <f t="shared" si="40"/>
        <v/>
      </c>
      <c r="CL43" s="386" t="str">
        <f t="shared" si="41"/>
        <v/>
      </c>
      <c r="CM43" s="386" t="str">
        <f t="shared" si="42"/>
        <v/>
      </c>
      <c r="CN43" s="386" t="str">
        <f t="shared" si="43"/>
        <v>0001-00</v>
      </c>
    </row>
    <row r="44" spans="1:92" ht="15.75" thickBot="1" x14ac:dyDescent="0.3">
      <c r="A44" s="376" t="s">
        <v>161</v>
      </c>
      <c r="B44" s="376" t="s">
        <v>162</v>
      </c>
      <c r="C44" s="376" t="s">
        <v>353</v>
      </c>
      <c r="D44" s="376" t="s">
        <v>318</v>
      </c>
      <c r="E44" s="376" t="s">
        <v>165</v>
      </c>
      <c r="F44" s="377" t="s">
        <v>166</v>
      </c>
      <c r="G44" s="376" t="s">
        <v>282</v>
      </c>
      <c r="H44" s="378"/>
      <c r="I44" s="378"/>
      <c r="J44" s="376" t="s">
        <v>168</v>
      </c>
      <c r="K44" s="376" t="s">
        <v>319</v>
      </c>
      <c r="L44" s="376" t="s">
        <v>178</v>
      </c>
      <c r="M44" s="376" t="s">
        <v>171</v>
      </c>
      <c r="N44" s="376" t="s">
        <v>172</v>
      </c>
      <c r="O44" s="379">
        <v>1</v>
      </c>
      <c r="P44" s="384">
        <v>1</v>
      </c>
      <c r="Q44" s="384">
        <v>1</v>
      </c>
      <c r="R44" s="380">
        <v>80</v>
      </c>
      <c r="S44" s="384">
        <v>1</v>
      </c>
      <c r="T44" s="380">
        <v>37780.21</v>
      </c>
      <c r="U44" s="380">
        <v>0</v>
      </c>
      <c r="V44" s="380">
        <v>16716.68</v>
      </c>
      <c r="W44" s="380">
        <v>42536</v>
      </c>
      <c r="X44" s="380">
        <v>20587.21</v>
      </c>
      <c r="Y44" s="380">
        <v>42536</v>
      </c>
      <c r="Z44" s="380">
        <v>20366.03</v>
      </c>
      <c r="AA44" s="376" t="s">
        <v>354</v>
      </c>
      <c r="AB44" s="376" t="s">
        <v>355</v>
      </c>
      <c r="AC44" s="376" t="s">
        <v>356</v>
      </c>
      <c r="AD44" s="376" t="s">
        <v>357</v>
      </c>
      <c r="AE44" s="376" t="s">
        <v>319</v>
      </c>
      <c r="AF44" s="376" t="s">
        <v>177</v>
      </c>
      <c r="AG44" s="376" t="s">
        <v>178</v>
      </c>
      <c r="AH44" s="381">
        <v>20.45</v>
      </c>
      <c r="AI44" s="381">
        <v>12107.5</v>
      </c>
      <c r="AJ44" s="376" t="s">
        <v>179</v>
      </c>
      <c r="AK44" s="376" t="s">
        <v>180</v>
      </c>
      <c r="AL44" s="376" t="s">
        <v>170</v>
      </c>
      <c r="AM44" s="376" t="s">
        <v>181</v>
      </c>
      <c r="AN44" s="376" t="s">
        <v>68</v>
      </c>
      <c r="AO44" s="379">
        <v>80</v>
      </c>
      <c r="AP44" s="384">
        <v>1</v>
      </c>
      <c r="AQ44" s="384">
        <v>1</v>
      </c>
      <c r="AR44" s="382" t="s">
        <v>182</v>
      </c>
      <c r="AS44" s="386">
        <f t="shared" si="27"/>
        <v>1</v>
      </c>
      <c r="AT44">
        <f t="shared" si="28"/>
        <v>1</v>
      </c>
      <c r="AU44" s="386">
        <f>IF(AT44=0,"",IF(AND(AT44=1,M44="F",SUMIF(C2:C167,C44,AS2:AS167)&lt;=1),SUMIF(C2:C167,C44,AS2:AS167),IF(AND(AT44=1,M44="F",SUMIF(C2:C167,C44,AS2:AS167)&gt;1),1,"")))</f>
        <v>1</v>
      </c>
      <c r="AV44" s="386" t="str">
        <f>IF(AT44=0,"",IF(AND(AT44=3,M44="F",SUMIF(C2:C167,C44,AS2:AS167)&lt;=1),SUMIF(C2:C167,C44,AS2:AS167),IF(AND(AT44=3,M44="F",SUMIF(C2:C167,C44,AS2:AS167)&gt;1),1,"")))</f>
        <v/>
      </c>
      <c r="AW44" s="386">
        <f>SUMIF(C2:C167,C44,O2:O167)</f>
        <v>1</v>
      </c>
      <c r="AX44" s="386">
        <f>IF(AND(M44="F",AS44&lt;&gt;0),SUMIF(C2:C167,C44,W2:W167),0)</f>
        <v>42536</v>
      </c>
      <c r="AY44" s="386">
        <f t="shared" si="29"/>
        <v>42536</v>
      </c>
      <c r="AZ44" s="386" t="str">
        <f t="shared" si="30"/>
        <v/>
      </c>
      <c r="BA44" s="386">
        <f t="shared" si="31"/>
        <v>0</v>
      </c>
      <c r="BB44" s="386">
        <f t="shared" si="44"/>
        <v>11650</v>
      </c>
      <c r="BC44" s="386">
        <f t="shared" si="45"/>
        <v>0</v>
      </c>
      <c r="BD44" s="386">
        <f t="shared" si="46"/>
        <v>2637.232</v>
      </c>
      <c r="BE44" s="386">
        <f t="shared" si="47"/>
        <v>616.77200000000005</v>
      </c>
      <c r="BF44" s="386">
        <f t="shared" si="48"/>
        <v>5078.7984000000006</v>
      </c>
      <c r="BG44" s="386">
        <f t="shared" si="49"/>
        <v>306.68456000000003</v>
      </c>
      <c r="BH44" s="386">
        <f t="shared" si="50"/>
        <v>208.4264</v>
      </c>
      <c r="BI44" s="386">
        <f t="shared" si="51"/>
        <v>0</v>
      </c>
      <c r="BJ44" s="386">
        <f t="shared" si="52"/>
        <v>89.325599999999994</v>
      </c>
      <c r="BK44" s="386">
        <f t="shared" si="53"/>
        <v>0</v>
      </c>
      <c r="BL44" s="386">
        <f t="shared" si="32"/>
        <v>8937.2389600000006</v>
      </c>
      <c r="BM44" s="386">
        <f t="shared" si="33"/>
        <v>0</v>
      </c>
      <c r="BN44" s="386">
        <f t="shared" si="54"/>
        <v>11650</v>
      </c>
      <c r="BO44" s="386">
        <f t="shared" si="55"/>
        <v>0</v>
      </c>
      <c r="BP44" s="386">
        <f t="shared" si="56"/>
        <v>2637.232</v>
      </c>
      <c r="BQ44" s="386">
        <f t="shared" si="57"/>
        <v>616.77200000000005</v>
      </c>
      <c r="BR44" s="386">
        <f t="shared" si="58"/>
        <v>5078.7984000000006</v>
      </c>
      <c r="BS44" s="386">
        <f t="shared" si="59"/>
        <v>306.68456000000003</v>
      </c>
      <c r="BT44" s="386">
        <f t="shared" si="60"/>
        <v>0</v>
      </c>
      <c r="BU44" s="386">
        <f t="shared" si="61"/>
        <v>0</v>
      </c>
      <c r="BV44" s="386">
        <f t="shared" si="62"/>
        <v>76.564799999999991</v>
      </c>
      <c r="BW44" s="386">
        <f t="shared" si="63"/>
        <v>0</v>
      </c>
      <c r="BX44" s="386">
        <f t="shared" si="34"/>
        <v>8716.0517600000003</v>
      </c>
      <c r="BY44" s="386">
        <f t="shared" si="35"/>
        <v>0</v>
      </c>
      <c r="BZ44" s="386">
        <f t="shared" si="36"/>
        <v>0</v>
      </c>
      <c r="CA44" s="386">
        <f t="shared" si="37"/>
        <v>0</v>
      </c>
      <c r="CB44" s="386">
        <f t="shared" si="38"/>
        <v>0</v>
      </c>
      <c r="CC44" s="386">
        <f t="shared" si="64"/>
        <v>0</v>
      </c>
      <c r="CD44" s="386">
        <f t="shared" si="65"/>
        <v>0</v>
      </c>
      <c r="CE44" s="386">
        <f t="shared" si="66"/>
        <v>0</v>
      </c>
      <c r="CF44" s="386">
        <f t="shared" si="67"/>
        <v>-208.4264</v>
      </c>
      <c r="CG44" s="386">
        <f t="shared" si="68"/>
        <v>0</v>
      </c>
      <c r="CH44" s="386">
        <f t="shared" si="69"/>
        <v>-12.760799999999996</v>
      </c>
      <c r="CI44" s="386">
        <f t="shared" si="70"/>
        <v>0</v>
      </c>
      <c r="CJ44" s="386">
        <f t="shared" si="39"/>
        <v>-221.18719999999999</v>
      </c>
      <c r="CK44" s="386" t="str">
        <f t="shared" si="40"/>
        <v/>
      </c>
      <c r="CL44" s="386" t="str">
        <f t="shared" si="41"/>
        <v/>
      </c>
      <c r="CM44" s="386" t="str">
        <f t="shared" si="42"/>
        <v/>
      </c>
      <c r="CN44" s="386" t="str">
        <f t="shared" si="43"/>
        <v>0001-00</v>
      </c>
    </row>
    <row r="45" spans="1:92" ht="15.75" thickBot="1" x14ac:dyDescent="0.3">
      <c r="A45" s="376" t="s">
        <v>161</v>
      </c>
      <c r="B45" s="376" t="s">
        <v>162</v>
      </c>
      <c r="C45" s="376" t="s">
        <v>358</v>
      </c>
      <c r="D45" s="376" t="s">
        <v>291</v>
      </c>
      <c r="E45" s="376" t="s">
        <v>165</v>
      </c>
      <c r="F45" s="377" t="s">
        <v>166</v>
      </c>
      <c r="G45" s="376" t="s">
        <v>282</v>
      </c>
      <c r="H45" s="378"/>
      <c r="I45" s="378"/>
      <c r="J45" s="376" t="s">
        <v>168</v>
      </c>
      <c r="K45" s="376" t="s">
        <v>303</v>
      </c>
      <c r="L45" s="376" t="s">
        <v>304</v>
      </c>
      <c r="M45" s="376" t="s">
        <v>171</v>
      </c>
      <c r="N45" s="376" t="s">
        <v>172</v>
      </c>
      <c r="O45" s="379">
        <v>1</v>
      </c>
      <c r="P45" s="384">
        <v>1</v>
      </c>
      <c r="Q45" s="384">
        <v>1</v>
      </c>
      <c r="R45" s="380">
        <v>80</v>
      </c>
      <c r="S45" s="384">
        <v>1</v>
      </c>
      <c r="T45" s="380">
        <v>48588.51</v>
      </c>
      <c r="U45" s="380">
        <v>0</v>
      </c>
      <c r="V45" s="380">
        <v>21349.599999999999</v>
      </c>
      <c r="W45" s="380">
        <v>58240</v>
      </c>
      <c r="X45" s="380">
        <v>23886.79</v>
      </c>
      <c r="Y45" s="380">
        <v>58240</v>
      </c>
      <c r="Z45" s="380">
        <v>23583.95</v>
      </c>
      <c r="AA45" s="376" t="s">
        <v>359</v>
      </c>
      <c r="AB45" s="376" t="s">
        <v>360</v>
      </c>
      <c r="AC45" s="376" t="s">
        <v>361</v>
      </c>
      <c r="AD45" s="376" t="s">
        <v>265</v>
      </c>
      <c r="AE45" s="376" t="s">
        <v>303</v>
      </c>
      <c r="AF45" s="376" t="s">
        <v>177</v>
      </c>
      <c r="AG45" s="376" t="s">
        <v>178</v>
      </c>
      <c r="AH45" s="379">
        <v>28</v>
      </c>
      <c r="AI45" s="381">
        <v>3078.5</v>
      </c>
      <c r="AJ45" s="376" t="s">
        <v>179</v>
      </c>
      <c r="AK45" s="376" t="s">
        <v>180</v>
      </c>
      <c r="AL45" s="376" t="s">
        <v>170</v>
      </c>
      <c r="AM45" s="376" t="s">
        <v>181</v>
      </c>
      <c r="AN45" s="376" t="s">
        <v>68</v>
      </c>
      <c r="AO45" s="379">
        <v>80</v>
      </c>
      <c r="AP45" s="384">
        <v>1</v>
      </c>
      <c r="AQ45" s="384">
        <v>1</v>
      </c>
      <c r="AR45" s="382" t="s">
        <v>182</v>
      </c>
      <c r="AS45" s="386">
        <f t="shared" si="27"/>
        <v>1</v>
      </c>
      <c r="AT45">
        <f t="shared" si="28"/>
        <v>1</v>
      </c>
      <c r="AU45" s="386">
        <f>IF(AT45=0,"",IF(AND(AT45=1,M45="F",SUMIF(C2:C167,C45,AS2:AS167)&lt;=1),SUMIF(C2:C167,C45,AS2:AS167),IF(AND(AT45=1,M45="F",SUMIF(C2:C167,C45,AS2:AS167)&gt;1),1,"")))</f>
        <v>1</v>
      </c>
      <c r="AV45" s="386" t="str">
        <f>IF(AT45=0,"",IF(AND(AT45=3,M45="F",SUMIF(C2:C167,C45,AS2:AS167)&lt;=1),SUMIF(C2:C167,C45,AS2:AS167),IF(AND(AT45=3,M45="F",SUMIF(C2:C167,C45,AS2:AS167)&gt;1),1,"")))</f>
        <v/>
      </c>
      <c r="AW45" s="386">
        <f>SUMIF(C2:C167,C45,O2:O167)</f>
        <v>2</v>
      </c>
      <c r="AX45" s="386">
        <f>IF(AND(M45="F",AS45&lt;&gt;0),SUMIF(C2:C167,C45,W2:W167),0)</f>
        <v>58240</v>
      </c>
      <c r="AY45" s="386">
        <f t="shared" si="29"/>
        <v>58240</v>
      </c>
      <c r="AZ45" s="386" t="str">
        <f t="shared" si="30"/>
        <v/>
      </c>
      <c r="BA45" s="386">
        <f t="shared" si="31"/>
        <v>0</v>
      </c>
      <c r="BB45" s="386">
        <f t="shared" si="44"/>
        <v>11650</v>
      </c>
      <c r="BC45" s="386">
        <f t="shared" si="45"/>
        <v>0</v>
      </c>
      <c r="BD45" s="386">
        <f t="shared" si="46"/>
        <v>3610.88</v>
      </c>
      <c r="BE45" s="386">
        <f t="shared" si="47"/>
        <v>844.48</v>
      </c>
      <c r="BF45" s="386">
        <f t="shared" si="48"/>
        <v>6953.8560000000007</v>
      </c>
      <c r="BG45" s="386">
        <f t="shared" si="49"/>
        <v>419.91040000000004</v>
      </c>
      <c r="BH45" s="386">
        <f t="shared" si="50"/>
        <v>285.37599999999998</v>
      </c>
      <c r="BI45" s="386">
        <f t="shared" si="51"/>
        <v>0</v>
      </c>
      <c r="BJ45" s="386">
        <f t="shared" si="52"/>
        <v>122.30399999999999</v>
      </c>
      <c r="BK45" s="386">
        <f t="shared" si="53"/>
        <v>0</v>
      </c>
      <c r="BL45" s="386">
        <f t="shared" si="32"/>
        <v>12236.806400000001</v>
      </c>
      <c r="BM45" s="386">
        <f t="shared" si="33"/>
        <v>0</v>
      </c>
      <c r="BN45" s="386">
        <f t="shared" si="54"/>
        <v>11650</v>
      </c>
      <c r="BO45" s="386">
        <f t="shared" si="55"/>
        <v>0</v>
      </c>
      <c r="BP45" s="386">
        <f t="shared" si="56"/>
        <v>3610.88</v>
      </c>
      <c r="BQ45" s="386">
        <f t="shared" si="57"/>
        <v>844.48</v>
      </c>
      <c r="BR45" s="386">
        <f t="shared" si="58"/>
        <v>6953.8560000000007</v>
      </c>
      <c r="BS45" s="386">
        <f t="shared" si="59"/>
        <v>419.91040000000004</v>
      </c>
      <c r="BT45" s="386">
        <f t="shared" si="60"/>
        <v>0</v>
      </c>
      <c r="BU45" s="386">
        <f t="shared" si="61"/>
        <v>0</v>
      </c>
      <c r="BV45" s="386">
        <f t="shared" si="62"/>
        <v>104.83199999999999</v>
      </c>
      <c r="BW45" s="386">
        <f t="shared" si="63"/>
        <v>0</v>
      </c>
      <c r="BX45" s="386">
        <f t="shared" si="34"/>
        <v>11933.958400000001</v>
      </c>
      <c r="BY45" s="386">
        <f t="shared" si="35"/>
        <v>0</v>
      </c>
      <c r="BZ45" s="386">
        <f t="shared" si="36"/>
        <v>0</v>
      </c>
      <c r="CA45" s="386">
        <f t="shared" si="37"/>
        <v>0</v>
      </c>
      <c r="CB45" s="386">
        <f t="shared" si="38"/>
        <v>0</v>
      </c>
      <c r="CC45" s="386">
        <f t="shared" si="64"/>
        <v>0</v>
      </c>
      <c r="CD45" s="386">
        <f t="shared" si="65"/>
        <v>0</v>
      </c>
      <c r="CE45" s="386">
        <f t="shared" si="66"/>
        <v>0</v>
      </c>
      <c r="CF45" s="386">
        <f t="shared" si="67"/>
        <v>-285.37599999999998</v>
      </c>
      <c r="CG45" s="386">
        <f t="shared" si="68"/>
        <v>0</v>
      </c>
      <c r="CH45" s="386">
        <f t="shared" si="69"/>
        <v>-17.471999999999994</v>
      </c>
      <c r="CI45" s="386">
        <f t="shared" si="70"/>
        <v>0</v>
      </c>
      <c r="CJ45" s="386">
        <f t="shared" si="39"/>
        <v>-302.84799999999996</v>
      </c>
      <c r="CK45" s="386" t="str">
        <f t="shared" si="40"/>
        <v/>
      </c>
      <c r="CL45" s="386" t="str">
        <f t="shared" si="41"/>
        <v/>
      </c>
      <c r="CM45" s="386" t="str">
        <f t="shared" si="42"/>
        <v/>
      </c>
      <c r="CN45" s="386" t="str">
        <f t="shared" si="43"/>
        <v>0001-00</v>
      </c>
    </row>
    <row r="46" spans="1:92" ht="15.75" thickBot="1" x14ac:dyDescent="0.3">
      <c r="A46" s="376" t="s">
        <v>161</v>
      </c>
      <c r="B46" s="376" t="s">
        <v>162</v>
      </c>
      <c r="C46" s="376" t="s">
        <v>362</v>
      </c>
      <c r="D46" s="376" t="s">
        <v>291</v>
      </c>
      <c r="E46" s="376" t="s">
        <v>165</v>
      </c>
      <c r="F46" s="377" t="s">
        <v>166</v>
      </c>
      <c r="G46" s="376" t="s">
        <v>282</v>
      </c>
      <c r="H46" s="378"/>
      <c r="I46" s="378"/>
      <c r="J46" s="376" t="s">
        <v>168</v>
      </c>
      <c r="K46" s="376" t="s">
        <v>292</v>
      </c>
      <c r="L46" s="376" t="s">
        <v>289</v>
      </c>
      <c r="M46" s="376" t="s">
        <v>171</v>
      </c>
      <c r="N46" s="376" t="s">
        <v>172</v>
      </c>
      <c r="O46" s="379">
        <v>1</v>
      </c>
      <c r="P46" s="384">
        <v>1</v>
      </c>
      <c r="Q46" s="384">
        <v>1</v>
      </c>
      <c r="R46" s="380">
        <v>80</v>
      </c>
      <c r="S46" s="384">
        <v>1</v>
      </c>
      <c r="T46" s="380">
        <v>56113.39</v>
      </c>
      <c r="U46" s="380">
        <v>0</v>
      </c>
      <c r="V46" s="380">
        <v>22449.55</v>
      </c>
      <c r="W46" s="380">
        <v>64480</v>
      </c>
      <c r="X46" s="380">
        <v>25197.88</v>
      </c>
      <c r="Y46" s="380">
        <v>64480</v>
      </c>
      <c r="Z46" s="380">
        <v>24862.59</v>
      </c>
      <c r="AA46" s="376" t="s">
        <v>363</v>
      </c>
      <c r="AB46" s="376" t="s">
        <v>364</v>
      </c>
      <c r="AC46" s="376" t="s">
        <v>365</v>
      </c>
      <c r="AD46" s="376" t="s">
        <v>264</v>
      </c>
      <c r="AE46" s="376" t="s">
        <v>292</v>
      </c>
      <c r="AF46" s="376" t="s">
        <v>177</v>
      </c>
      <c r="AG46" s="376" t="s">
        <v>178</v>
      </c>
      <c r="AH46" s="379">
        <v>31</v>
      </c>
      <c r="AI46" s="381">
        <v>19088.8</v>
      </c>
      <c r="AJ46" s="376" t="s">
        <v>179</v>
      </c>
      <c r="AK46" s="376" t="s">
        <v>180</v>
      </c>
      <c r="AL46" s="376" t="s">
        <v>170</v>
      </c>
      <c r="AM46" s="376" t="s">
        <v>181</v>
      </c>
      <c r="AN46" s="376" t="s">
        <v>68</v>
      </c>
      <c r="AO46" s="379">
        <v>80</v>
      </c>
      <c r="AP46" s="384">
        <v>1</v>
      </c>
      <c r="AQ46" s="384">
        <v>1</v>
      </c>
      <c r="AR46" s="382" t="s">
        <v>182</v>
      </c>
      <c r="AS46" s="386">
        <f t="shared" si="27"/>
        <v>1</v>
      </c>
      <c r="AT46">
        <f t="shared" si="28"/>
        <v>1</v>
      </c>
      <c r="AU46" s="386">
        <f>IF(AT46=0,"",IF(AND(AT46=1,M46="F",SUMIF(C2:C167,C46,AS2:AS167)&lt;=1),SUMIF(C2:C167,C46,AS2:AS167),IF(AND(AT46=1,M46="F",SUMIF(C2:C167,C46,AS2:AS167)&gt;1),1,"")))</f>
        <v>1</v>
      </c>
      <c r="AV46" s="386" t="str">
        <f>IF(AT46=0,"",IF(AND(AT46=3,M46="F",SUMIF(C2:C167,C46,AS2:AS167)&lt;=1),SUMIF(C2:C167,C46,AS2:AS167),IF(AND(AT46=3,M46="F",SUMIF(C2:C167,C46,AS2:AS167)&gt;1),1,"")))</f>
        <v/>
      </c>
      <c r="AW46" s="386">
        <f>SUMIF(C2:C167,C46,O2:O167)</f>
        <v>2</v>
      </c>
      <c r="AX46" s="386">
        <f>IF(AND(M46="F",AS46&lt;&gt;0),SUMIF(C2:C167,C46,W2:W167),0)</f>
        <v>64480</v>
      </c>
      <c r="AY46" s="386">
        <f t="shared" si="29"/>
        <v>64480</v>
      </c>
      <c r="AZ46" s="386" t="str">
        <f t="shared" si="30"/>
        <v/>
      </c>
      <c r="BA46" s="386">
        <f t="shared" si="31"/>
        <v>0</v>
      </c>
      <c r="BB46" s="386">
        <f t="shared" si="44"/>
        <v>11650</v>
      </c>
      <c r="BC46" s="386">
        <f t="shared" si="45"/>
        <v>0</v>
      </c>
      <c r="BD46" s="386">
        <f t="shared" si="46"/>
        <v>3997.7599999999998</v>
      </c>
      <c r="BE46" s="386">
        <f t="shared" si="47"/>
        <v>934.96</v>
      </c>
      <c r="BF46" s="386">
        <f t="shared" si="48"/>
        <v>7698.9120000000003</v>
      </c>
      <c r="BG46" s="386">
        <f t="shared" si="49"/>
        <v>464.9008</v>
      </c>
      <c r="BH46" s="386">
        <f t="shared" si="50"/>
        <v>315.952</v>
      </c>
      <c r="BI46" s="386">
        <f t="shared" si="51"/>
        <v>0</v>
      </c>
      <c r="BJ46" s="386">
        <f t="shared" si="52"/>
        <v>135.40799999999999</v>
      </c>
      <c r="BK46" s="386">
        <f t="shared" si="53"/>
        <v>0</v>
      </c>
      <c r="BL46" s="386">
        <f t="shared" si="32"/>
        <v>13547.892799999998</v>
      </c>
      <c r="BM46" s="386">
        <f t="shared" si="33"/>
        <v>0</v>
      </c>
      <c r="BN46" s="386">
        <f t="shared" si="54"/>
        <v>11650</v>
      </c>
      <c r="BO46" s="386">
        <f t="shared" si="55"/>
        <v>0</v>
      </c>
      <c r="BP46" s="386">
        <f t="shared" si="56"/>
        <v>3997.7599999999998</v>
      </c>
      <c r="BQ46" s="386">
        <f t="shared" si="57"/>
        <v>934.96</v>
      </c>
      <c r="BR46" s="386">
        <f t="shared" si="58"/>
        <v>7698.9120000000003</v>
      </c>
      <c r="BS46" s="386">
        <f t="shared" si="59"/>
        <v>464.9008</v>
      </c>
      <c r="BT46" s="386">
        <f t="shared" si="60"/>
        <v>0</v>
      </c>
      <c r="BU46" s="386">
        <f t="shared" si="61"/>
        <v>0</v>
      </c>
      <c r="BV46" s="386">
        <f t="shared" si="62"/>
        <v>116.06399999999999</v>
      </c>
      <c r="BW46" s="386">
        <f t="shared" si="63"/>
        <v>0</v>
      </c>
      <c r="BX46" s="386">
        <f t="shared" si="34"/>
        <v>13212.596799999999</v>
      </c>
      <c r="BY46" s="386">
        <f t="shared" si="35"/>
        <v>0</v>
      </c>
      <c r="BZ46" s="386">
        <f t="shared" si="36"/>
        <v>0</v>
      </c>
      <c r="CA46" s="386">
        <f t="shared" si="37"/>
        <v>0</v>
      </c>
      <c r="CB46" s="386">
        <f t="shared" si="38"/>
        <v>0</v>
      </c>
      <c r="CC46" s="386">
        <f t="shared" si="64"/>
        <v>0</v>
      </c>
      <c r="CD46" s="386">
        <f t="shared" si="65"/>
        <v>0</v>
      </c>
      <c r="CE46" s="386">
        <f t="shared" si="66"/>
        <v>0</v>
      </c>
      <c r="CF46" s="386">
        <f t="shared" si="67"/>
        <v>-315.952</v>
      </c>
      <c r="CG46" s="386">
        <f t="shared" si="68"/>
        <v>0</v>
      </c>
      <c r="CH46" s="386">
        <f t="shared" si="69"/>
        <v>-19.343999999999994</v>
      </c>
      <c r="CI46" s="386">
        <f t="shared" si="70"/>
        <v>0</v>
      </c>
      <c r="CJ46" s="386">
        <f t="shared" si="39"/>
        <v>-335.29599999999999</v>
      </c>
      <c r="CK46" s="386" t="str">
        <f t="shared" si="40"/>
        <v/>
      </c>
      <c r="CL46" s="386" t="str">
        <f t="shared" si="41"/>
        <v/>
      </c>
      <c r="CM46" s="386" t="str">
        <f t="shared" si="42"/>
        <v/>
      </c>
      <c r="CN46" s="386" t="str">
        <f t="shared" si="43"/>
        <v>0001-00</v>
      </c>
    </row>
    <row r="47" spans="1:92" ht="15.75" thickBot="1" x14ac:dyDescent="0.3">
      <c r="A47" s="376" t="s">
        <v>161</v>
      </c>
      <c r="B47" s="376" t="s">
        <v>162</v>
      </c>
      <c r="C47" s="376" t="s">
        <v>366</v>
      </c>
      <c r="D47" s="376" t="s">
        <v>291</v>
      </c>
      <c r="E47" s="376" t="s">
        <v>165</v>
      </c>
      <c r="F47" s="377" t="s">
        <v>166</v>
      </c>
      <c r="G47" s="376" t="s">
        <v>282</v>
      </c>
      <c r="H47" s="378"/>
      <c r="I47" s="378"/>
      <c r="J47" s="376" t="s">
        <v>168</v>
      </c>
      <c r="K47" s="376" t="s">
        <v>303</v>
      </c>
      <c r="L47" s="376" t="s">
        <v>304</v>
      </c>
      <c r="M47" s="376" t="s">
        <v>171</v>
      </c>
      <c r="N47" s="376" t="s">
        <v>172</v>
      </c>
      <c r="O47" s="379">
        <v>1</v>
      </c>
      <c r="P47" s="384">
        <v>1</v>
      </c>
      <c r="Q47" s="384">
        <v>1</v>
      </c>
      <c r="R47" s="380">
        <v>80</v>
      </c>
      <c r="S47" s="384">
        <v>1</v>
      </c>
      <c r="T47" s="380">
        <v>37166.410000000003</v>
      </c>
      <c r="U47" s="380">
        <v>0</v>
      </c>
      <c r="V47" s="380">
        <v>17777.86</v>
      </c>
      <c r="W47" s="380">
        <v>52000</v>
      </c>
      <c r="X47" s="380">
        <v>22575.72</v>
      </c>
      <c r="Y47" s="380">
        <v>52000</v>
      </c>
      <c r="Z47" s="380">
        <v>22305.32</v>
      </c>
      <c r="AA47" s="376" t="s">
        <v>367</v>
      </c>
      <c r="AB47" s="376" t="s">
        <v>368</v>
      </c>
      <c r="AC47" s="376" t="s">
        <v>369</v>
      </c>
      <c r="AD47" s="376" t="s">
        <v>289</v>
      </c>
      <c r="AE47" s="376" t="s">
        <v>303</v>
      </c>
      <c r="AF47" s="376" t="s">
        <v>177</v>
      </c>
      <c r="AG47" s="376" t="s">
        <v>178</v>
      </c>
      <c r="AH47" s="379">
        <v>25</v>
      </c>
      <c r="AI47" s="381">
        <v>23691.1</v>
      </c>
      <c r="AJ47" s="376" t="s">
        <v>179</v>
      </c>
      <c r="AK47" s="376" t="s">
        <v>180</v>
      </c>
      <c r="AL47" s="376" t="s">
        <v>170</v>
      </c>
      <c r="AM47" s="376" t="s">
        <v>181</v>
      </c>
      <c r="AN47" s="376" t="s">
        <v>68</v>
      </c>
      <c r="AO47" s="379">
        <v>80</v>
      </c>
      <c r="AP47" s="384">
        <v>1</v>
      </c>
      <c r="AQ47" s="384">
        <v>1</v>
      </c>
      <c r="AR47" s="382" t="s">
        <v>182</v>
      </c>
      <c r="AS47" s="386">
        <f t="shared" si="27"/>
        <v>1</v>
      </c>
      <c r="AT47">
        <f t="shared" si="28"/>
        <v>1</v>
      </c>
      <c r="AU47" s="386">
        <f>IF(AT47=0,"",IF(AND(AT47=1,M47="F",SUMIF(C2:C167,C47,AS2:AS167)&lt;=1),SUMIF(C2:C167,C47,AS2:AS167),IF(AND(AT47=1,M47="F",SUMIF(C2:C167,C47,AS2:AS167)&gt;1),1,"")))</f>
        <v>1</v>
      </c>
      <c r="AV47" s="386" t="str">
        <f>IF(AT47=0,"",IF(AND(AT47=3,M47="F",SUMIF(C2:C167,C47,AS2:AS167)&lt;=1),SUMIF(C2:C167,C47,AS2:AS167),IF(AND(AT47=3,M47="F",SUMIF(C2:C167,C47,AS2:AS167)&gt;1),1,"")))</f>
        <v/>
      </c>
      <c r="AW47" s="386">
        <f>SUMIF(C2:C167,C47,O2:O167)</f>
        <v>1</v>
      </c>
      <c r="AX47" s="386">
        <f>IF(AND(M47="F",AS47&lt;&gt;0),SUMIF(C2:C167,C47,W2:W167),0)</f>
        <v>52000</v>
      </c>
      <c r="AY47" s="386">
        <f t="shared" si="29"/>
        <v>52000</v>
      </c>
      <c r="AZ47" s="386" t="str">
        <f t="shared" si="30"/>
        <v/>
      </c>
      <c r="BA47" s="386">
        <f t="shared" si="31"/>
        <v>0</v>
      </c>
      <c r="BB47" s="386">
        <f t="shared" si="44"/>
        <v>11650</v>
      </c>
      <c r="BC47" s="386">
        <f t="shared" si="45"/>
        <v>0</v>
      </c>
      <c r="BD47" s="386">
        <f t="shared" si="46"/>
        <v>3224</v>
      </c>
      <c r="BE47" s="386">
        <f t="shared" si="47"/>
        <v>754</v>
      </c>
      <c r="BF47" s="386">
        <f t="shared" si="48"/>
        <v>6208.8</v>
      </c>
      <c r="BG47" s="386">
        <f t="shared" si="49"/>
        <v>374.92</v>
      </c>
      <c r="BH47" s="386">
        <f t="shared" si="50"/>
        <v>254.79999999999998</v>
      </c>
      <c r="BI47" s="386">
        <f t="shared" si="51"/>
        <v>0</v>
      </c>
      <c r="BJ47" s="386">
        <f t="shared" si="52"/>
        <v>109.19999999999999</v>
      </c>
      <c r="BK47" s="386">
        <f t="shared" si="53"/>
        <v>0</v>
      </c>
      <c r="BL47" s="386">
        <f t="shared" si="32"/>
        <v>10925.72</v>
      </c>
      <c r="BM47" s="386">
        <f t="shared" si="33"/>
        <v>0</v>
      </c>
      <c r="BN47" s="386">
        <f t="shared" si="54"/>
        <v>11650</v>
      </c>
      <c r="BO47" s="386">
        <f t="shared" si="55"/>
        <v>0</v>
      </c>
      <c r="BP47" s="386">
        <f t="shared" si="56"/>
        <v>3224</v>
      </c>
      <c r="BQ47" s="386">
        <f t="shared" si="57"/>
        <v>754</v>
      </c>
      <c r="BR47" s="386">
        <f t="shared" si="58"/>
        <v>6208.8</v>
      </c>
      <c r="BS47" s="386">
        <f t="shared" si="59"/>
        <v>374.92</v>
      </c>
      <c r="BT47" s="386">
        <f t="shared" si="60"/>
        <v>0</v>
      </c>
      <c r="BU47" s="386">
        <f t="shared" si="61"/>
        <v>0</v>
      </c>
      <c r="BV47" s="386">
        <f t="shared" si="62"/>
        <v>93.6</v>
      </c>
      <c r="BW47" s="386">
        <f t="shared" si="63"/>
        <v>0</v>
      </c>
      <c r="BX47" s="386">
        <f t="shared" si="34"/>
        <v>10655.32</v>
      </c>
      <c r="BY47" s="386">
        <f t="shared" si="35"/>
        <v>0</v>
      </c>
      <c r="BZ47" s="386">
        <f t="shared" si="36"/>
        <v>0</v>
      </c>
      <c r="CA47" s="386">
        <f t="shared" si="37"/>
        <v>0</v>
      </c>
      <c r="CB47" s="386">
        <f t="shared" si="38"/>
        <v>0</v>
      </c>
      <c r="CC47" s="386">
        <f t="shared" si="64"/>
        <v>0</v>
      </c>
      <c r="CD47" s="386">
        <f t="shared" si="65"/>
        <v>0</v>
      </c>
      <c r="CE47" s="386">
        <f t="shared" si="66"/>
        <v>0</v>
      </c>
      <c r="CF47" s="386">
        <f t="shared" si="67"/>
        <v>-254.79999999999998</v>
      </c>
      <c r="CG47" s="386">
        <f t="shared" si="68"/>
        <v>0</v>
      </c>
      <c r="CH47" s="386">
        <f t="shared" si="69"/>
        <v>-15.599999999999996</v>
      </c>
      <c r="CI47" s="386">
        <f t="shared" si="70"/>
        <v>0</v>
      </c>
      <c r="CJ47" s="386">
        <f t="shared" si="39"/>
        <v>-270.39999999999998</v>
      </c>
      <c r="CK47" s="386" t="str">
        <f t="shared" si="40"/>
        <v/>
      </c>
      <c r="CL47" s="386" t="str">
        <f t="shared" si="41"/>
        <v/>
      </c>
      <c r="CM47" s="386" t="str">
        <f t="shared" si="42"/>
        <v/>
      </c>
      <c r="CN47" s="386" t="str">
        <f t="shared" si="43"/>
        <v>0001-00</v>
      </c>
    </row>
    <row r="48" spans="1:92" ht="15.75" thickBot="1" x14ac:dyDescent="0.3">
      <c r="A48" s="376" t="s">
        <v>161</v>
      </c>
      <c r="B48" s="376" t="s">
        <v>162</v>
      </c>
      <c r="C48" s="376" t="s">
        <v>370</v>
      </c>
      <c r="D48" s="376" t="s">
        <v>213</v>
      </c>
      <c r="E48" s="376" t="s">
        <v>165</v>
      </c>
      <c r="F48" s="377" t="s">
        <v>166</v>
      </c>
      <c r="G48" s="376" t="s">
        <v>282</v>
      </c>
      <c r="H48" s="378"/>
      <c r="I48" s="378"/>
      <c r="J48" s="376" t="s">
        <v>168</v>
      </c>
      <c r="K48" s="376" t="s">
        <v>214</v>
      </c>
      <c r="L48" s="376" t="s">
        <v>166</v>
      </c>
      <c r="M48" s="376" t="s">
        <v>171</v>
      </c>
      <c r="N48" s="376" t="s">
        <v>172</v>
      </c>
      <c r="O48" s="379">
        <v>1</v>
      </c>
      <c r="P48" s="384">
        <v>1</v>
      </c>
      <c r="Q48" s="384">
        <v>1</v>
      </c>
      <c r="R48" s="380">
        <v>80</v>
      </c>
      <c r="S48" s="384">
        <v>1</v>
      </c>
      <c r="T48" s="380">
        <v>121601.60000000001</v>
      </c>
      <c r="U48" s="380">
        <v>0</v>
      </c>
      <c r="V48" s="380">
        <v>35950.81</v>
      </c>
      <c r="W48" s="380">
        <v>123011.2</v>
      </c>
      <c r="X48" s="380">
        <v>37495.86</v>
      </c>
      <c r="Y48" s="380">
        <v>123011.2</v>
      </c>
      <c r="Z48" s="380">
        <v>36856.21</v>
      </c>
      <c r="AA48" s="376" t="s">
        <v>371</v>
      </c>
      <c r="AB48" s="376" t="s">
        <v>372</v>
      </c>
      <c r="AC48" s="376" t="s">
        <v>373</v>
      </c>
      <c r="AD48" s="376" t="s">
        <v>180</v>
      </c>
      <c r="AE48" s="376" t="s">
        <v>214</v>
      </c>
      <c r="AF48" s="376" t="s">
        <v>177</v>
      </c>
      <c r="AG48" s="376" t="s">
        <v>178</v>
      </c>
      <c r="AH48" s="381">
        <v>59.14</v>
      </c>
      <c r="AI48" s="379">
        <v>44118</v>
      </c>
      <c r="AJ48" s="376" t="s">
        <v>179</v>
      </c>
      <c r="AK48" s="376" t="s">
        <v>180</v>
      </c>
      <c r="AL48" s="376" t="s">
        <v>170</v>
      </c>
      <c r="AM48" s="376" t="s">
        <v>181</v>
      </c>
      <c r="AN48" s="376" t="s">
        <v>68</v>
      </c>
      <c r="AO48" s="379">
        <v>80</v>
      </c>
      <c r="AP48" s="384">
        <v>1</v>
      </c>
      <c r="AQ48" s="384">
        <v>1</v>
      </c>
      <c r="AR48" s="382" t="s">
        <v>182</v>
      </c>
      <c r="AS48" s="386">
        <f t="shared" si="27"/>
        <v>1</v>
      </c>
      <c r="AT48">
        <f t="shared" si="28"/>
        <v>1</v>
      </c>
      <c r="AU48" s="386">
        <f>IF(AT48=0,"",IF(AND(AT48=1,M48="F",SUMIF(C2:C167,C48,AS2:AS167)&lt;=1),SUMIF(C2:C167,C48,AS2:AS167),IF(AND(AT48=1,M48="F",SUMIF(C2:C167,C48,AS2:AS167)&gt;1),1,"")))</f>
        <v>1</v>
      </c>
      <c r="AV48" s="386" t="str">
        <f>IF(AT48=0,"",IF(AND(AT48=3,M48="F",SUMIF(C2:C167,C48,AS2:AS167)&lt;=1),SUMIF(C2:C167,C48,AS2:AS167),IF(AND(AT48=3,M48="F",SUMIF(C2:C167,C48,AS2:AS167)&gt;1),1,"")))</f>
        <v/>
      </c>
      <c r="AW48" s="386">
        <f>SUMIF(C2:C167,C48,O2:O167)</f>
        <v>1</v>
      </c>
      <c r="AX48" s="386">
        <f>IF(AND(M48="F",AS48&lt;&gt;0),SUMIF(C2:C167,C48,W2:W167),0)</f>
        <v>123011.2</v>
      </c>
      <c r="AY48" s="386">
        <f t="shared" si="29"/>
        <v>123011.2</v>
      </c>
      <c r="AZ48" s="386" t="str">
        <f t="shared" si="30"/>
        <v/>
      </c>
      <c r="BA48" s="386">
        <f t="shared" si="31"/>
        <v>0</v>
      </c>
      <c r="BB48" s="386">
        <f t="shared" si="44"/>
        <v>11650</v>
      </c>
      <c r="BC48" s="386">
        <f t="shared" si="45"/>
        <v>0</v>
      </c>
      <c r="BD48" s="386">
        <f t="shared" si="46"/>
        <v>7626.6943999999994</v>
      </c>
      <c r="BE48" s="386">
        <f t="shared" si="47"/>
        <v>1783.6624000000002</v>
      </c>
      <c r="BF48" s="386">
        <f t="shared" si="48"/>
        <v>14687.53728</v>
      </c>
      <c r="BG48" s="386">
        <f t="shared" si="49"/>
        <v>886.910752</v>
      </c>
      <c r="BH48" s="386">
        <f t="shared" si="50"/>
        <v>602.75487999999996</v>
      </c>
      <c r="BI48" s="386">
        <f t="shared" si="51"/>
        <v>0</v>
      </c>
      <c r="BJ48" s="386">
        <f t="shared" si="52"/>
        <v>258.32351999999997</v>
      </c>
      <c r="BK48" s="386">
        <f t="shared" si="53"/>
        <v>0</v>
      </c>
      <c r="BL48" s="386">
        <f t="shared" si="32"/>
        <v>25845.883232</v>
      </c>
      <c r="BM48" s="386">
        <f t="shared" si="33"/>
        <v>0</v>
      </c>
      <c r="BN48" s="386">
        <f t="shared" si="54"/>
        <v>11650</v>
      </c>
      <c r="BO48" s="386">
        <f t="shared" si="55"/>
        <v>0</v>
      </c>
      <c r="BP48" s="386">
        <f t="shared" si="56"/>
        <v>7626.6943999999994</v>
      </c>
      <c r="BQ48" s="386">
        <f t="shared" si="57"/>
        <v>1783.6624000000002</v>
      </c>
      <c r="BR48" s="386">
        <f t="shared" si="58"/>
        <v>14687.53728</v>
      </c>
      <c r="BS48" s="386">
        <f t="shared" si="59"/>
        <v>886.910752</v>
      </c>
      <c r="BT48" s="386">
        <f t="shared" si="60"/>
        <v>0</v>
      </c>
      <c r="BU48" s="386">
        <f t="shared" si="61"/>
        <v>0</v>
      </c>
      <c r="BV48" s="386">
        <f t="shared" si="62"/>
        <v>221.42015999999998</v>
      </c>
      <c r="BW48" s="386">
        <f t="shared" si="63"/>
        <v>0</v>
      </c>
      <c r="BX48" s="386">
        <f t="shared" si="34"/>
        <v>25206.224991999999</v>
      </c>
      <c r="BY48" s="386">
        <f t="shared" si="35"/>
        <v>0</v>
      </c>
      <c r="BZ48" s="386">
        <f t="shared" si="36"/>
        <v>0</v>
      </c>
      <c r="CA48" s="386">
        <f t="shared" si="37"/>
        <v>0</v>
      </c>
      <c r="CB48" s="386">
        <f t="shared" si="38"/>
        <v>0</v>
      </c>
      <c r="CC48" s="386">
        <f t="shared" si="64"/>
        <v>0</v>
      </c>
      <c r="CD48" s="386">
        <f t="shared" si="65"/>
        <v>0</v>
      </c>
      <c r="CE48" s="386">
        <f t="shared" si="66"/>
        <v>0</v>
      </c>
      <c r="CF48" s="386">
        <f t="shared" si="67"/>
        <v>-602.75487999999996</v>
      </c>
      <c r="CG48" s="386">
        <f t="shared" si="68"/>
        <v>0</v>
      </c>
      <c r="CH48" s="386">
        <f t="shared" si="69"/>
        <v>-36.903359999999992</v>
      </c>
      <c r="CI48" s="386">
        <f t="shared" si="70"/>
        <v>0</v>
      </c>
      <c r="CJ48" s="386">
        <f t="shared" si="39"/>
        <v>-639.65823999999998</v>
      </c>
      <c r="CK48" s="386" t="str">
        <f t="shared" si="40"/>
        <v/>
      </c>
      <c r="CL48" s="386" t="str">
        <f t="shared" si="41"/>
        <v/>
      </c>
      <c r="CM48" s="386" t="str">
        <f t="shared" si="42"/>
        <v/>
      </c>
      <c r="CN48" s="386" t="str">
        <f t="shared" si="43"/>
        <v>0001-00</v>
      </c>
    </row>
    <row r="49" spans="1:92" ht="15.75" thickBot="1" x14ac:dyDescent="0.3">
      <c r="A49" s="376" t="s">
        <v>161</v>
      </c>
      <c r="B49" s="376" t="s">
        <v>162</v>
      </c>
      <c r="C49" s="376" t="s">
        <v>362</v>
      </c>
      <c r="D49" s="376" t="s">
        <v>291</v>
      </c>
      <c r="E49" s="376" t="s">
        <v>374</v>
      </c>
      <c r="F49" s="377" t="s">
        <v>166</v>
      </c>
      <c r="G49" s="376" t="s">
        <v>375</v>
      </c>
      <c r="H49" s="378"/>
      <c r="I49" s="378"/>
      <c r="J49" s="376" t="s">
        <v>168</v>
      </c>
      <c r="K49" s="376" t="s">
        <v>292</v>
      </c>
      <c r="L49" s="376" t="s">
        <v>289</v>
      </c>
      <c r="M49" s="376" t="s">
        <v>171</v>
      </c>
      <c r="N49" s="376" t="s">
        <v>172</v>
      </c>
      <c r="O49" s="379">
        <v>1</v>
      </c>
      <c r="P49" s="384">
        <v>0</v>
      </c>
      <c r="Q49" s="384">
        <v>0</v>
      </c>
      <c r="R49" s="380">
        <v>80</v>
      </c>
      <c r="S49" s="384">
        <v>0</v>
      </c>
      <c r="T49" s="380">
        <v>1446.52</v>
      </c>
      <c r="U49" s="380">
        <v>0</v>
      </c>
      <c r="V49" s="380">
        <v>573.5</v>
      </c>
      <c r="W49" s="380">
        <v>0</v>
      </c>
      <c r="X49" s="380">
        <v>0</v>
      </c>
      <c r="Y49" s="380">
        <v>0</v>
      </c>
      <c r="Z49" s="380">
        <v>0</v>
      </c>
      <c r="AA49" s="376" t="s">
        <v>363</v>
      </c>
      <c r="AB49" s="376" t="s">
        <v>364</v>
      </c>
      <c r="AC49" s="376" t="s">
        <v>365</v>
      </c>
      <c r="AD49" s="376" t="s">
        <v>264</v>
      </c>
      <c r="AE49" s="376" t="s">
        <v>292</v>
      </c>
      <c r="AF49" s="376" t="s">
        <v>177</v>
      </c>
      <c r="AG49" s="376" t="s">
        <v>178</v>
      </c>
      <c r="AH49" s="379">
        <v>31</v>
      </c>
      <c r="AI49" s="381">
        <v>19088.8</v>
      </c>
      <c r="AJ49" s="376" t="s">
        <v>179</v>
      </c>
      <c r="AK49" s="376" t="s">
        <v>180</v>
      </c>
      <c r="AL49" s="376" t="s">
        <v>170</v>
      </c>
      <c r="AM49" s="376" t="s">
        <v>181</v>
      </c>
      <c r="AN49" s="376" t="s">
        <v>68</v>
      </c>
      <c r="AO49" s="379">
        <v>80</v>
      </c>
      <c r="AP49" s="384">
        <v>1</v>
      </c>
      <c r="AQ49" s="384">
        <v>0</v>
      </c>
      <c r="AR49" s="382" t="s">
        <v>182</v>
      </c>
      <c r="AS49" s="386">
        <f t="shared" si="27"/>
        <v>0</v>
      </c>
      <c r="AT49">
        <f t="shared" si="28"/>
        <v>0</v>
      </c>
      <c r="AU49" s="386" t="str">
        <f>IF(AT49=0,"",IF(AND(AT49=1,M49="F",SUMIF(C2:C167,C49,AS2:AS167)&lt;=1),SUMIF(C2:C167,C49,AS2:AS167),IF(AND(AT49=1,M49="F",SUMIF(C2:C167,C49,AS2:AS167)&gt;1),1,"")))</f>
        <v/>
      </c>
      <c r="AV49" s="386" t="str">
        <f>IF(AT49=0,"",IF(AND(AT49=3,M49="F",SUMIF(C2:C167,C49,AS2:AS167)&lt;=1),SUMIF(C2:C167,C49,AS2:AS167),IF(AND(AT49=3,M49="F",SUMIF(C2:C167,C49,AS2:AS167)&gt;1),1,"")))</f>
        <v/>
      </c>
      <c r="AW49" s="386">
        <f>SUMIF(C2:C167,C49,O2:O167)</f>
        <v>2</v>
      </c>
      <c r="AX49" s="386">
        <f>IF(AND(M49="F",AS49&lt;&gt;0),SUMIF(C2:C167,C49,W2:W167),0)</f>
        <v>0</v>
      </c>
      <c r="AY49" s="386" t="str">
        <f t="shared" si="29"/>
        <v/>
      </c>
      <c r="AZ49" s="386" t="str">
        <f t="shared" si="30"/>
        <v/>
      </c>
      <c r="BA49" s="386">
        <f t="shared" si="31"/>
        <v>0</v>
      </c>
      <c r="BB49" s="386">
        <f t="shared" si="44"/>
        <v>0</v>
      </c>
      <c r="BC49" s="386">
        <f t="shared" si="45"/>
        <v>0</v>
      </c>
      <c r="BD49" s="386">
        <f t="shared" si="46"/>
        <v>0</v>
      </c>
      <c r="BE49" s="386">
        <f t="shared" si="47"/>
        <v>0</v>
      </c>
      <c r="BF49" s="386">
        <f t="shared" si="48"/>
        <v>0</v>
      </c>
      <c r="BG49" s="386">
        <f t="shared" si="49"/>
        <v>0</v>
      </c>
      <c r="BH49" s="386">
        <f t="shared" si="50"/>
        <v>0</v>
      </c>
      <c r="BI49" s="386">
        <f t="shared" si="51"/>
        <v>0</v>
      </c>
      <c r="BJ49" s="386">
        <f t="shared" si="52"/>
        <v>0</v>
      </c>
      <c r="BK49" s="386">
        <f t="shared" si="53"/>
        <v>0</v>
      </c>
      <c r="BL49" s="386">
        <f t="shared" si="32"/>
        <v>0</v>
      </c>
      <c r="BM49" s="386">
        <f t="shared" si="33"/>
        <v>0</v>
      </c>
      <c r="BN49" s="386">
        <f t="shared" si="54"/>
        <v>0</v>
      </c>
      <c r="BO49" s="386">
        <f t="shared" si="55"/>
        <v>0</v>
      </c>
      <c r="BP49" s="386">
        <f t="shared" si="56"/>
        <v>0</v>
      </c>
      <c r="BQ49" s="386">
        <f t="shared" si="57"/>
        <v>0</v>
      </c>
      <c r="BR49" s="386">
        <f t="shared" si="58"/>
        <v>0</v>
      </c>
      <c r="BS49" s="386">
        <f t="shared" si="59"/>
        <v>0</v>
      </c>
      <c r="BT49" s="386">
        <f t="shared" si="60"/>
        <v>0</v>
      </c>
      <c r="BU49" s="386">
        <f t="shared" si="61"/>
        <v>0</v>
      </c>
      <c r="BV49" s="386">
        <f t="shared" si="62"/>
        <v>0</v>
      </c>
      <c r="BW49" s="386">
        <f t="shared" si="63"/>
        <v>0</v>
      </c>
      <c r="BX49" s="386">
        <f t="shared" si="34"/>
        <v>0</v>
      </c>
      <c r="BY49" s="386">
        <f t="shared" si="35"/>
        <v>0</v>
      </c>
      <c r="BZ49" s="386">
        <f t="shared" si="36"/>
        <v>0</v>
      </c>
      <c r="CA49" s="386">
        <f t="shared" si="37"/>
        <v>0</v>
      </c>
      <c r="CB49" s="386">
        <f t="shared" si="38"/>
        <v>0</v>
      </c>
      <c r="CC49" s="386">
        <f t="shared" si="64"/>
        <v>0</v>
      </c>
      <c r="CD49" s="386">
        <f t="shared" si="65"/>
        <v>0</v>
      </c>
      <c r="CE49" s="386">
        <f t="shared" si="66"/>
        <v>0</v>
      </c>
      <c r="CF49" s="386">
        <f t="shared" si="67"/>
        <v>0</v>
      </c>
      <c r="CG49" s="386">
        <f t="shared" si="68"/>
        <v>0</v>
      </c>
      <c r="CH49" s="386">
        <f t="shared" si="69"/>
        <v>0</v>
      </c>
      <c r="CI49" s="386">
        <f t="shared" si="70"/>
        <v>0</v>
      </c>
      <c r="CJ49" s="386">
        <f t="shared" si="39"/>
        <v>0</v>
      </c>
      <c r="CK49" s="386" t="str">
        <f t="shared" si="40"/>
        <v/>
      </c>
      <c r="CL49" s="386" t="str">
        <f t="shared" si="41"/>
        <v/>
      </c>
      <c r="CM49" s="386" t="str">
        <f t="shared" si="42"/>
        <v/>
      </c>
      <c r="CN49" s="386" t="str">
        <f t="shared" si="43"/>
        <v>0126-00</v>
      </c>
    </row>
    <row r="50" spans="1:92" ht="15.75" thickBot="1" x14ac:dyDescent="0.3">
      <c r="A50" s="376" t="s">
        <v>161</v>
      </c>
      <c r="B50" s="376" t="s">
        <v>162</v>
      </c>
      <c r="C50" s="376" t="s">
        <v>376</v>
      </c>
      <c r="D50" s="376" t="s">
        <v>377</v>
      </c>
      <c r="E50" s="376" t="s">
        <v>374</v>
      </c>
      <c r="F50" s="377" t="s">
        <v>166</v>
      </c>
      <c r="G50" s="376" t="s">
        <v>375</v>
      </c>
      <c r="H50" s="378"/>
      <c r="I50" s="378"/>
      <c r="J50" s="376" t="s">
        <v>168</v>
      </c>
      <c r="K50" s="376" t="s">
        <v>378</v>
      </c>
      <c r="L50" s="376" t="s">
        <v>166</v>
      </c>
      <c r="M50" s="376" t="s">
        <v>171</v>
      </c>
      <c r="N50" s="376" t="s">
        <v>172</v>
      </c>
      <c r="O50" s="379">
        <v>1</v>
      </c>
      <c r="P50" s="384">
        <v>0</v>
      </c>
      <c r="Q50" s="384">
        <v>0</v>
      </c>
      <c r="R50" s="380">
        <v>80</v>
      </c>
      <c r="S50" s="384">
        <v>0</v>
      </c>
      <c r="T50" s="380">
        <v>4146.04</v>
      </c>
      <c r="U50" s="380">
        <v>0</v>
      </c>
      <c r="V50" s="380">
        <v>1479.74</v>
      </c>
      <c r="W50" s="380">
        <v>0</v>
      </c>
      <c r="X50" s="380">
        <v>0</v>
      </c>
      <c r="Y50" s="380">
        <v>0</v>
      </c>
      <c r="Z50" s="380">
        <v>0</v>
      </c>
      <c r="AA50" s="376" t="s">
        <v>379</v>
      </c>
      <c r="AB50" s="376" t="s">
        <v>380</v>
      </c>
      <c r="AC50" s="376" t="s">
        <v>381</v>
      </c>
      <c r="AD50" s="376" t="s">
        <v>382</v>
      </c>
      <c r="AE50" s="376" t="s">
        <v>378</v>
      </c>
      <c r="AF50" s="376" t="s">
        <v>177</v>
      </c>
      <c r="AG50" s="376" t="s">
        <v>178</v>
      </c>
      <c r="AH50" s="381">
        <v>35.11</v>
      </c>
      <c r="AI50" s="379">
        <v>28879</v>
      </c>
      <c r="AJ50" s="376" t="s">
        <v>179</v>
      </c>
      <c r="AK50" s="376" t="s">
        <v>180</v>
      </c>
      <c r="AL50" s="376" t="s">
        <v>170</v>
      </c>
      <c r="AM50" s="376" t="s">
        <v>181</v>
      </c>
      <c r="AN50" s="376" t="s">
        <v>68</v>
      </c>
      <c r="AO50" s="379">
        <v>80</v>
      </c>
      <c r="AP50" s="384">
        <v>1</v>
      </c>
      <c r="AQ50" s="384">
        <v>0</v>
      </c>
      <c r="AR50" s="382" t="s">
        <v>182</v>
      </c>
      <c r="AS50" s="386">
        <f t="shared" si="27"/>
        <v>0</v>
      </c>
      <c r="AT50">
        <f t="shared" si="28"/>
        <v>0</v>
      </c>
      <c r="AU50" s="386" t="str">
        <f>IF(AT50=0,"",IF(AND(AT50=1,M50="F",SUMIF(C2:C167,C50,AS2:AS167)&lt;=1),SUMIF(C2:C167,C50,AS2:AS167),IF(AND(AT50=1,M50="F",SUMIF(C2:C167,C50,AS2:AS167)&gt;1),1,"")))</f>
        <v/>
      </c>
      <c r="AV50" s="386" t="str">
        <f>IF(AT50=0,"",IF(AND(AT50=3,M50="F",SUMIF(C2:C167,C50,AS2:AS167)&lt;=1),SUMIF(C2:C167,C50,AS2:AS167),IF(AND(AT50=3,M50="F",SUMIF(C2:C167,C50,AS2:AS167)&gt;1),1,"")))</f>
        <v/>
      </c>
      <c r="AW50" s="386">
        <f>SUMIF(C2:C167,C50,O2:O167)</f>
        <v>2</v>
      </c>
      <c r="AX50" s="386">
        <f>IF(AND(M50="F",AS50&lt;&gt;0),SUMIF(C2:C167,C50,W2:W167),0)</f>
        <v>0</v>
      </c>
      <c r="AY50" s="386" t="str">
        <f t="shared" si="29"/>
        <v/>
      </c>
      <c r="AZ50" s="386" t="str">
        <f t="shared" si="30"/>
        <v/>
      </c>
      <c r="BA50" s="386">
        <f t="shared" si="31"/>
        <v>0</v>
      </c>
      <c r="BB50" s="386">
        <f t="shared" si="44"/>
        <v>0</v>
      </c>
      <c r="BC50" s="386">
        <f t="shared" si="45"/>
        <v>0</v>
      </c>
      <c r="BD50" s="386">
        <f t="shared" si="46"/>
        <v>0</v>
      </c>
      <c r="BE50" s="386">
        <f t="shared" si="47"/>
        <v>0</v>
      </c>
      <c r="BF50" s="386">
        <f t="shared" si="48"/>
        <v>0</v>
      </c>
      <c r="BG50" s="386">
        <f t="shared" si="49"/>
        <v>0</v>
      </c>
      <c r="BH50" s="386">
        <f t="shared" si="50"/>
        <v>0</v>
      </c>
      <c r="BI50" s="386">
        <f t="shared" si="51"/>
        <v>0</v>
      </c>
      <c r="BJ50" s="386">
        <f t="shared" si="52"/>
        <v>0</v>
      </c>
      <c r="BK50" s="386">
        <f t="shared" si="53"/>
        <v>0</v>
      </c>
      <c r="BL50" s="386">
        <f t="shared" si="32"/>
        <v>0</v>
      </c>
      <c r="BM50" s="386">
        <f t="shared" si="33"/>
        <v>0</v>
      </c>
      <c r="BN50" s="386">
        <f t="shared" si="54"/>
        <v>0</v>
      </c>
      <c r="BO50" s="386">
        <f t="shared" si="55"/>
        <v>0</v>
      </c>
      <c r="BP50" s="386">
        <f t="shared" si="56"/>
        <v>0</v>
      </c>
      <c r="BQ50" s="386">
        <f t="shared" si="57"/>
        <v>0</v>
      </c>
      <c r="BR50" s="386">
        <f t="shared" si="58"/>
        <v>0</v>
      </c>
      <c r="BS50" s="386">
        <f t="shared" si="59"/>
        <v>0</v>
      </c>
      <c r="BT50" s="386">
        <f t="shared" si="60"/>
        <v>0</v>
      </c>
      <c r="BU50" s="386">
        <f t="shared" si="61"/>
        <v>0</v>
      </c>
      <c r="BV50" s="386">
        <f t="shared" si="62"/>
        <v>0</v>
      </c>
      <c r="BW50" s="386">
        <f t="shared" si="63"/>
        <v>0</v>
      </c>
      <c r="BX50" s="386">
        <f t="shared" si="34"/>
        <v>0</v>
      </c>
      <c r="BY50" s="386">
        <f t="shared" si="35"/>
        <v>0</v>
      </c>
      <c r="BZ50" s="386">
        <f t="shared" si="36"/>
        <v>0</v>
      </c>
      <c r="CA50" s="386">
        <f t="shared" si="37"/>
        <v>0</v>
      </c>
      <c r="CB50" s="386">
        <f t="shared" si="38"/>
        <v>0</v>
      </c>
      <c r="CC50" s="386">
        <f t="shared" si="64"/>
        <v>0</v>
      </c>
      <c r="CD50" s="386">
        <f t="shared" si="65"/>
        <v>0</v>
      </c>
      <c r="CE50" s="386">
        <f t="shared" si="66"/>
        <v>0</v>
      </c>
      <c r="CF50" s="386">
        <f t="shared" si="67"/>
        <v>0</v>
      </c>
      <c r="CG50" s="386">
        <f t="shared" si="68"/>
        <v>0</v>
      </c>
      <c r="CH50" s="386">
        <f t="shared" si="69"/>
        <v>0</v>
      </c>
      <c r="CI50" s="386">
        <f t="shared" si="70"/>
        <v>0</v>
      </c>
      <c r="CJ50" s="386">
        <f t="shared" si="39"/>
        <v>0</v>
      </c>
      <c r="CK50" s="386" t="str">
        <f t="shared" si="40"/>
        <v/>
      </c>
      <c r="CL50" s="386" t="str">
        <f t="shared" si="41"/>
        <v/>
      </c>
      <c r="CM50" s="386" t="str">
        <f t="shared" si="42"/>
        <v/>
      </c>
      <c r="CN50" s="386" t="str">
        <f t="shared" si="43"/>
        <v>0126-00</v>
      </c>
    </row>
    <row r="51" spans="1:92" ht="15.75" thickBot="1" x14ac:dyDescent="0.3">
      <c r="A51" s="376" t="s">
        <v>161</v>
      </c>
      <c r="B51" s="376" t="s">
        <v>162</v>
      </c>
      <c r="C51" s="376" t="s">
        <v>383</v>
      </c>
      <c r="D51" s="376" t="s">
        <v>384</v>
      </c>
      <c r="E51" s="376" t="s">
        <v>374</v>
      </c>
      <c r="F51" s="377" t="s">
        <v>166</v>
      </c>
      <c r="G51" s="376" t="s">
        <v>375</v>
      </c>
      <c r="H51" s="378"/>
      <c r="I51" s="378"/>
      <c r="J51" s="376" t="s">
        <v>168</v>
      </c>
      <c r="K51" s="376" t="s">
        <v>385</v>
      </c>
      <c r="L51" s="376" t="s">
        <v>166</v>
      </c>
      <c r="M51" s="376" t="s">
        <v>171</v>
      </c>
      <c r="N51" s="376" t="s">
        <v>172</v>
      </c>
      <c r="O51" s="379">
        <v>1</v>
      </c>
      <c r="P51" s="384">
        <v>0</v>
      </c>
      <c r="Q51" s="384">
        <v>0</v>
      </c>
      <c r="R51" s="380">
        <v>80</v>
      </c>
      <c r="S51" s="384">
        <v>0</v>
      </c>
      <c r="T51" s="380">
        <v>5967.84</v>
      </c>
      <c r="U51" s="380">
        <v>0</v>
      </c>
      <c r="V51" s="380">
        <v>1928.66</v>
      </c>
      <c r="W51" s="380">
        <v>0</v>
      </c>
      <c r="X51" s="380">
        <v>0</v>
      </c>
      <c r="Y51" s="380">
        <v>0</v>
      </c>
      <c r="Z51" s="380">
        <v>0</v>
      </c>
      <c r="AA51" s="376" t="s">
        <v>386</v>
      </c>
      <c r="AB51" s="376" t="s">
        <v>387</v>
      </c>
      <c r="AC51" s="376" t="s">
        <v>388</v>
      </c>
      <c r="AD51" s="376" t="s">
        <v>289</v>
      </c>
      <c r="AE51" s="376" t="s">
        <v>385</v>
      </c>
      <c r="AF51" s="376" t="s">
        <v>177</v>
      </c>
      <c r="AG51" s="376" t="s">
        <v>178</v>
      </c>
      <c r="AH51" s="381">
        <v>41.78</v>
      </c>
      <c r="AI51" s="381">
        <v>52382.6</v>
      </c>
      <c r="AJ51" s="376" t="s">
        <v>179</v>
      </c>
      <c r="AK51" s="376" t="s">
        <v>180</v>
      </c>
      <c r="AL51" s="376" t="s">
        <v>170</v>
      </c>
      <c r="AM51" s="376" t="s">
        <v>181</v>
      </c>
      <c r="AN51" s="376" t="s">
        <v>68</v>
      </c>
      <c r="AO51" s="379">
        <v>80</v>
      </c>
      <c r="AP51" s="384">
        <v>1</v>
      </c>
      <c r="AQ51" s="384">
        <v>0</v>
      </c>
      <c r="AR51" s="382" t="s">
        <v>182</v>
      </c>
      <c r="AS51" s="386">
        <f t="shared" si="27"/>
        <v>0</v>
      </c>
      <c r="AT51">
        <f t="shared" si="28"/>
        <v>0</v>
      </c>
      <c r="AU51" s="386" t="str">
        <f>IF(AT51=0,"",IF(AND(AT51=1,M51="F",SUMIF(C2:C167,C51,AS2:AS167)&lt;=1),SUMIF(C2:C167,C51,AS2:AS167),IF(AND(AT51=1,M51="F",SUMIF(C2:C167,C51,AS2:AS167)&gt;1),1,"")))</f>
        <v/>
      </c>
      <c r="AV51" s="386" t="str">
        <f>IF(AT51=0,"",IF(AND(AT51=3,M51="F",SUMIF(C2:C167,C51,AS2:AS167)&lt;=1),SUMIF(C2:C167,C51,AS2:AS167),IF(AND(AT51=3,M51="F",SUMIF(C2:C167,C51,AS2:AS167)&gt;1),1,"")))</f>
        <v/>
      </c>
      <c r="AW51" s="386">
        <f>SUMIF(C2:C167,C51,O2:O167)</f>
        <v>2</v>
      </c>
      <c r="AX51" s="386">
        <f>IF(AND(M51="F",AS51&lt;&gt;0),SUMIF(C2:C167,C51,W2:W167),0)</f>
        <v>0</v>
      </c>
      <c r="AY51" s="386" t="str">
        <f t="shared" si="29"/>
        <v/>
      </c>
      <c r="AZ51" s="386" t="str">
        <f t="shared" si="30"/>
        <v/>
      </c>
      <c r="BA51" s="386">
        <f t="shared" si="31"/>
        <v>0</v>
      </c>
      <c r="BB51" s="386">
        <f t="shared" si="44"/>
        <v>0</v>
      </c>
      <c r="BC51" s="386">
        <f t="shared" si="45"/>
        <v>0</v>
      </c>
      <c r="BD51" s="386">
        <f t="shared" si="46"/>
        <v>0</v>
      </c>
      <c r="BE51" s="386">
        <f t="shared" si="47"/>
        <v>0</v>
      </c>
      <c r="BF51" s="386">
        <f t="shared" si="48"/>
        <v>0</v>
      </c>
      <c r="BG51" s="386">
        <f t="shared" si="49"/>
        <v>0</v>
      </c>
      <c r="BH51" s="386">
        <f t="shared" si="50"/>
        <v>0</v>
      </c>
      <c r="BI51" s="386">
        <f t="shared" si="51"/>
        <v>0</v>
      </c>
      <c r="BJ51" s="386">
        <f t="shared" si="52"/>
        <v>0</v>
      </c>
      <c r="BK51" s="386">
        <f t="shared" si="53"/>
        <v>0</v>
      </c>
      <c r="BL51" s="386">
        <f t="shared" si="32"/>
        <v>0</v>
      </c>
      <c r="BM51" s="386">
        <f t="shared" si="33"/>
        <v>0</v>
      </c>
      <c r="BN51" s="386">
        <f t="shared" si="54"/>
        <v>0</v>
      </c>
      <c r="BO51" s="386">
        <f t="shared" si="55"/>
        <v>0</v>
      </c>
      <c r="BP51" s="386">
        <f t="shared" si="56"/>
        <v>0</v>
      </c>
      <c r="BQ51" s="386">
        <f t="shared" si="57"/>
        <v>0</v>
      </c>
      <c r="BR51" s="386">
        <f t="shared" si="58"/>
        <v>0</v>
      </c>
      <c r="BS51" s="386">
        <f t="shared" si="59"/>
        <v>0</v>
      </c>
      <c r="BT51" s="386">
        <f t="shared" si="60"/>
        <v>0</v>
      </c>
      <c r="BU51" s="386">
        <f t="shared" si="61"/>
        <v>0</v>
      </c>
      <c r="BV51" s="386">
        <f t="shared" si="62"/>
        <v>0</v>
      </c>
      <c r="BW51" s="386">
        <f t="shared" si="63"/>
        <v>0</v>
      </c>
      <c r="BX51" s="386">
        <f t="shared" si="34"/>
        <v>0</v>
      </c>
      <c r="BY51" s="386">
        <f t="shared" si="35"/>
        <v>0</v>
      </c>
      <c r="BZ51" s="386">
        <f t="shared" si="36"/>
        <v>0</v>
      </c>
      <c r="CA51" s="386">
        <f t="shared" si="37"/>
        <v>0</v>
      </c>
      <c r="CB51" s="386">
        <f t="shared" si="38"/>
        <v>0</v>
      </c>
      <c r="CC51" s="386">
        <f t="shared" si="64"/>
        <v>0</v>
      </c>
      <c r="CD51" s="386">
        <f t="shared" si="65"/>
        <v>0</v>
      </c>
      <c r="CE51" s="386">
        <f t="shared" si="66"/>
        <v>0</v>
      </c>
      <c r="CF51" s="386">
        <f t="shared" si="67"/>
        <v>0</v>
      </c>
      <c r="CG51" s="386">
        <f t="shared" si="68"/>
        <v>0</v>
      </c>
      <c r="CH51" s="386">
        <f t="shared" si="69"/>
        <v>0</v>
      </c>
      <c r="CI51" s="386">
        <f t="shared" si="70"/>
        <v>0</v>
      </c>
      <c r="CJ51" s="386">
        <f t="shared" si="39"/>
        <v>0</v>
      </c>
      <c r="CK51" s="386" t="str">
        <f t="shared" si="40"/>
        <v/>
      </c>
      <c r="CL51" s="386" t="str">
        <f t="shared" si="41"/>
        <v/>
      </c>
      <c r="CM51" s="386" t="str">
        <f t="shared" si="42"/>
        <v/>
      </c>
      <c r="CN51" s="386" t="str">
        <f t="shared" si="43"/>
        <v>0126-00</v>
      </c>
    </row>
    <row r="52" spans="1:92" ht="15.75" thickBot="1" x14ac:dyDescent="0.3">
      <c r="A52" s="376" t="s">
        <v>161</v>
      </c>
      <c r="B52" s="376" t="s">
        <v>162</v>
      </c>
      <c r="C52" s="376" t="s">
        <v>232</v>
      </c>
      <c r="D52" s="376" t="s">
        <v>233</v>
      </c>
      <c r="E52" s="376" t="s">
        <v>374</v>
      </c>
      <c r="F52" s="377" t="s">
        <v>166</v>
      </c>
      <c r="G52" s="376" t="s">
        <v>375</v>
      </c>
      <c r="H52" s="378"/>
      <c r="I52" s="378"/>
      <c r="J52" s="376" t="s">
        <v>220</v>
      </c>
      <c r="K52" s="376" t="s">
        <v>234</v>
      </c>
      <c r="L52" s="376" t="s">
        <v>166</v>
      </c>
      <c r="M52" s="376" t="s">
        <v>171</v>
      </c>
      <c r="N52" s="376" t="s">
        <v>172</v>
      </c>
      <c r="O52" s="379">
        <v>1</v>
      </c>
      <c r="P52" s="384">
        <v>0.25</v>
      </c>
      <c r="Q52" s="384">
        <v>0.25</v>
      </c>
      <c r="R52" s="380">
        <v>80</v>
      </c>
      <c r="S52" s="384">
        <v>0.25</v>
      </c>
      <c r="T52" s="380">
        <v>7319.39</v>
      </c>
      <c r="U52" s="380">
        <v>0</v>
      </c>
      <c r="V52" s="380">
        <v>2849.11</v>
      </c>
      <c r="W52" s="380">
        <v>15646.8</v>
      </c>
      <c r="X52" s="380">
        <v>6200.04</v>
      </c>
      <c r="Y52" s="380">
        <v>15646.8</v>
      </c>
      <c r="Z52" s="380">
        <v>6118.68</v>
      </c>
      <c r="AA52" s="376" t="s">
        <v>235</v>
      </c>
      <c r="AB52" s="376" t="s">
        <v>236</v>
      </c>
      <c r="AC52" s="376" t="s">
        <v>237</v>
      </c>
      <c r="AD52" s="376" t="s">
        <v>238</v>
      </c>
      <c r="AE52" s="376" t="s">
        <v>234</v>
      </c>
      <c r="AF52" s="376" t="s">
        <v>177</v>
      </c>
      <c r="AG52" s="376" t="s">
        <v>178</v>
      </c>
      <c r="AH52" s="381">
        <v>30.09</v>
      </c>
      <c r="AI52" s="381">
        <v>4003.5</v>
      </c>
      <c r="AJ52" s="376" t="s">
        <v>179</v>
      </c>
      <c r="AK52" s="376" t="s">
        <v>180</v>
      </c>
      <c r="AL52" s="376" t="s">
        <v>170</v>
      </c>
      <c r="AM52" s="376" t="s">
        <v>181</v>
      </c>
      <c r="AN52" s="376" t="s">
        <v>68</v>
      </c>
      <c r="AO52" s="379">
        <v>80</v>
      </c>
      <c r="AP52" s="384">
        <v>1</v>
      </c>
      <c r="AQ52" s="384">
        <v>0.25</v>
      </c>
      <c r="AR52" s="382" t="s">
        <v>182</v>
      </c>
      <c r="AS52" s="386">
        <f t="shared" si="27"/>
        <v>0.25</v>
      </c>
      <c r="AT52">
        <f t="shared" si="28"/>
        <v>1</v>
      </c>
      <c r="AU52" s="386">
        <f>IF(AT52=0,"",IF(AND(AT52=1,M52="F",SUMIF(C2:C167,C52,AS2:AS167)&lt;=1),SUMIF(C2:C167,C52,AS2:AS167),IF(AND(AT52=1,M52="F",SUMIF(C2:C167,C52,AS2:AS167)&gt;1),1,"")))</f>
        <v>1</v>
      </c>
      <c r="AV52" s="386" t="str">
        <f>IF(AT52=0,"",IF(AND(AT52=3,M52="F",SUMIF(C2:C167,C52,AS2:AS167)&lt;=1),SUMIF(C2:C167,C52,AS2:AS167),IF(AND(AT52=3,M52="F",SUMIF(C2:C167,C52,AS2:AS167)&gt;1),1,"")))</f>
        <v/>
      </c>
      <c r="AW52" s="386">
        <f>SUMIF(C2:C167,C52,O2:O167)</f>
        <v>5</v>
      </c>
      <c r="AX52" s="386">
        <f>IF(AND(M52="F",AS52&lt;&gt;0),SUMIF(C2:C167,C52,W2:W167),0)</f>
        <v>62587.180000000008</v>
      </c>
      <c r="AY52" s="386">
        <f t="shared" si="29"/>
        <v>15646.8</v>
      </c>
      <c r="AZ52" s="386" t="str">
        <f t="shared" si="30"/>
        <v/>
      </c>
      <c r="BA52" s="386">
        <f t="shared" si="31"/>
        <v>0</v>
      </c>
      <c r="BB52" s="386">
        <f t="shared" si="44"/>
        <v>2912.5</v>
      </c>
      <c r="BC52" s="386">
        <f t="shared" si="45"/>
        <v>0</v>
      </c>
      <c r="BD52" s="386">
        <f t="shared" si="46"/>
        <v>970.10159999999996</v>
      </c>
      <c r="BE52" s="386">
        <f t="shared" si="47"/>
        <v>226.87860000000001</v>
      </c>
      <c r="BF52" s="386">
        <f t="shared" si="48"/>
        <v>1868.22792</v>
      </c>
      <c r="BG52" s="386">
        <f t="shared" si="49"/>
        <v>112.813428</v>
      </c>
      <c r="BH52" s="386">
        <f t="shared" si="50"/>
        <v>76.669319999999999</v>
      </c>
      <c r="BI52" s="386">
        <f t="shared" si="51"/>
        <v>0</v>
      </c>
      <c r="BJ52" s="386">
        <f t="shared" si="52"/>
        <v>32.858279999999993</v>
      </c>
      <c r="BK52" s="386">
        <f t="shared" si="53"/>
        <v>0</v>
      </c>
      <c r="BL52" s="386">
        <f t="shared" si="32"/>
        <v>3287.5491480000001</v>
      </c>
      <c r="BM52" s="386">
        <f t="shared" si="33"/>
        <v>0</v>
      </c>
      <c r="BN52" s="386">
        <f t="shared" si="54"/>
        <v>2912.5</v>
      </c>
      <c r="BO52" s="386">
        <f t="shared" si="55"/>
        <v>0</v>
      </c>
      <c r="BP52" s="386">
        <f t="shared" si="56"/>
        <v>970.10159999999996</v>
      </c>
      <c r="BQ52" s="386">
        <f t="shared" si="57"/>
        <v>226.87860000000001</v>
      </c>
      <c r="BR52" s="386">
        <f t="shared" si="58"/>
        <v>1868.22792</v>
      </c>
      <c r="BS52" s="386">
        <f t="shared" si="59"/>
        <v>112.813428</v>
      </c>
      <c r="BT52" s="386">
        <f t="shared" si="60"/>
        <v>0</v>
      </c>
      <c r="BU52" s="386">
        <f t="shared" si="61"/>
        <v>0</v>
      </c>
      <c r="BV52" s="386">
        <f t="shared" si="62"/>
        <v>28.164239999999999</v>
      </c>
      <c r="BW52" s="386">
        <f t="shared" si="63"/>
        <v>0</v>
      </c>
      <c r="BX52" s="386">
        <f t="shared" si="34"/>
        <v>3206.1857880000002</v>
      </c>
      <c r="BY52" s="386">
        <f t="shared" si="35"/>
        <v>0</v>
      </c>
      <c r="BZ52" s="386">
        <f t="shared" si="36"/>
        <v>0</v>
      </c>
      <c r="CA52" s="386">
        <f t="shared" si="37"/>
        <v>0</v>
      </c>
      <c r="CB52" s="386">
        <f t="shared" si="38"/>
        <v>0</v>
      </c>
      <c r="CC52" s="386">
        <f t="shared" si="64"/>
        <v>0</v>
      </c>
      <c r="CD52" s="386">
        <f t="shared" si="65"/>
        <v>0</v>
      </c>
      <c r="CE52" s="386">
        <f t="shared" si="66"/>
        <v>0</v>
      </c>
      <c r="CF52" s="386">
        <f t="shared" si="67"/>
        <v>-76.669319999999999</v>
      </c>
      <c r="CG52" s="386">
        <f t="shared" si="68"/>
        <v>0</v>
      </c>
      <c r="CH52" s="386">
        <f t="shared" si="69"/>
        <v>-4.6940399999999984</v>
      </c>
      <c r="CI52" s="386">
        <f t="shared" si="70"/>
        <v>0</v>
      </c>
      <c r="CJ52" s="386">
        <f t="shared" si="39"/>
        <v>-81.36336</v>
      </c>
      <c r="CK52" s="386" t="str">
        <f t="shared" si="40"/>
        <v/>
      </c>
      <c r="CL52" s="386" t="str">
        <f t="shared" si="41"/>
        <v/>
      </c>
      <c r="CM52" s="386" t="str">
        <f t="shared" si="42"/>
        <v/>
      </c>
      <c r="CN52" s="386" t="str">
        <f t="shared" si="43"/>
        <v>0126-00</v>
      </c>
    </row>
    <row r="53" spans="1:92" ht="15.75" thickBot="1" x14ac:dyDescent="0.3">
      <c r="A53" s="376" t="s">
        <v>161</v>
      </c>
      <c r="B53" s="376" t="s">
        <v>162</v>
      </c>
      <c r="C53" s="376" t="s">
        <v>389</v>
      </c>
      <c r="D53" s="376" t="s">
        <v>213</v>
      </c>
      <c r="E53" s="376" t="s">
        <v>374</v>
      </c>
      <c r="F53" s="377" t="s">
        <v>166</v>
      </c>
      <c r="G53" s="376" t="s">
        <v>375</v>
      </c>
      <c r="H53" s="378"/>
      <c r="I53" s="378"/>
      <c r="J53" s="376" t="s">
        <v>168</v>
      </c>
      <c r="K53" s="376" t="s">
        <v>214</v>
      </c>
      <c r="L53" s="376" t="s">
        <v>166</v>
      </c>
      <c r="M53" s="376" t="s">
        <v>171</v>
      </c>
      <c r="N53" s="376" t="s">
        <v>172</v>
      </c>
      <c r="O53" s="379">
        <v>1</v>
      </c>
      <c r="P53" s="384">
        <v>1</v>
      </c>
      <c r="Q53" s="384">
        <v>1</v>
      </c>
      <c r="R53" s="380">
        <v>80</v>
      </c>
      <c r="S53" s="384">
        <v>1</v>
      </c>
      <c r="T53" s="380">
        <v>102945.60000000001</v>
      </c>
      <c r="U53" s="380">
        <v>0</v>
      </c>
      <c r="V53" s="380">
        <v>32655.85</v>
      </c>
      <c r="W53" s="380">
        <v>103979.2</v>
      </c>
      <c r="X53" s="380">
        <v>33497.040000000001</v>
      </c>
      <c r="Y53" s="380">
        <v>103979.2</v>
      </c>
      <c r="Z53" s="380">
        <v>32956.36</v>
      </c>
      <c r="AA53" s="376" t="s">
        <v>390</v>
      </c>
      <c r="AB53" s="376" t="s">
        <v>391</v>
      </c>
      <c r="AC53" s="376" t="s">
        <v>392</v>
      </c>
      <c r="AD53" s="376" t="s">
        <v>298</v>
      </c>
      <c r="AE53" s="376" t="s">
        <v>393</v>
      </c>
      <c r="AF53" s="376" t="s">
        <v>177</v>
      </c>
      <c r="AG53" s="376" t="s">
        <v>178</v>
      </c>
      <c r="AH53" s="381">
        <v>49.99</v>
      </c>
      <c r="AI53" s="379">
        <v>7400</v>
      </c>
      <c r="AJ53" s="376" t="s">
        <v>179</v>
      </c>
      <c r="AK53" s="376" t="s">
        <v>180</v>
      </c>
      <c r="AL53" s="376" t="s">
        <v>170</v>
      </c>
      <c r="AM53" s="376" t="s">
        <v>181</v>
      </c>
      <c r="AN53" s="376" t="s">
        <v>68</v>
      </c>
      <c r="AO53" s="379">
        <v>80</v>
      </c>
      <c r="AP53" s="384">
        <v>1</v>
      </c>
      <c r="AQ53" s="384">
        <v>1</v>
      </c>
      <c r="AR53" s="382" t="s">
        <v>182</v>
      </c>
      <c r="AS53" s="386">
        <f t="shared" si="27"/>
        <v>1</v>
      </c>
      <c r="AT53">
        <f t="shared" si="28"/>
        <v>1</v>
      </c>
      <c r="AU53" s="386">
        <f>IF(AT53=0,"",IF(AND(AT53=1,M53="F",SUMIF(C2:C167,C53,AS2:AS167)&lt;=1),SUMIF(C2:C167,C53,AS2:AS167),IF(AND(AT53=1,M53="F",SUMIF(C2:C167,C53,AS2:AS167)&gt;1),1,"")))</f>
        <v>1</v>
      </c>
      <c r="AV53" s="386" t="str">
        <f>IF(AT53=0,"",IF(AND(AT53=3,M53="F",SUMIF(C2:C167,C53,AS2:AS167)&lt;=1),SUMIF(C2:C167,C53,AS2:AS167),IF(AND(AT53=3,M53="F",SUMIF(C2:C167,C53,AS2:AS167)&gt;1),1,"")))</f>
        <v/>
      </c>
      <c r="AW53" s="386">
        <f>SUMIF(C2:C167,C53,O2:O167)</f>
        <v>1</v>
      </c>
      <c r="AX53" s="386">
        <f>IF(AND(M53="F",AS53&lt;&gt;0),SUMIF(C2:C167,C53,W2:W167),0)</f>
        <v>103979.2</v>
      </c>
      <c r="AY53" s="386">
        <f t="shared" si="29"/>
        <v>103979.2</v>
      </c>
      <c r="AZ53" s="386" t="str">
        <f t="shared" si="30"/>
        <v/>
      </c>
      <c r="BA53" s="386">
        <f t="shared" si="31"/>
        <v>0</v>
      </c>
      <c r="BB53" s="386">
        <f t="shared" si="44"/>
        <v>11650</v>
      </c>
      <c r="BC53" s="386">
        <f t="shared" si="45"/>
        <v>0</v>
      </c>
      <c r="BD53" s="386">
        <f t="shared" si="46"/>
        <v>6446.7103999999999</v>
      </c>
      <c r="BE53" s="386">
        <f t="shared" si="47"/>
        <v>1507.6984</v>
      </c>
      <c r="BF53" s="386">
        <f t="shared" si="48"/>
        <v>12415.116480000001</v>
      </c>
      <c r="BG53" s="386">
        <f t="shared" si="49"/>
        <v>749.69003199999997</v>
      </c>
      <c r="BH53" s="386">
        <f t="shared" si="50"/>
        <v>509.49807999999996</v>
      </c>
      <c r="BI53" s="386">
        <f t="shared" si="51"/>
        <v>0</v>
      </c>
      <c r="BJ53" s="386">
        <f t="shared" si="52"/>
        <v>218.35631999999998</v>
      </c>
      <c r="BK53" s="386">
        <f t="shared" si="53"/>
        <v>0</v>
      </c>
      <c r="BL53" s="386">
        <f t="shared" si="32"/>
        <v>21847.069712</v>
      </c>
      <c r="BM53" s="386">
        <f t="shared" si="33"/>
        <v>0</v>
      </c>
      <c r="BN53" s="386">
        <f t="shared" si="54"/>
        <v>11650</v>
      </c>
      <c r="BO53" s="386">
        <f t="shared" si="55"/>
        <v>0</v>
      </c>
      <c r="BP53" s="386">
        <f t="shared" si="56"/>
        <v>6446.7103999999999</v>
      </c>
      <c r="BQ53" s="386">
        <f t="shared" si="57"/>
        <v>1507.6984</v>
      </c>
      <c r="BR53" s="386">
        <f t="shared" si="58"/>
        <v>12415.116480000001</v>
      </c>
      <c r="BS53" s="386">
        <f t="shared" si="59"/>
        <v>749.69003199999997</v>
      </c>
      <c r="BT53" s="386">
        <f t="shared" si="60"/>
        <v>0</v>
      </c>
      <c r="BU53" s="386">
        <f t="shared" si="61"/>
        <v>0</v>
      </c>
      <c r="BV53" s="386">
        <f t="shared" si="62"/>
        <v>187.16255999999998</v>
      </c>
      <c r="BW53" s="386">
        <f t="shared" si="63"/>
        <v>0</v>
      </c>
      <c r="BX53" s="386">
        <f t="shared" si="34"/>
        <v>21306.377872000001</v>
      </c>
      <c r="BY53" s="386">
        <f t="shared" si="35"/>
        <v>0</v>
      </c>
      <c r="BZ53" s="386">
        <f t="shared" si="36"/>
        <v>0</v>
      </c>
      <c r="CA53" s="386">
        <f t="shared" si="37"/>
        <v>0</v>
      </c>
      <c r="CB53" s="386">
        <f t="shared" si="38"/>
        <v>0</v>
      </c>
      <c r="CC53" s="386">
        <f t="shared" si="64"/>
        <v>0</v>
      </c>
      <c r="CD53" s="386">
        <f t="shared" si="65"/>
        <v>0</v>
      </c>
      <c r="CE53" s="386">
        <f t="shared" si="66"/>
        <v>0</v>
      </c>
      <c r="CF53" s="386">
        <f t="shared" si="67"/>
        <v>-509.49807999999996</v>
      </c>
      <c r="CG53" s="386">
        <f t="shared" si="68"/>
        <v>0</v>
      </c>
      <c r="CH53" s="386">
        <f t="shared" si="69"/>
        <v>-31.19375999999999</v>
      </c>
      <c r="CI53" s="386">
        <f t="shared" si="70"/>
        <v>0</v>
      </c>
      <c r="CJ53" s="386">
        <f t="shared" si="39"/>
        <v>-540.69183999999996</v>
      </c>
      <c r="CK53" s="386" t="str">
        <f t="shared" si="40"/>
        <v/>
      </c>
      <c r="CL53" s="386" t="str">
        <f t="shared" si="41"/>
        <v/>
      </c>
      <c r="CM53" s="386" t="str">
        <f t="shared" si="42"/>
        <v/>
      </c>
      <c r="CN53" s="386" t="str">
        <f t="shared" si="43"/>
        <v>0126-00</v>
      </c>
    </row>
    <row r="54" spans="1:92" ht="15.75" thickBot="1" x14ac:dyDescent="0.3">
      <c r="A54" s="376" t="s">
        <v>161</v>
      </c>
      <c r="B54" s="376" t="s">
        <v>162</v>
      </c>
      <c r="C54" s="376" t="s">
        <v>394</v>
      </c>
      <c r="D54" s="376" t="s">
        <v>395</v>
      </c>
      <c r="E54" s="376" t="s">
        <v>374</v>
      </c>
      <c r="F54" s="377" t="s">
        <v>166</v>
      </c>
      <c r="G54" s="376" t="s">
        <v>375</v>
      </c>
      <c r="H54" s="378"/>
      <c r="I54" s="378"/>
      <c r="J54" s="376" t="s">
        <v>168</v>
      </c>
      <c r="K54" s="376" t="s">
        <v>396</v>
      </c>
      <c r="L54" s="376" t="s">
        <v>166</v>
      </c>
      <c r="M54" s="376" t="s">
        <v>171</v>
      </c>
      <c r="N54" s="376" t="s">
        <v>172</v>
      </c>
      <c r="O54" s="379">
        <v>1</v>
      </c>
      <c r="P54" s="384">
        <v>0</v>
      </c>
      <c r="Q54" s="384">
        <v>0</v>
      </c>
      <c r="R54" s="380">
        <v>80</v>
      </c>
      <c r="S54" s="384">
        <v>0</v>
      </c>
      <c r="T54" s="380">
        <v>868.16</v>
      </c>
      <c r="U54" s="380">
        <v>0</v>
      </c>
      <c r="V54" s="380">
        <v>381.41</v>
      </c>
      <c r="W54" s="380">
        <v>0</v>
      </c>
      <c r="X54" s="380">
        <v>0</v>
      </c>
      <c r="Y54" s="380">
        <v>0</v>
      </c>
      <c r="Z54" s="380">
        <v>0</v>
      </c>
      <c r="AA54" s="376" t="s">
        <v>397</v>
      </c>
      <c r="AB54" s="376" t="s">
        <v>398</v>
      </c>
      <c r="AC54" s="376" t="s">
        <v>399</v>
      </c>
      <c r="AD54" s="376" t="s">
        <v>298</v>
      </c>
      <c r="AE54" s="376" t="s">
        <v>396</v>
      </c>
      <c r="AF54" s="376" t="s">
        <v>177</v>
      </c>
      <c r="AG54" s="376" t="s">
        <v>178</v>
      </c>
      <c r="AH54" s="381">
        <v>21.25</v>
      </c>
      <c r="AI54" s="381">
        <v>6584.1</v>
      </c>
      <c r="AJ54" s="376" t="s">
        <v>179</v>
      </c>
      <c r="AK54" s="376" t="s">
        <v>180</v>
      </c>
      <c r="AL54" s="376" t="s">
        <v>170</v>
      </c>
      <c r="AM54" s="376" t="s">
        <v>181</v>
      </c>
      <c r="AN54" s="376" t="s">
        <v>68</v>
      </c>
      <c r="AO54" s="379">
        <v>80</v>
      </c>
      <c r="AP54" s="384">
        <v>1</v>
      </c>
      <c r="AQ54" s="384">
        <v>0</v>
      </c>
      <c r="AR54" s="382" t="s">
        <v>182</v>
      </c>
      <c r="AS54" s="386">
        <f t="shared" si="27"/>
        <v>0</v>
      </c>
      <c r="AT54">
        <f t="shared" si="28"/>
        <v>0</v>
      </c>
      <c r="AU54" s="386" t="str">
        <f>IF(AT54=0,"",IF(AND(AT54=1,M54="F",SUMIF(C2:C167,C54,AS2:AS167)&lt;=1),SUMIF(C2:C167,C54,AS2:AS167),IF(AND(AT54=1,M54="F",SUMIF(C2:C167,C54,AS2:AS167)&gt;1),1,"")))</f>
        <v/>
      </c>
      <c r="AV54" s="386" t="str">
        <f>IF(AT54=0,"",IF(AND(AT54=3,M54="F",SUMIF(C2:C167,C54,AS2:AS167)&lt;=1),SUMIF(C2:C167,C54,AS2:AS167),IF(AND(AT54=3,M54="F",SUMIF(C2:C167,C54,AS2:AS167)&gt;1),1,"")))</f>
        <v/>
      </c>
      <c r="AW54" s="386">
        <f>SUMIF(C2:C167,C54,O2:O167)</f>
        <v>2</v>
      </c>
      <c r="AX54" s="386">
        <f>IF(AND(M54="F",AS54&lt;&gt;0),SUMIF(C2:C167,C54,W2:W167),0)</f>
        <v>0</v>
      </c>
      <c r="AY54" s="386" t="str">
        <f t="shared" si="29"/>
        <v/>
      </c>
      <c r="AZ54" s="386" t="str">
        <f t="shared" si="30"/>
        <v/>
      </c>
      <c r="BA54" s="386">
        <f t="shared" si="31"/>
        <v>0</v>
      </c>
      <c r="BB54" s="386">
        <f t="shared" si="44"/>
        <v>0</v>
      </c>
      <c r="BC54" s="386">
        <f t="shared" si="45"/>
        <v>0</v>
      </c>
      <c r="BD54" s="386">
        <f t="shared" si="46"/>
        <v>0</v>
      </c>
      <c r="BE54" s="386">
        <f t="shared" si="47"/>
        <v>0</v>
      </c>
      <c r="BF54" s="386">
        <f t="shared" si="48"/>
        <v>0</v>
      </c>
      <c r="BG54" s="386">
        <f t="shared" si="49"/>
        <v>0</v>
      </c>
      <c r="BH54" s="386">
        <f t="shared" si="50"/>
        <v>0</v>
      </c>
      <c r="BI54" s="386">
        <f t="shared" si="51"/>
        <v>0</v>
      </c>
      <c r="BJ54" s="386">
        <f t="shared" si="52"/>
        <v>0</v>
      </c>
      <c r="BK54" s="386">
        <f t="shared" si="53"/>
        <v>0</v>
      </c>
      <c r="BL54" s="386">
        <f t="shared" si="32"/>
        <v>0</v>
      </c>
      <c r="BM54" s="386">
        <f t="shared" si="33"/>
        <v>0</v>
      </c>
      <c r="BN54" s="386">
        <f t="shared" si="54"/>
        <v>0</v>
      </c>
      <c r="BO54" s="386">
        <f t="shared" si="55"/>
        <v>0</v>
      </c>
      <c r="BP54" s="386">
        <f t="shared" si="56"/>
        <v>0</v>
      </c>
      <c r="BQ54" s="386">
        <f t="shared" si="57"/>
        <v>0</v>
      </c>
      <c r="BR54" s="386">
        <f t="shared" si="58"/>
        <v>0</v>
      </c>
      <c r="BS54" s="386">
        <f t="shared" si="59"/>
        <v>0</v>
      </c>
      <c r="BT54" s="386">
        <f t="shared" si="60"/>
        <v>0</v>
      </c>
      <c r="BU54" s="386">
        <f t="shared" si="61"/>
        <v>0</v>
      </c>
      <c r="BV54" s="386">
        <f t="shared" si="62"/>
        <v>0</v>
      </c>
      <c r="BW54" s="386">
        <f t="shared" si="63"/>
        <v>0</v>
      </c>
      <c r="BX54" s="386">
        <f t="shared" si="34"/>
        <v>0</v>
      </c>
      <c r="BY54" s="386">
        <f t="shared" si="35"/>
        <v>0</v>
      </c>
      <c r="BZ54" s="386">
        <f t="shared" si="36"/>
        <v>0</v>
      </c>
      <c r="CA54" s="386">
        <f t="shared" si="37"/>
        <v>0</v>
      </c>
      <c r="CB54" s="386">
        <f t="shared" si="38"/>
        <v>0</v>
      </c>
      <c r="CC54" s="386">
        <f t="shared" si="64"/>
        <v>0</v>
      </c>
      <c r="CD54" s="386">
        <f t="shared" si="65"/>
        <v>0</v>
      </c>
      <c r="CE54" s="386">
        <f t="shared" si="66"/>
        <v>0</v>
      </c>
      <c r="CF54" s="386">
        <f t="shared" si="67"/>
        <v>0</v>
      </c>
      <c r="CG54" s="386">
        <f t="shared" si="68"/>
        <v>0</v>
      </c>
      <c r="CH54" s="386">
        <f t="shared" si="69"/>
        <v>0</v>
      </c>
      <c r="CI54" s="386">
        <f t="shared" si="70"/>
        <v>0</v>
      </c>
      <c r="CJ54" s="386">
        <f t="shared" si="39"/>
        <v>0</v>
      </c>
      <c r="CK54" s="386" t="str">
        <f t="shared" si="40"/>
        <v/>
      </c>
      <c r="CL54" s="386" t="str">
        <f t="shared" si="41"/>
        <v/>
      </c>
      <c r="CM54" s="386" t="str">
        <f t="shared" si="42"/>
        <v/>
      </c>
      <c r="CN54" s="386" t="str">
        <f t="shared" si="43"/>
        <v>0126-00</v>
      </c>
    </row>
    <row r="55" spans="1:92" ht="15.75" thickBot="1" x14ac:dyDescent="0.3">
      <c r="A55" s="376" t="s">
        <v>161</v>
      </c>
      <c r="B55" s="376" t="s">
        <v>162</v>
      </c>
      <c r="C55" s="376" t="s">
        <v>271</v>
      </c>
      <c r="D55" s="376" t="s">
        <v>272</v>
      </c>
      <c r="E55" s="376" t="s">
        <v>374</v>
      </c>
      <c r="F55" s="377" t="s">
        <v>166</v>
      </c>
      <c r="G55" s="376" t="s">
        <v>375</v>
      </c>
      <c r="H55" s="378"/>
      <c r="I55" s="378"/>
      <c r="J55" s="376" t="s">
        <v>185</v>
      </c>
      <c r="K55" s="376" t="s">
        <v>273</v>
      </c>
      <c r="L55" s="376" t="s">
        <v>187</v>
      </c>
      <c r="M55" s="376" t="s">
        <v>171</v>
      </c>
      <c r="N55" s="376" t="s">
        <v>172</v>
      </c>
      <c r="O55" s="379">
        <v>1</v>
      </c>
      <c r="P55" s="384">
        <v>0</v>
      </c>
      <c r="Q55" s="384">
        <v>0</v>
      </c>
      <c r="R55" s="380">
        <v>80</v>
      </c>
      <c r="S55" s="384">
        <v>0</v>
      </c>
      <c r="T55" s="380">
        <v>6718.15</v>
      </c>
      <c r="U55" s="380">
        <v>0</v>
      </c>
      <c r="V55" s="380">
        <v>2116.04</v>
      </c>
      <c r="W55" s="380">
        <v>0</v>
      </c>
      <c r="X55" s="380">
        <v>0</v>
      </c>
      <c r="Y55" s="380">
        <v>0</v>
      </c>
      <c r="Z55" s="380">
        <v>0</v>
      </c>
      <c r="AA55" s="376" t="s">
        <v>274</v>
      </c>
      <c r="AB55" s="376" t="s">
        <v>275</v>
      </c>
      <c r="AC55" s="376" t="s">
        <v>197</v>
      </c>
      <c r="AD55" s="376" t="s">
        <v>198</v>
      </c>
      <c r="AE55" s="376" t="s">
        <v>273</v>
      </c>
      <c r="AF55" s="376" t="s">
        <v>177</v>
      </c>
      <c r="AG55" s="376" t="s">
        <v>178</v>
      </c>
      <c r="AH55" s="381">
        <v>46.07</v>
      </c>
      <c r="AI55" s="381">
        <v>19869.7</v>
      </c>
      <c r="AJ55" s="376" t="s">
        <v>179</v>
      </c>
      <c r="AK55" s="376" t="s">
        <v>180</v>
      </c>
      <c r="AL55" s="376" t="s">
        <v>170</v>
      </c>
      <c r="AM55" s="376" t="s">
        <v>181</v>
      </c>
      <c r="AN55" s="376" t="s">
        <v>68</v>
      </c>
      <c r="AO55" s="379">
        <v>80</v>
      </c>
      <c r="AP55" s="384">
        <v>1</v>
      </c>
      <c r="AQ55" s="384">
        <v>0</v>
      </c>
      <c r="AR55" s="382" t="s">
        <v>182</v>
      </c>
      <c r="AS55" s="386">
        <f t="shared" si="27"/>
        <v>0</v>
      </c>
      <c r="AT55">
        <f t="shared" si="28"/>
        <v>0</v>
      </c>
      <c r="AU55" s="386" t="str">
        <f>IF(AT55=0,"",IF(AND(AT55=1,M55="F",SUMIF(C2:C167,C55,AS2:AS167)&lt;=1),SUMIF(C2:C167,C55,AS2:AS167),IF(AND(AT55=1,M55="F",SUMIF(C2:C167,C55,AS2:AS167)&gt;1),1,"")))</f>
        <v/>
      </c>
      <c r="AV55" s="386" t="str">
        <f>IF(AT55=0,"",IF(AND(AT55=3,M55="F",SUMIF(C2:C167,C55,AS2:AS167)&lt;=1),SUMIF(C2:C167,C55,AS2:AS167),IF(AND(AT55=3,M55="F",SUMIF(C2:C167,C55,AS2:AS167)&gt;1),1,"")))</f>
        <v/>
      </c>
      <c r="AW55" s="386">
        <f>SUMIF(C2:C167,C55,O2:O167)</f>
        <v>5</v>
      </c>
      <c r="AX55" s="386">
        <f>IF(AND(M55="F",AS55&lt;&gt;0),SUMIF(C2:C167,C55,W2:W167),0)</f>
        <v>0</v>
      </c>
      <c r="AY55" s="386" t="str">
        <f t="shared" si="29"/>
        <v/>
      </c>
      <c r="AZ55" s="386" t="str">
        <f t="shared" si="30"/>
        <v/>
      </c>
      <c r="BA55" s="386">
        <f t="shared" si="31"/>
        <v>0</v>
      </c>
      <c r="BB55" s="386">
        <f t="shared" si="44"/>
        <v>0</v>
      </c>
      <c r="BC55" s="386">
        <f t="shared" si="45"/>
        <v>0</v>
      </c>
      <c r="BD55" s="386">
        <f t="shared" si="46"/>
        <v>0</v>
      </c>
      <c r="BE55" s="386">
        <f t="shared" si="47"/>
        <v>0</v>
      </c>
      <c r="BF55" s="386">
        <f t="shared" si="48"/>
        <v>0</v>
      </c>
      <c r="BG55" s="386">
        <f t="shared" si="49"/>
        <v>0</v>
      </c>
      <c r="BH55" s="386">
        <f t="shared" si="50"/>
        <v>0</v>
      </c>
      <c r="BI55" s="386">
        <f t="shared" si="51"/>
        <v>0</v>
      </c>
      <c r="BJ55" s="386">
        <f t="shared" si="52"/>
        <v>0</v>
      </c>
      <c r="BK55" s="386">
        <f t="shared" si="53"/>
        <v>0</v>
      </c>
      <c r="BL55" s="386">
        <f t="shared" si="32"/>
        <v>0</v>
      </c>
      <c r="BM55" s="386">
        <f t="shared" si="33"/>
        <v>0</v>
      </c>
      <c r="BN55" s="386">
        <f t="shared" si="54"/>
        <v>0</v>
      </c>
      <c r="BO55" s="386">
        <f t="shared" si="55"/>
        <v>0</v>
      </c>
      <c r="BP55" s="386">
        <f t="shared" si="56"/>
        <v>0</v>
      </c>
      <c r="BQ55" s="386">
        <f t="shared" si="57"/>
        <v>0</v>
      </c>
      <c r="BR55" s="386">
        <f t="shared" si="58"/>
        <v>0</v>
      </c>
      <c r="BS55" s="386">
        <f t="shared" si="59"/>
        <v>0</v>
      </c>
      <c r="BT55" s="386">
        <f t="shared" si="60"/>
        <v>0</v>
      </c>
      <c r="BU55" s="386">
        <f t="shared" si="61"/>
        <v>0</v>
      </c>
      <c r="BV55" s="386">
        <f t="shared" si="62"/>
        <v>0</v>
      </c>
      <c r="BW55" s="386">
        <f t="shared" si="63"/>
        <v>0</v>
      </c>
      <c r="BX55" s="386">
        <f t="shared" si="34"/>
        <v>0</v>
      </c>
      <c r="BY55" s="386">
        <f t="shared" si="35"/>
        <v>0</v>
      </c>
      <c r="BZ55" s="386">
        <f t="shared" si="36"/>
        <v>0</v>
      </c>
      <c r="CA55" s="386">
        <f t="shared" si="37"/>
        <v>0</v>
      </c>
      <c r="CB55" s="386">
        <f t="shared" si="38"/>
        <v>0</v>
      </c>
      <c r="CC55" s="386">
        <f t="shared" si="64"/>
        <v>0</v>
      </c>
      <c r="CD55" s="386">
        <f t="shared" si="65"/>
        <v>0</v>
      </c>
      <c r="CE55" s="386">
        <f t="shared" si="66"/>
        <v>0</v>
      </c>
      <c r="CF55" s="386">
        <f t="shared" si="67"/>
        <v>0</v>
      </c>
      <c r="CG55" s="386">
        <f t="shared" si="68"/>
        <v>0</v>
      </c>
      <c r="CH55" s="386">
        <f t="shared" si="69"/>
        <v>0</v>
      </c>
      <c r="CI55" s="386">
        <f t="shared" si="70"/>
        <v>0</v>
      </c>
      <c r="CJ55" s="386">
        <f t="shared" si="39"/>
        <v>0</v>
      </c>
      <c r="CK55" s="386" t="str">
        <f t="shared" si="40"/>
        <v/>
      </c>
      <c r="CL55" s="386" t="str">
        <f t="shared" si="41"/>
        <v/>
      </c>
      <c r="CM55" s="386" t="str">
        <f t="shared" si="42"/>
        <v/>
      </c>
      <c r="CN55" s="386" t="str">
        <f t="shared" si="43"/>
        <v>0126-00</v>
      </c>
    </row>
    <row r="56" spans="1:92" ht="15.75" thickBot="1" x14ac:dyDescent="0.3">
      <c r="A56" s="376" t="s">
        <v>161</v>
      </c>
      <c r="B56" s="376" t="s">
        <v>162</v>
      </c>
      <c r="C56" s="376" t="s">
        <v>400</v>
      </c>
      <c r="D56" s="376" t="s">
        <v>401</v>
      </c>
      <c r="E56" s="376" t="s">
        <v>374</v>
      </c>
      <c r="F56" s="377" t="s">
        <v>166</v>
      </c>
      <c r="G56" s="376" t="s">
        <v>375</v>
      </c>
      <c r="H56" s="378"/>
      <c r="I56" s="378"/>
      <c r="J56" s="376" t="s">
        <v>168</v>
      </c>
      <c r="K56" s="376" t="s">
        <v>402</v>
      </c>
      <c r="L56" s="376" t="s">
        <v>403</v>
      </c>
      <c r="M56" s="376" t="s">
        <v>171</v>
      </c>
      <c r="N56" s="376" t="s">
        <v>172</v>
      </c>
      <c r="O56" s="379">
        <v>1</v>
      </c>
      <c r="P56" s="384">
        <v>0</v>
      </c>
      <c r="Q56" s="384">
        <v>0</v>
      </c>
      <c r="R56" s="380">
        <v>80</v>
      </c>
      <c r="S56" s="384">
        <v>0</v>
      </c>
      <c r="T56" s="380">
        <v>2127.96</v>
      </c>
      <c r="U56" s="380">
        <v>0</v>
      </c>
      <c r="V56" s="380">
        <v>654.42999999999995</v>
      </c>
      <c r="W56" s="380">
        <v>0</v>
      </c>
      <c r="X56" s="380">
        <v>0</v>
      </c>
      <c r="Y56" s="380">
        <v>0</v>
      </c>
      <c r="Z56" s="380">
        <v>0</v>
      </c>
      <c r="AA56" s="376" t="s">
        <v>404</v>
      </c>
      <c r="AB56" s="376" t="s">
        <v>405</v>
      </c>
      <c r="AC56" s="376" t="s">
        <v>406</v>
      </c>
      <c r="AD56" s="376" t="s">
        <v>289</v>
      </c>
      <c r="AE56" s="376" t="s">
        <v>402</v>
      </c>
      <c r="AF56" s="376" t="s">
        <v>177</v>
      </c>
      <c r="AG56" s="376" t="s">
        <v>178</v>
      </c>
      <c r="AH56" s="381">
        <v>49.41</v>
      </c>
      <c r="AI56" s="381">
        <v>40528.300000000003</v>
      </c>
      <c r="AJ56" s="376" t="s">
        <v>179</v>
      </c>
      <c r="AK56" s="376" t="s">
        <v>180</v>
      </c>
      <c r="AL56" s="376" t="s">
        <v>170</v>
      </c>
      <c r="AM56" s="376" t="s">
        <v>181</v>
      </c>
      <c r="AN56" s="376" t="s">
        <v>68</v>
      </c>
      <c r="AO56" s="379">
        <v>80</v>
      </c>
      <c r="AP56" s="384">
        <v>1</v>
      </c>
      <c r="AQ56" s="384">
        <v>0</v>
      </c>
      <c r="AR56" s="382" t="s">
        <v>182</v>
      </c>
      <c r="AS56" s="386">
        <f t="shared" si="27"/>
        <v>0</v>
      </c>
      <c r="AT56">
        <f t="shared" si="28"/>
        <v>0</v>
      </c>
      <c r="AU56" s="386" t="str">
        <f>IF(AT56=0,"",IF(AND(AT56=1,M56="F",SUMIF(C2:C167,C56,AS2:AS167)&lt;=1),SUMIF(C2:C167,C56,AS2:AS167),IF(AND(AT56=1,M56="F",SUMIF(C2:C167,C56,AS2:AS167)&gt;1),1,"")))</f>
        <v/>
      </c>
      <c r="AV56" s="386" t="str">
        <f>IF(AT56=0,"",IF(AND(AT56=3,M56="F",SUMIF(C2:C167,C56,AS2:AS167)&lt;=1),SUMIF(C2:C167,C56,AS2:AS167),IF(AND(AT56=3,M56="F",SUMIF(C2:C167,C56,AS2:AS167)&gt;1),1,"")))</f>
        <v/>
      </c>
      <c r="AW56" s="386">
        <f>SUMIF(C2:C167,C56,O2:O167)</f>
        <v>2</v>
      </c>
      <c r="AX56" s="386">
        <f>IF(AND(M56="F",AS56&lt;&gt;0),SUMIF(C2:C167,C56,W2:W167),0)</f>
        <v>0</v>
      </c>
      <c r="AY56" s="386" t="str">
        <f t="shared" si="29"/>
        <v/>
      </c>
      <c r="AZ56" s="386" t="str">
        <f t="shared" si="30"/>
        <v/>
      </c>
      <c r="BA56" s="386">
        <f t="shared" si="31"/>
        <v>0</v>
      </c>
      <c r="BB56" s="386">
        <f t="shared" si="44"/>
        <v>0</v>
      </c>
      <c r="BC56" s="386">
        <f t="shared" si="45"/>
        <v>0</v>
      </c>
      <c r="BD56" s="386">
        <f t="shared" si="46"/>
        <v>0</v>
      </c>
      <c r="BE56" s="386">
        <f t="shared" si="47"/>
        <v>0</v>
      </c>
      <c r="BF56" s="386">
        <f t="shared" si="48"/>
        <v>0</v>
      </c>
      <c r="BG56" s="386">
        <f t="shared" si="49"/>
        <v>0</v>
      </c>
      <c r="BH56" s="386">
        <f t="shared" si="50"/>
        <v>0</v>
      </c>
      <c r="BI56" s="386">
        <f t="shared" si="51"/>
        <v>0</v>
      </c>
      <c r="BJ56" s="386">
        <f t="shared" si="52"/>
        <v>0</v>
      </c>
      <c r="BK56" s="386">
        <f t="shared" si="53"/>
        <v>0</v>
      </c>
      <c r="BL56" s="386">
        <f t="shared" si="32"/>
        <v>0</v>
      </c>
      <c r="BM56" s="386">
        <f t="shared" si="33"/>
        <v>0</v>
      </c>
      <c r="BN56" s="386">
        <f t="shared" si="54"/>
        <v>0</v>
      </c>
      <c r="BO56" s="386">
        <f t="shared" si="55"/>
        <v>0</v>
      </c>
      <c r="BP56" s="386">
        <f t="shared" si="56"/>
        <v>0</v>
      </c>
      <c r="BQ56" s="386">
        <f t="shared" si="57"/>
        <v>0</v>
      </c>
      <c r="BR56" s="386">
        <f t="shared" si="58"/>
        <v>0</v>
      </c>
      <c r="BS56" s="386">
        <f t="shared" si="59"/>
        <v>0</v>
      </c>
      <c r="BT56" s="386">
        <f t="shared" si="60"/>
        <v>0</v>
      </c>
      <c r="BU56" s="386">
        <f t="shared" si="61"/>
        <v>0</v>
      </c>
      <c r="BV56" s="386">
        <f t="shared" si="62"/>
        <v>0</v>
      </c>
      <c r="BW56" s="386">
        <f t="shared" si="63"/>
        <v>0</v>
      </c>
      <c r="BX56" s="386">
        <f t="shared" si="34"/>
        <v>0</v>
      </c>
      <c r="BY56" s="386">
        <f t="shared" si="35"/>
        <v>0</v>
      </c>
      <c r="BZ56" s="386">
        <f t="shared" si="36"/>
        <v>0</v>
      </c>
      <c r="CA56" s="386">
        <f t="shared" si="37"/>
        <v>0</v>
      </c>
      <c r="CB56" s="386">
        <f t="shared" si="38"/>
        <v>0</v>
      </c>
      <c r="CC56" s="386">
        <f t="shared" si="64"/>
        <v>0</v>
      </c>
      <c r="CD56" s="386">
        <f t="shared" si="65"/>
        <v>0</v>
      </c>
      <c r="CE56" s="386">
        <f t="shared" si="66"/>
        <v>0</v>
      </c>
      <c r="CF56" s="386">
        <f t="shared" si="67"/>
        <v>0</v>
      </c>
      <c r="CG56" s="386">
        <f t="shared" si="68"/>
        <v>0</v>
      </c>
      <c r="CH56" s="386">
        <f t="shared" si="69"/>
        <v>0</v>
      </c>
      <c r="CI56" s="386">
        <f t="shared" si="70"/>
        <v>0</v>
      </c>
      <c r="CJ56" s="386">
        <f t="shared" si="39"/>
        <v>0</v>
      </c>
      <c r="CK56" s="386" t="str">
        <f t="shared" si="40"/>
        <v/>
      </c>
      <c r="CL56" s="386" t="str">
        <f t="shared" si="41"/>
        <v/>
      </c>
      <c r="CM56" s="386" t="str">
        <f t="shared" si="42"/>
        <v/>
      </c>
      <c r="CN56" s="386" t="str">
        <f t="shared" si="43"/>
        <v>0126-00</v>
      </c>
    </row>
    <row r="57" spans="1:92" ht="15.75" thickBot="1" x14ac:dyDescent="0.3">
      <c r="A57" s="376" t="s">
        <v>161</v>
      </c>
      <c r="B57" s="376" t="s">
        <v>162</v>
      </c>
      <c r="C57" s="376" t="s">
        <v>407</v>
      </c>
      <c r="D57" s="376" t="s">
        <v>268</v>
      </c>
      <c r="E57" s="376" t="s">
        <v>374</v>
      </c>
      <c r="F57" s="377" t="s">
        <v>166</v>
      </c>
      <c r="G57" s="376" t="s">
        <v>375</v>
      </c>
      <c r="H57" s="378"/>
      <c r="I57" s="378"/>
      <c r="J57" s="376" t="s">
        <v>168</v>
      </c>
      <c r="K57" s="376" t="s">
        <v>269</v>
      </c>
      <c r="L57" s="376" t="s">
        <v>166</v>
      </c>
      <c r="M57" s="376" t="s">
        <v>171</v>
      </c>
      <c r="N57" s="376" t="s">
        <v>270</v>
      </c>
      <c r="O57" s="379">
        <v>0</v>
      </c>
      <c r="P57" s="384">
        <v>0</v>
      </c>
      <c r="Q57" s="384">
        <v>0</v>
      </c>
      <c r="R57" s="380">
        <v>0</v>
      </c>
      <c r="S57" s="384">
        <v>0</v>
      </c>
      <c r="T57" s="380">
        <v>147054.39999999999</v>
      </c>
      <c r="U57" s="380">
        <v>0</v>
      </c>
      <c r="V57" s="380">
        <v>62021.25</v>
      </c>
      <c r="W57" s="380">
        <v>0</v>
      </c>
      <c r="X57" s="380">
        <v>0</v>
      </c>
      <c r="Y57" s="380">
        <v>0</v>
      </c>
      <c r="Z57" s="380">
        <v>0</v>
      </c>
      <c r="AA57" s="378"/>
      <c r="AB57" s="376" t="s">
        <v>45</v>
      </c>
      <c r="AC57" s="376" t="s">
        <v>45</v>
      </c>
      <c r="AD57" s="378"/>
      <c r="AE57" s="378"/>
      <c r="AF57" s="378"/>
      <c r="AG57" s="378"/>
      <c r="AH57" s="379">
        <v>0</v>
      </c>
      <c r="AI57" s="379">
        <v>0</v>
      </c>
      <c r="AJ57" s="378"/>
      <c r="AK57" s="378"/>
      <c r="AL57" s="376" t="s">
        <v>170</v>
      </c>
      <c r="AM57" s="378"/>
      <c r="AN57" s="378"/>
      <c r="AO57" s="379">
        <v>0</v>
      </c>
      <c r="AP57" s="384">
        <v>0</v>
      </c>
      <c r="AQ57" s="384">
        <v>0</v>
      </c>
      <c r="AR57" s="383"/>
      <c r="AS57" s="386">
        <f t="shared" si="27"/>
        <v>0</v>
      </c>
      <c r="AT57">
        <f t="shared" si="28"/>
        <v>0</v>
      </c>
      <c r="AU57" s="386" t="str">
        <f>IF(AT57=0,"",IF(AND(AT57=1,M57="F",SUMIF(C2:C167,C57,AS2:AS167)&lt;=1),SUMIF(C2:C167,C57,AS2:AS167),IF(AND(AT57=1,M57="F",SUMIF(C2:C167,C57,AS2:AS167)&gt;1),1,"")))</f>
        <v/>
      </c>
      <c r="AV57" s="386" t="str">
        <f>IF(AT57=0,"",IF(AND(AT57=3,M57="F",SUMIF(C2:C167,C57,AS2:AS167)&lt;=1),SUMIF(C2:C167,C57,AS2:AS167),IF(AND(AT57=3,M57="F",SUMIF(C2:C167,C57,AS2:AS167)&gt;1),1,"")))</f>
        <v/>
      </c>
      <c r="AW57" s="386">
        <f>SUMIF(C2:C167,C57,O2:O167)</f>
        <v>0</v>
      </c>
      <c r="AX57" s="386">
        <f>IF(AND(M57="F",AS57&lt;&gt;0),SUMIF(C2:C167,C57,W2:W167),0)</f>
        <v>0</v>
      </c>
      <c r="AY57" s="386" t="str">
        <f t="shared" si="29"/>
        <v/>
      </c>
      <c r="AZ57" s="386" t="str">
        <f t="shared" si="30"/>
        <v/>
      </c>
      <c r="BA57" s="386">
        <f t="shared" si="31"/>
        <v>0</v>
      </c>
      <c r="BB57" s="386">
        <f t="shared" si="44"/>
        <v>0</v>
      </c>
      <c r="BC57" s="386">
        <f t="shared" si="45"/>
        <v>0</v>
      </c>
      <c r="BD57" s="386">
        <f t="shared" si="46"/>
        <v>0</v>
      </c>
      <c r="BE57" s="386">
        <f t="shared" si="47"/>
        <v>0</v>
      </c>
      <c r="BF57" s="386">
        <f t="shared" si="48"/>
        <v>0</v>
      </c>
      <c r="BG57" s="386">
        <f t="shared" si="49"/>
        <v>0</v>
      </c>
      <c r="BH57" s="386">
        <f t="shared" si="50"/>
        <v>0</v>
      </c>
      <c r="BI57" s="386">
        <f t="shared" si="51"/>
        <v>0</v>
      </c>
      <c r="BJ57" s="386">
        <f t="shared" si="52"/>
        <v>0</v>
      </c>
      <c r="BK57" s="386">
        <f t="shared" si="53"/>
        <v>0</v>
      </c>
      <c r="BL57" s="386">
        <f t="shared" si="32"/>
        <v>0</v>
      </c>
      <c r="BM57" s="386">
        <f t="shared" si="33"/>
        <v>0</v>
      </c>
      <c r="BN57" s="386">
        <f t="shared" si="54"/>
        <v>0</v>
      </c>
      <c r="BO57" s="386">
        <f t="shared" si="55"/>
        <v>0</v>
      </c>
      <c r="BP57" s="386">
        <f t="shared" si="56"/>
        <v>0</v>
      </c>
      <c r="BQ57" s="386">
        <f t="shared" si="57"/>
        <v>0</v>
      </c>
      <c r="BR57" s="386">
        <f t="shared" si="58"/>
        <v>0</v>
      </c>
      <c r="BS57" s="386">
        <f t="shared" si="59"/>
        <v>0</v>
      </c>
      <c r="BT57" s="386">
        <f t="shared" si="60"/>
        <v>0</v>
      </c>
      <c r="BU57" s="386">
        <f t="shared" si="61"/>
        <v>0</v>
      </c>
      <c r="BV57" s="386">
        <f t="shared" si="62"/>
        <v>0</v>
      </c>
      <c r="BW57" s="386">
        <f t="shared" si="63"/>
        <v>0</v>
      </c>
      <c r="BX57" s="386">
        <f t="shared" si="34"/>
        <v>0</v>
      </c>
      <c r="BY57" s="386">
        <f t="shared" si="35"/>
        <v>0</v>
      </c>
      <c r="BZ57" s="386">
        <f t="shared" si="36"/>
        <v>0</v>
      </c>
      <c r="CA57" s="386">
        <f t="shared" si="37"/>
        <v>0</v>
      </c>
      <c r="CB57" s="386">
        <f t="shared" si="38"/>
        <v>0</v>
      </c>
      <c r="CC57" s="386">
        <f t="shared" si="64"/>
        <v>0</v>
      </c>
      <c r="CD57" s="386">
        <f t="shared" si="65"/>
        <v>0</v>
      </c>
      <c r="CE57" s="386">
        <f t="shared" si="66"/>
        <v>0</v>
      </c>
      <c r="CF57" s="386">
        <f t="shared" si="67"/>
        <v>0</v>
      </c>
      <c r="CG57" s="386">
        <f t="shared" si="68"/>
        <v>0</v>
      </c>
      <c r="CH57" s="386">
        <f t="shared" si="69"/>
        <v>0</v>
      </c>
      <c r="CI57" s="386">
        <f t="shared" si="70"/>
        <v>0</v>
      </c>
      <c r="CJ57" s="386">
        <f t="shared" si="39"/>
        <v>0</v>
      </c>
      <c r="CK57" s="386" t="str">
        <f t="shared" si="40"/>
        <v/>
      </c>
      <c r="CL57" s="386">
        <f t="shared" si="41"/>
        <v>147054.39999999999</v>
      </c>
      <c r="CM57" s="386">
        <f t="shared" si="42"/>
        <v>62021.25</v>
      </c>
      <c r="CN57" s="386" t="str">
        <f t="shared" si="43"/>
        <v>0126-00</v>
      </c>
    </row>
    <row r="58" spans="1:92" ht="15.75" thickBot="1" x14ac:dyDescent="0.3">
      <c r="A58" s="376" t="s">
        <v>161</v>
      </c>
      <c r="B58" s="376" t="s">
        <v>162</v>
      </c>
      <c r="C58" s="376" t="s">
        <v>408</v>
      </c>
      <c r="D58" s="376" t="s">
        <v>268</v>
      </c>
      <c r="E58" s="376" t="s">
        <v>374</v>
      </c>
      <c r="F58" s="377" t="s">
        <v>166</v>
      </c>
      <c r="G58" s="376" t="s">
        <v>375</v>
      </c>
      <c r="H58" s="378"/>
      <c r="I58" s="378"/>
      <c r="J58" s="376" t="s">
        <v>168</v>
      </c>
      <c r="K58" s="376" t="s">
        <v>269</v>
      </c>
      <c r="L58" s="376" t="s">
        <v>166</v>
      </c>
      <c r="M58" s="376" t="s">
        <v>171</v>
      </c>
      <c r="N58" s="376" t="s">
        <v>270</v>
      </c>
      <c r="O58" s="379">
        <v>0</v>
      </c>
      <c r="P58" s="384">
        <v>0</v>
      </c>
      <c r="Q58" s="384">
        <v>0</v>
      </c>
      <c r="R58" s="380">
        <v>0</v>
      </c>
      <c r="S58" s="384">
        <v>0</v>
      </c>
      <c r="T58" s="380">
        <v>175867.41</v>
      </c>
      <c r="U58" s="380">
        <v>0</v>
      </c>
      <c r="V58" s="380">
        <v>37721.74</v>
      </c>
      <c r="W58" s="380">
        <v>0</v>
      </c>
      <c r="X58" s="380">
        <v>0</v>
      </c>
      <c r="Y58" s="380">
        <v>0</v>
      </c>
      <c r="Z58" s="380">
        <v>0</v>
      </c>
      <c r="AA58" s="378"/>
      <c r="AB58" s="376" t="s">
        <v>45</v>
      </c>
      <c r="AC58" s="376" t="s">
        <v>45</v>
      </c>
      <c r="AD58" s="378"/>
      <c r="AE58" s="378"/>
      <c r="AF58" s="378"/>
      <c r="AG58" s="378"/>
      <c r="AH58" s="379">
        <v>0</v>
      </c>
      <c r="AI58" s="379">
        <v>0</v>
      </c>
      <c r="AJ58" s="378"/>
      <c r="AK58" s="378"/>
      <c r="AL58" s="376" t="s">
        <v>170</v>
      </c>
      <c r="AM58" s="378"/>
      <c r="AN58" s="378"/>
      <c r="AO58" s="379">
        <v>0</v>
      </c>
      <c r="AP58" s="384">
        <v>0</v>
      </c>
      <c r="AQ58" s="384">
        <v>0</v>
      </c>
      <c r="AR58" s="383"/>
      <c r="AS58" s="386">
        <f t="shared" si="27"/>
        <v>0</v>
      </c>
      <c r="AT58">
        <f t="shared" si="28"/>
        <v>0</v>
      </c>
      <c r="AU58" s="386" t="str">
        <f>IF(AT58=0,"",IF(AND(AT58=1,M58="F",SUMIF(C2:C167,C58,AS2:AS167)&lt;=1),SUMIF(C2:C167,C58,AS2:AS167),IF(AND(AT58=1,M58="F",SUMIF(C2:C167,C58,AS2:AS167)&gt;1),1,"")))</f>
        <v/>
      </c>
      <c r="AV58" s="386" t="str">
        <f>IF(AT58=0,"",IF(AND(AT58=3,M58="F",SUMIF(C2:C167,C58,AS2:AS167)&lt;=1),SUMIF(C2:C167,C58,AS2:AS167),IF(AND(AT58=3,M58="F",SUMIF(C2:C167,C58,AS2:AS167)&gt;1),1,"")))</f>
        <v/>
      </c>
      <c r="AW58" s="386">
        <f>SUMIF(C2:C167,C58,O2:O167)</f>
        <v>0</v>
      </c>
      <c r="AX58" s="386">
        <f>IF(AND(M58="F",AS58&lt;&gt;0),SUMIF(C2:C167,C58,W2:W167),0)</f>
        <v>0</v>
      </c>
      <c r="AY58" s="386" t="str">
        <f t="shared" si="29"/>
        <v/>
      </c>
      <c r="AZ58" s="386" t="str">
        <f t="shared" si="30"/>
        <v/>
      </c>
      <c r="BA58" s="386">
        <f t="shared" si="31"/>
        <v>0</v>
      </c>
      <c r="BB58" s="386">
        <f t="shared" si="44"/>
        <v>0</v>
      </c>
      <c r="BC58" s="386">
        <f t="shared" si="45"/>
        <v>0</v>
      </c>
      <c r="BD58" s="386">
        <f t="shared" si="46"/>
        <v>0</v>
      </c>
      <c r="BE58" s="386">
        <f t="shared" si="47"/>
        <v>0</v>
      </c>
      <c r="BF58" s="386">
        <f t="shared" si="48"/>
        <v>0</v>
      </c>
      <c r="BG58" s="386">
        <f t="shared" si="49"/>
        <v>0</v>
      </c>
      <c r="BH58" s="386">
        <f t="shared" si="50"/>
        <v>0</v>
      </c>
      <c r="BI58" s="386">
        <f t="shared" si="51"/>
        <v>0</v>
      </c>
      <c r="BJ58" s="386">
        <f t="shared" si="52"/>
        <v>0</v>
      </c>
      <c r="BK58" s="386">
        <f t="shared" si="53"/>
        <v>0</v>
      </c>
      <c r="BL58" s="386">
        <f t="shared" si="32"/>
        <v>0</v>
      </c>
      <c r="BM58" s="386">
        <f t="shared" si="33"/>
        <v>0</v>
      </c>
      <c r="BN58" s="386">
        <f t="shared" si="54"/>
        <v>0</v>
      </c>
      <c r="BO58" s="386">
        <f t="shared" si="55"/>
        <v>0</v>
      </c>
      <c r="BP58" s="386">
        <f t="shared" si="56"/>
        <v>0</v>
      </c>
      <c r="BQ58" s="386">
        <f t="shared" si="57"/>
        <v>0</v>
      </c>
      <c r="BR58" s="386">
        <f t="shared" si="58"/>
        <v>0</v>
      </c>
      <c r="BS58" s="386">
        <f t="shared" si="59"/>
        <v>0</v>
      </c>
      <c r="BT58" s="386">
        <f t="shared" si="60"/>
        <v>0</v>
      </c>
      <c r="BU58" s="386">
        <f t="shared" si="61"/>
        <v>0</v>
      </c>
      <c r="BV58" s="386">
        <f t="shared" si="62"/>
        <v>0</v>
      </c>
      <c r="BW58" s="386">
        <f t="shared" si="63"/>
        <v>0</v>
      </c>
      <c r="BX58" s="386">
        <f t="shared" si="34"/>
        <v>0</v>
      </c>
      <c r="BY58" s="386">
        <f t="shared" si="35"/>
        <v>0</v>
      </c>
      <c r="BZ58" s="386">
        <f t="shared" si="36"/>
        <v>0</v>
      </c>
      <c r="CA58" s="386">
        <f t="shared" si="37"/>
        <v>0</v>
      </c>
      <c r="CB58" s="386">
        <f t="shared" si="38"/>
        <v>0</v>
      </c>
      <c r="CC58" s="386">
        <f t="shared" si="64"/>
        <v>0</v>
      </c>
      <c r="CD58" s="386">
        <f t="shared" si="65"/>
        <v>0</v>
      </c>
      <c r="CE58" s="386">
        <f t="shared" si="66"/>
        <v>0</v>
      </c>
      <c r="CF58" s="386">
        <f t="shared" si="67"/>
        <v>0</v>
      </c>
      <c r="CG58" s="386">
        <f t="shared" si="68"/>
        <v>0</v>
      </c>
      <c r="CH58" s="386">
        <f t="shared" si="69"/>
        <v>0</v>
      </c>
      <c r="CI58" s="386">
        <f t="shared" si="70"/>
        <v>0</v>
      </c>
      <c r="CJ58" s="386">
        <f t="shared" si="39"/>
        <v>0</v>
      </c>
      <c r="CK58" s="386" t="str">
        <f t="shared" si="40"/>
        <v/>
      </c>
      <c r="CL58" s="386">
        <f t="shared" si="41"/>
        <v>175867.41</v>
      </c>
      <c r="CM58" s="386">
        <f t="shared" si="42"/>
        <v>37721.74</v>
      </c>
      <c r="CN58" s="386" t="str">
        <f t="shared" si="43"/>
        <v>0126-00</v>
      </c>
    </row>
    <row r="59" spans="1:92" ht="15.75" thickBot="1" x14ac:dyDescent="0.3">
      <c r="A59" s="376" t="s">
        <v>161</v>
      </c>
      <c r="B59" s="376" t="s">
        <v>162</v>
      </c>
      <c r="C59" s="376" t="s">
        <v>409</v>
      </c>
      <c r="D59" s="376" t="s">
        <v>410</v>
      </c>
      <c r="E59" s="376" t="s">
        <v>374</v>
      </c>
      <c r="F59" s="377" t="s">
        <v>166</v>
      </c>
      <c r="G59" s="376" t="s">
        <v>375</v>
      </c>
      <c r="H59" s="378"/>
      <c r="I59" s="378"/>
      <c r="J59" s="376" t="s">
        <v>168</v>
      </c>
      <c r="K59" s="376" t="s">
        <v>411</v>
      </c>
      <c r="L59" s="376" t="s">
        <v>166</v>
      </c>
      <c r="M59" s="376" t="s">
        <v>171</v>
      </c>
      <c r="N59" s="376" t="s">
        <v>172</v>
      </c>
      <c r="O59" s="379">
        <v>1</v>
      </c>
      <c r="P59" s="384">
        <v>1</v>
      </c>
      <c r="Q59" s="384">
        <v>1</v>
      </c>
      <c r="R59" s="380">
        <v>80</v>
      </c>
      <c r="S59" s="384">
        <v>1</v>
      </c>
      <c r="T59" s="380">
        <v>0</v>
      </c>
      <c r="U59" s="380">
        <v>0</v>
      </c>
      <c r="V59" s="380">
        <v>0</v>
      </c>
      <c r="W59" s="380">
        <v>70720</v>
      </c>
      <c r="X59" s="380">
        <v>26508.959999999999</v>
      </c>
      <c r="Y59" s="380">
        <v>70720</v>
      </c>
      <c r="Z59" s="380">
        <v>26141.22</v>
      </c>
      <c r="AA59" s="376" t="s">
        <v>412</v>
      </c>
      <c r="AB59" s="376" t="s">
        <v>413</v>
      </c>
      <c r="AC59" s="376" t="s">
        <v>414</v>
      </c>
      <c r="AD59" s="376" t="s">
        <v>251</v>
      </c>
      <c r="AE59" s="376" t="s">
        <v>411</v>
      </c>
      <c r="AF59" s="376" t="s">
        <v>177</v>
      </c>
      <c r="AG59" s="376" t="s">
        <v>178</v>
      </c>
      <c r="AH59" s="379">
        <v>34</v>
      </c>
      <c r="AI59" s="381">
        <v>11126.9</v>
      </c>
      <c r="AJ59" s="376" t="s">
        <v>179</v>
      </c>
      <c r="AK59" s="376" t="s">
        <v>180</v>
      </c>
      <c r="AL59" s="376" t="s">
        <v>170</v>
      </c>
      <c r="AM59" s="376" t="s">
        <v>181</v>
      </c>
      <c r="AN59" s="376" t="s">
        <v>68</v>
      </c>
      <c r="AO59" s="379">
        <v>80</v>
      </c>
      <c r="AP59" s="384">
        <v>1</v>
      </c>
      <c r="AQ59" s="384">
        <v>1</v>
      </c>
      <c r="AR59" s="382" t="s">
        <v>182</v>
      </c>
      <c r="AS59" s="386">
        <f t="shared" si="27"/>
        <v>1</v>
      </c>
      <c r="AT59">
        <f t="shared" si="28"/>
        <v>1</v>
      </c>
      <c r="AU59" s="386">
        <f>IF(AT59=0,"",IF(AND(AT59=1,M59="F",SUMIF(C2:C167,C59,AS2:AS167)&lt;=1),SUMIF(C2:C167,C59,AS2:AS167),IF(AND(AT59=1,M59="F",SUMIF(C2:C167,C59,AS2:AS167)&gt;1),1,"")))</f>
        <v>1</v>
      </c>
      <c r="AV59" s="386" t="str">
        <f>IF(AT59=0,"",IF(AND(AT59=3,M59="F",SUMIF(C2:C167,C59,AS2:AS167)&lt;=1),SUMIF(C2:C167,C59,AS2:AS167),IF(AND(AT59=3,M59="F",SUMIF(C2:C167,C59,AS2:AS167)&gt;1),1,"")))</f>
        <v/>
      </c>
      <c r="AW59" s="386">
        <f>SUMIF(C2:C167,C59,O2:O167)</f>
        <v>1</v>
      </c>
      <c r="AX59" s="386">
        <f>IF(AND(M59="F",AS59&lt;&gt;0),SUMIF(C2:C167,C59,W2:W167),0)</f>
        <v>70720</v>
      </c>
      <c r="AY59" s="386">
        <f t="shared" si="29"/>
        <v>70720</v>
      </c>
      <c r="AZ59" s="386" t="str">
        <f t="shared" si="30"/>
        <v/>
      </c>
      <c r="BA59" s="386">
        <f t="shared" si="31"/>
        <v>0</v>
      </c>
      <c r="BB59" s="386">
        <f t="shared" si="44"/>
        <v>11650</v>
      </c>
      <c r="BC59" s="386">
        <f t="shared" si="45"/>
        <v>0</v>
      </c>
      <c r="BD59" s="386">
        <f t="shared" si="46"/>
        <v>4384.6400000000003</v>
      </c>
      <c r="BE59" s="386">
        <f t="shared" si="47"/>
        <v>1025.44</v>
      </c>
      <c r="BF59" s="386">
        <f t="shared" si="48"/>
        <v>8443.9680000000008</v>
      </c>
      <c r="BG59" s="386">
        <f t="shared" si="49"/>
        <v>509.89120000000003</v>
      </c>
      <c r="BH59" s="386">
        <f t="shared" si="50"/>
        <v>346.52799999999996</v>
      </c>
      <c r="BI59" s="386">
        <f t="shared" si="51"/>
        <v>0</v>
      </c>
      <c r="BJ59" s="386">
        <f t="shared" si="52"/>
        <v>148.512</v>
      </c>
      <c r="BK59" s="386">
        <f t="shared" si="53"/>
        <v>0</v>
      </c>
      <c r="BL59" s="386">
        <f t="shared" si="32"/>
        <v>14858.979200000002</v>
      </c>
      <c r="BM59" s="386">
        <f t="shared" si="33"/>
        <v>0</v>
      </c>
      <c r="BN59" s="386">
        <f t="shared" si="54"/>
        <v>11650</v>
      </c>
      <c r="BO59" s="386">
        <f t="shared" si="55"/>
        <v>0</v>
      </c>
      <c r="BP59" s="386">
        <f t="shared" si="56"/>
        <v>4384.6400000000003</v>
      </c>
      <c r="BQ59" s="386">
        <f t="shared" si="57"/>
        <v>1025.44</v>
      </c>
      <c r="BR59" s="386">
        <f t="shared" si="58"/>
        <v>8443.9680000000008</v>
      </c>
      <c r="BS59" s="386">
        <f t="shared" si="59"/>
        <v>509.89120000000003</v>
      </c>
      <c r="BT59" s="386">
        <f t="shared" si="60"/>
        <v>0</v>
      </c>
      <c r="BU59" s="386">
        <f t="shared" si="61"/>
        <v>0</v>
      </c>
      <c r="BV59" s="386">
        <f t="shared" si="62"/>
        <v>127.29599999999999</v>
      </c>
      <c r="BW59" s="386">
        <f t="shared" si="63"/>
        <v>0</v>
      </c>
      <c r="BX59" s="386">
        <f t="shared" si="34"/>
        <v>14491.235200000001</v>
      </c>
      <c r="BY59" s="386">
        <f t="shared" si="35"/>
        <v>0</v>
      </c>
      <c r="BZ59" s="386">
        <f t="shared" si="36"/>
        <v>0</v>
      </c>
      <c r="CA59" s="386">
        <f t="shared" si="37"/>
        <v>0</v>
      </c>
      <c r="CB59" s="386">
        <f t="shared" si="38"/>
        <v>0</v>
      </c>
      <c r="CC59" s="386">
        <f t="shared" si="64"/>
        <v>0</v>
      </c>
      <c r="CD59" s="386">
        <f t="shared" si="65"/>
        <v>0</v>
      </c>
      <c r="CE59" s="386">
        <f t="shared" si="66"/>
        <v>0</v>
      </c>
      <c r="CF59" s="386">
        <f t="shared" si="67"/>
        <v>-346.52799999999996</v>
      </c>
      <c r="CG59" s="386">
        <f t="shared" si="68"/>
        <v>0</v>
      </c>
      <c r="CH59" s="386">
        <f t="shared" si="69"/>
        <v>-21.215999999999994</v>
      </c>
      <c r="CI59" s="386">
        <f t="shared" si="70"/>
        <v>0</v>
      </c>
      <c r="CJ59" s="386">
        <f t="shared" si="39"/>
        <v>-367.74399999999997</v>
      </c>
      <c r="CK59" s="386" t="str">
        <f t="shared" si="40"/>
        <v/>
      </c>
      <c r="CL59" s="386" t="str">
        <f t="shared" si="41"/>
        <v/>
      </c>
      <c r="CM59" s="386" t="str">
        <f t="shared" si="42"/>
        <v/>
      </c>
      <c r="CN59" s="386" t="str">
        <f t="shared" si="43"/>
        <v>0126-00</v>
      </c>
    </row>
    <row r="60" spans="1:92" ht="15.75" thickBot="1" x14ac:dyDescent="0.3">
      <c r="A60" s="376" t="s">
        <v>161</v>
      </c>
      <c r="B60" s="376" t="s">
        <v>162</v>
      </c>
      <c r="C60" s="376" t="s">
        <v>316</v>
      </c>
      <c r="D60" s="376" t="s">
        <v>268</v>
      </c>
      <c r="E60" s="376" t="s">
        <v>374</v>
      </c>
      <c r="F60" s="377" t="s">
        <v>166</v>
      </c>
      <c r="G60" s="376" t="s">
        <v>375</v>
      </c>
      <c r="H60" s="378"/>
      <c r="I60" s="378"/>
      <c r="J60" s="376" t="s">
        <v>168</v>
      </c>
      <c r="K60" s="376" t="s">
        <v>269</v>
      </c>
      <c r="L60" s="376" t="s">
        <v>166</v>
      </c>
      <c r="M60" s="376" t="s">
        <v>171</v>
      </c>
      <c r="N60" s="376" t="s">
        <v>270</v>
      </c>
      <c r="O60" s="379">
        <v>0</v>
      </c>
      <c r="P60" s="384">
        <v>0</v>
      </c>
      <c r="Q60" s="384">
        <v>0</v>
      </c>
      <c r="R60" s="380">
        <v>0</v>
      </c>
      <c r="S60" s="384">
        <v>0</v>
      </c>
      <c r="T60" s="380">
        <v>529120.24</v>
      </c>
      <c r="U60" s="380">
        <v>185.25</v>
      </c>
      <c r="V60" s="380">
        <v>184442.48</v>
      </c>
      <c r="W60" s="380">
        <v>0</v>
      </c>
      <c r="X60" s="380">
        <v>0</v>
      </c>
      <c r="Y60" s="380">
        <v>0</v>
      </c>
      <c r="Z60" s="380">
        <v>0</v>
      </c>
      <c r="AA60" s="378"/>
      <c r="AB60" s="376" t="s">
        <v>45</v>
      </c>
      <c r="AC60" s="376" t="s">
        <v>45</v>
      </c>
      <c r="AD60" s="378"/>
      <c r="AE60" s="378"/>
      <c r="AF60" s="378"/>
      <c r="AG60" s="378"/>
      <c r="AH60" s="379">
        <v>0</v>
      </c>
      <c r="AI60" s="379">
        <v>0</v>
      </c>
      <c r="AJ60" s="378"/>
      <c r="AK60" s="378"/>
      <c r="AL60" s="376" t="s">
        <v>170</v>
      </c>
      <c r="AM60" s="378"/>
      <c r="AN60" s="378"/>
      <c r="AO60" s="379">
        <v>0</v>
      </c>
      <c r="AP60" s="384">
        <v>0</v>
      </c>
      <c r="AQ60" s="384">
        <v>0</v>
      </c>
      <c r="AR60" s="383"/>
      <c r="AS60" s="386">
        <f t="shared" si="27"/>
        <v>0</v>
      </c>
      <c r="AT60">
        <f t="shared" si="28"/>
        <v>0</v>
      </c>
      <c r="AU60" s="386" t="str">
        <f>IF(AT60=0,"",IF(AND(AT60=1,M60="F",SUMIF(C2:C167,C60,AS2:AS167)&lt;=1),SUMIF(C2:C167,C60,AS2:AS167),IF(AND(AT60=1,M60="F",SUMIF(C2:C167,C60,AS2:AS167)&gt;1),1,"")))</f>
        <v/>
      </c>
      <c r="AV60" s="386" t="str">
        <f>IF(AT60=0,"",IF(AND(AT60=3,M60="F",SUMIF(C2:C167,C60,AS2:AS167)&lt;=1),SUMIF(C2:C167,C60,AS2:AS167),IF(AND(AT60=3,M60="F",SUMIF(C2:C167,C60,AS2:AS167)&gt;1),1,"")))</f>
        <v/>
      </c>
      <c r="AW60" s="386">
        <f>SUMIF(C2:C167,C60,O2:O167)</f>
        <v>0</v>
      </c>
      <c r="AX60" s="386">
        <f>IF(AND(M60="F",AS60&lt;&gt;0),SUMIF(C2:C167,C60,W2:W167),0)</f>
        <v>0</v>
      </c>
      <c r="AY60" s="386" t="str">
        <f t="shared" si="29"/>
        <v/>
      </c>
      <c r="AZ60" s="386" t="str">
        <f t="shared" si="30"/>
        <v/>
      </c>
      <c r="BA60" s="386">
        <f t="shared" si="31"/>
        <v>0</v>
      </c>
      <c r="BB60" s="386">
        <f t="shared" si="44"/>
        <v>0</v>
      </c>
      <c r="BC60" s="386">
        <f t="shared" si="45"/>
        <v>0</v>
      </c>
      <c r="BD60" s="386">
        <f t="shared" si="46"/>
        <v>0</v>
      </c>
      <c r="BE60" s="386">
        <f t="shared" si="47"/>
        <v>0</v>
      </c>
      <c r="BF60" s="386">
        <f t="shared" si="48"/>
        <v>0</v>
      </c>
      <c r="BG60" s="386">
        <f t="shared" si="49"/>
        <v>0</v>
      </c>
      <c r="BH60" s="386">
        <f t="shared" si="50"/>
        <v>0</v>
      </c>
      <c r="BI60" s="386">
        <f t="shared" si="51"/>
        <v>0</v>
      </c>
      <c r="BJ60" s="386">
        <f t="shared" si="52"/>
        <v>0</v>
      </c>
      <c r="BK60" s="386">
        <f t="shared" si="53"/>
        <v>0</v>
      </c>
      <c r="BL60" s="386">
        <f t="shared" si="32"/>
        <v>0</v>
      </c>
      <c r="BM60" s="386">
        <f t="shared" si="33"/>
        <v>0</v>
      </c>
      <c r="BN60" s="386">
        <f t="shared" si="54"/>
        <v>0</v>
      </c>
      <c r="BO60" s="386">
        <f t="shared" si="55"/>
        <v>0</v>
      </c>
      <c r="BP60" s="386">
        <f t="shared" si="56"/>
        <v>0</v>
      </c>
      <c r="BQ60" s="386">
        <f t="shared" si="57"/>
        <v>0</v>
      </c>
      <c r="BR60" s="386">
        <f t="shared" si="58"/>
        <v>0</v>
      </c>
      <c r="BS60" s="386">
        <f t="shared" si="59"/>
        <v>0</v>
      </c>
      <c r="BT60" s="386">
        <f t="shared" si="60"/>
        <v>0</v>
      </c>
      <c r="BU60" s="386">
        <f t="shared" si="61"/>
        <v>0</v>
      </c>
      <c r="BV60" s="386">
        <f t="shared" si="62"/>
        <v>0</v>
      </c>
      <c r="BW60" s="386">
        <f t="shared" si="63"/>
        <v>0</v>
      </c>
      <c r="BX60" s="386">
        <f t="shared" si="34"/>
        <v>0</v>
      </c>
      <c r="BY60" s="386">
        <f t="shared" si="35"/>
        <v>0</v>
      </c>
      <c r="BZ60" s="386">
        <f t="shared" si="36"/>
        <v>0</v>
      </c>
      <c r="CA60" s="386">
        <f t="shared" si="37"/>
        <v>0</v>
      </c>
      <c r="CB60" s="386">
        <f t="shared" si="38"/>
        <v>0</v>
      </c>
      <c r="CC60" s="386">
        <f t="shared" si="64"/>
        <v>0</v>
      </c>
      <c r="CD60" s="386">
        <f t="shared" si="65"/>
        <v>0</v>
      </c>
      <c r="CE60" s="386">
        <f t="shared" si="66"/>
        <v>0</v>
      </c>
      <c r="CF60" s="386">
        <f t="shared" si="67"/>
        <v>0</v>
      </c>
      <c r="CG60" s="386">
        <f t="shared" si="68"/>
        <v>0</v>
      </c>
      <c r="CH60" s="386">
        <f t="shared" si="69"/>
        <v>0</v>
      </c>
      <c r="CI60" s="386">
        <f t="shared" si="70"/>
        <v>0</v>
      </c>
      <c r="CJ60" s="386">
        <f t="shared" si="39"/>
        <v>0</v>
      </c>
      <c r="CK60" s="386" t="str">
        <f t="shared" si="40"/>
        <v/>
      </c>
      <c r="CL60" s="386">
        <f t="shared" si="41"/>
        <v>529305.49</v>
      </c>
      <c r="CM60" s="386">
        <f t="shared" si="42"/>
        <v>184442.48</v>
      </c>
      <c r="CN60" s="386" t="str">
        <f t="shared" si="43"/>
        <v>0126-00</v>
      </c>
    </row>
    <row r="61" spans="1:92" ht="15.75" thickBot="1" x14ac:dyDescent="0.3">
      <c r="A61" s="376" t="s">
        <v>161</v>
      </c>
      <c r="B61" s="376" t="s">
        <v>162</v>
      </c>
      <c r="C61" s="376" t="s">
        <v>415</v>
      </c>
      <c r="D61" s="376" t="s">
        <v>395</v>
      </c>
      <c r="E61" s="376" t="s">
        <v>374</v>
      </c>
      <c r="F61" s="377" t="s">
        <v>166</v>
      </c>
      <c r="G61" s="376" t="s">
        <v>375</v>
      </c>
      <c r="H61" s="378"/>
      <c r="I61" s="378"/>
      <c r="J61" s="376" t="s">
        <v>168</v>
      </c>
      <c r="K61" s="376" t="s">
        <v>416</v>
      </c>
      <c r="L61" s="376" t="s">
        <v>166</v>
      </c>
      <c r="M61" s="376" t="s">
        <v>171</v>
      </c>
      <c r="N61" s="376" t="s">
        <v>172</v>
      </c>
      <c r="O61" s="379">
        <v>1</v>
      </c>
      <c r="P61" s="384">
        <v>0</v>
      </c>
      <c r="Q61" s="384">
        <v>0</v>
      </c>
      <c r="R61" s="380">
        <v>80</v>
      </c>
      <c r="S61" s="384">
        <v>0</v>
      </c>
      <c r="T61" s="380">
        <v>965.4</v>
      </c>
      <c r="U61" s="380">
        <v>0</v>
      </c>
      <c r="V61" s="380">
        <v>401.73</v>
      </c>
      <c r="W61" s="380">
        <v>0</v>
      </c>
      <c r="X61" s="380">
        <v>0</v>
      </c>
      <c r="Y61" s="380">
        <v>0</v>
      </c>
      <c r="Z61" s="380">
        <v>0</v>
      </c>
      <c r="AA61" s="376" t="s">
        <v>417</v>
      </c>
      <c r="AB61" s="376" t="s">
        <v>418</v>
      </c>
      <c r="AC61" s="376" t="s">
        <v>419</v>
      </c>
      <c r="AD61" s="376" t="s">
        <v>265</v>
      </c>
      <c r="AE61" s="376" t="s">
        <v>416</v>
      </c>
      <c r="AF61" s="376" t="s">
        <v>177</v>
      </c>
      <c r="AG61" s="376" t="s">
        <v>178</v>
      </c>
      <c r="AH61" s="381">
        <v>26.08</v>
      </c>
      <c r="AI61" s="381">
        <v>15621.6</v>
      </c>
      <c r="AJ61" s="376" t="s">
        <v>179</v>
      </c>
      <c r="AK61" s="376" t="s">
        <v>180</v>
      </c>
      <c r="AL61" s="376" t="s">
        <v>170</v>
      </c>
      <c r="AM61" s="376" t="s">
        <v>181</v>
      </c>
      <c r="AN61" s="376" t="s">
        <v>68</v>
      </c>
      <c r="AO61" s="379">
        <v>80</v>
      </c>
      <c r="AP61" s="384">
        <v>1</v>
      </c>
      <c r="AQ61" s="384">
        <v>0</v>
      </c>
      <c r="AR61" s="382" t="s">
        <v>182</v>
      </c>
      <c r="AS61" s="386">
        <f t="shared" si="27"/>
        <v>0</v>
      </c>
      <c r="AT61">
        <f t="shared" si="28"/>
        <v>0</v>
      </c>
      <c r="AU61" s="386" t="str">
        <f>IF(AT61=0,"",IF(AND(AT61=1,M61="F",SUMIF(C2:C167,C61,AS2:AS167)&lt;=1),SUMIF(C2:C167,C61,AS2:AS167),IF(AND(AT61=1,M61="F",SUMIF(C2:C167,C61,AS2:AS167)&gt;1),1,"")))</f>
        <v/>
      </c>
      <c r="AV61" s="386" t="str">
        <f>IF(AT61=0,"",IF(AND(AT61=3,M61="F",SUMIF(C2:C167,C61,AS2:AS167)&lt;=1),SUMIF(C2:C167,C61,AS2:AS167),IF(AND(AT61=3,M61="F",SUMIF(C2:C167,C61,AS2:AS167)&gt;1),1,"")))</f>
        <v/>
      </c>
      <c r="AW61" s="386">
        <f>SUMIF(C2:C167,C61,O2:O167)</f>
        <v>2</v>
      </c>
      <c r="AX61" s="386">
        <f>IF(AND(M61="F",AS61&lt;&gt;0),SUMIF(C2:C167,C61,W2:W167),0)</f>
        <v>0</v>
      </c>
      <c r="AY61" s="386" t="str">
        <f t="shared" si="29"/>
        <v/>
      </c>
      <c r="AZ61" s="386" t="str">
        <f t="shared" si="30"/>
        <v/>
      </c>
      <c r="BA61" s="386">
        <f t="shared" si="31"/>
        <v>0</v>
      </c>
      <c r="BB61" s="386">
        <f t="shared" si="44"/>
        <v>0</v>
      </c>
      <c r="BC61" s="386">
        <f t="shared" si="45"/>
        <v>0</v>
      </c>
      <c r="BD61" s="386">
        <f t="shared" si="46"/>
        <v>0</v>
      </c>
      <c r="BE61" s="386">
        <f t="shared" si="47"/>
        <v>0</v>
      </c>
      <c r="BF61" s="386">
        <f t="shared" si="48"/>
        <v>0</v>
      </c>
      <c r="BG61" s="386">
        <f t="shared" si="49"/>
        <v>0</v>
      </c>
      <c r="BH61" s="386">
        <f t="shared" si="50"/>
        <v>0</v>
      </c>
      <c r="BI61" s="386">
        <f t="shared" si="51"/>
        <v>0</v>
      </c>
      <c r="BJ61" s="386">
        <f t="shared" si="52"/>
        <v>0</v>
      </c>
      <c r="BK61" s="386">
        <f t="shared" si="53"/>
        <v>0</v>
      </c>
      <c r="BL61" s="386">
        <f t="shared" si="32"/>
        <v>0</v>
      </c>
      <c r="BM61" s="386">
        <f t="shared" si="33"/>
        <v>0</v>
      </c>
      <c r="BN61" s="386">
        <f t="shared" si="54"/>
        <v>0</v>
      </c>
      <c r="BO61" s="386">
        <f t="shared" si="55"/>
        <v>0</v>
      </c>
      <c r="BP61" s="386">
        <f t="shared" si="56"/>
        <v>0</v>
      </c>
      <c r="BQ61" s="386">
        <f t="shared" si="57"/>
        <v>0</v>
      </c>
      <c r="BR61" s="386">
        <f t="shared" si="58"/>
        <v>0</v>
      </c>
      <c r="BS61" s="386">
        <f t="shared" si="59"/>
        <v>0</v>
      </c>
      <c r="BT61" s="386">
        <f t="shared" si="60"/>
        <v>0</v>
      </c>
      <c r="BU61" s="386">
        <f t="shared" si="61"/>
        <v>0</v>
      </c>
      <c r="BV61" s="386">
        <f t="shared" si="62"/>
        <v>0</v>
      </c>
      <c r="BW61" s="386">
        <f t="shared" si="63"/>
        <v>0</v>
      </c>
      <c r="BX61" s="386">
        <f t="shared" si="34"/>
        <v>0</v>
      </c>
      <c r="BY61" s="386">
        <f t="shared" si="35"/>
        <v>0</v>
      </c>
      <c r="BZ61" s="386">
        <f t="shared" si="36"/>
        <v>0</v>
      </c>
      <c r="CA61" s="386">
        <f t="shared" si="37"/>
        <v>0</v>
      </c>
      <c r="CB61" s="386">
        <f t="shared" si="38"/>
        <v>0</v>
      </c>
      <c r="CC61" s="386">
        <f t="shared" si="64"/>
        <v>0</v>
      </c>
      <c r="CD61" s="386">
        <f t="shared" si="65"/>
        <v>0</v>
      </c>
      <c r="CE61" s="386">
        <f t="shared" si="66"/>
        <v>0</v>
      </c>
      <c r="CF61" s="386">
        <f t="shared" si="67"/>
        <v>0</v>
      </c>
      <c r="CG61" s="386">
        <f t="shared" si="68"/>
        <v>0</v>
      </c>
      <c r="CH61" s="386">
        <f t="shared" si="69"/>
        <v>0</v>
      </c>
      <c r="CI61" s="386">
        <f t="shared" si="70"/>
        <v>0</v>
      </c>
      <c r="CJ61" s="386">
        <f t="shared" si="39"/>
        <v>0</v>
      </c>
      <c r="CK61" s="386" t="str">
        <f t="shared" si="40"/>
        <v/>
      </c>
      <c r="CL61" s="386" t="str">
        <f t="shared" si="41"/>
        <v/>
      </c>
      <c r="CM61" s="386" t="str">
        <f t="shared" si="42"/>
        <v/>
      </c>
      <c r="CN61" s="386" t="str">
        <f t="shared" si="43"/>
        <v>0126-00</v>
      </c>
    </row>
    <row r="62" spans="1:92" ht="15.75" thickBot="1" x14ac:dyDescent="0.3">
      <c r="A62" s="376" t="s">
        <v>161</v>
      </c>
      <c r="B62" s="376" t="s">
        <v>162</v>
      </c>
      <c r="C62" s="376" t="s">
        <v>290</v>
      </c>
      <c r="D62" s="376" t="s">
        <v>291</v>
      </c>
      <c r="E62" s="376" t="s">
        <v>374</v>
      </c>
      <c r="F62" s="377" t="s">
        <v>166</v>
      </c>
      <c r="G62" s="376" t="s">
        <v>375</v>
      </c>
      <c r="H62" s="378"/>
      <c r="I62" s="378"/>
      <c r="J62" s="376" t="s">
        <v>168</v>
      </c>
      <c r="K62" s="376" t="s">
        <v>292</v>
      </c>
      <c r="L62" s="376" t="s">
        <v>289</v>
      </c>
      <c r="M62" s="376" t="s">
        <v>171</v>
      </c>
      <c r="N62" s="376" t="s">
        <v>172</v>
      </c>
      <c r="O62" s="379">
        <v>1</v>
      </c>
      <c r="P62" s="384">
        <v>0</v>
      </c>
      <c r="Q62" s="384">
        <v>0</v>
      </c>
      <c r="R62" s="380">
        <v>80</v>
      </c>
      <c r="S62" s="384">
        <v>0</v>
      </c>
      <c r="T62" s="380">
        <v>1539.88</v>
      </c>
      <c r="U62" s="380">
        <v>0</v>
      </c>
      <c r="V62" s="380">
        <v>599.98</v>
      </c>
      <c r="W62" s="380">
        <v>0</v>
      </c>
      <c r="X62" s="380">
        <v>0</v>
      </c>
      <c r="Y62" s="380">
        <v>0</v>
      </c>
      <c r="Z62" s="380">
        <v>0</v>
      </c>
      <c r="AA62" s="376" t="s">
        <v>293</v>
      </c>
      <c r="AB62" s="376" t="s">
        <v>294</v>
      </c>
      <c r="AC62" s="376" t="s">
        <v>295</v>
      </c>
      <c r="AD62" s="376" t="s">
        <v>289</v>
      </c>
      <c r="AE62" s="376" t="s">
        <v>292</v>
      </c>
      <c r="AF62" s="376" t="s">
        <v>177</v>
      </c>
      <c r="AG62" s="376" t="s">
        <v>178</v>
      </c>
      <c r="AH62" s="379">
        <v>32</v>
      </c>
      <c r="AI62" s="381">
        <v>18708.5</v>
      </c>
      <c r="AJ62" s="376" t="s">
        <v>179</v>
      </c>
      <c r="AK62" s="376" t="s">
        <v>180</v>
      </c>
      <c r="AL62" s="376" t="s">
        <v>170</v>
      </c>
      <c r="AM62" s="376" t="s">
        <v>181</v>
      </c>
      <c r="AN62" s="376" t="s">
        <v>68</v>
      </c>
      <c r="AO62" s="379">
        <v>80</v>
      </c>
      <c r="AP62" s="384">
        <v>1</v>
      </c>
      <c r="AQ62" s="384">
        <v>0</v>
      </c>
      <c r="AR62" s="382" t="s">
        <v>182</v>
      </c>
      <c r="AS62" s="386">
        <f t="shared" si="27"/>
        <v>0</v>
      </c>
      <c r="AT62">
        <f t="shared" si="28"/>
        <v>0</v>
      </c>
      <c r="AU62" s="386" t="str">
        <f>IF(AT62=0,"",IF(AND(AT62=1,M62="F",SUMIF(C2:C167,C62,AS2:AS167)&lt;=1),SUMIF(C2:C167,C62,AS2:AS167),IF(AND(AT62=1,M62="F",SUMIF(C2:C167,C62,AS2:AS167)&gt;1),1,"")))</f>
        <v/>
      </c>
      <c r="AV62" s="386" t="str">
        <f>IF(AT62=0,"",IF(AND(AT62=3,M62="F",SUMIF(C2:C167,C62,AS2:AS167)&lt;=1),SUMIF(C2:C167,C62,AS2:AS167),IF(AND(AT62=3,M62="F",SUMIF(C2:C167,C62,AS2:AS167)&gt;1),1,"")))</f>
        <v/>
      </c>
      <c r="AW62" s="386">
        <f>SUMIF(C2:C167,C62,O2:O167)</f>
        <v>2</v>
      </c>
      <c r="AX62" s="386">
        <f>IF(AND(M62="F",AS62&lt;&gt;0),SUMIF(C2:C167,C62,W2:W167),0)</f>
        <v>0</v>
      </c>
      <c r="AY62" s="386" t="str">
        <f t="shared" si="29"/>
        <v/>
      </c>
      <c r="AZ62" s="386" t="str">
        <f t="shared" si="30"/>
        <v/>
      </c>
      <c r="BA62" s="386">
        <f t="shared" si="31"/>
        <v>0</v>
      </c>
      <c r="BB62" s="386">
        <f t="shared" si="44"/>
        <v>0</v>
      </c>
      <c r="BC62" s="386">
        <f t="shared" si="45"/>
        <v>0</v>
      </c>
      <c r="BD62" s="386">
        <f t="shared" si="46"/>
        <v>0</v>
      </c>
      <c r="BE62" s="386">
        <f t="shared" si="47"/>
        <v>0</v>
      </c>
      <c r="BF62" s="386">
        <f t="shared" si="48"/>
        <v>0</v>
      </c>
      <c r="BG62" s="386">
        <f t="shared" si="49"/>
        <v>0</v>
      </c>
      <c r="BH62" s="386">
        <f t="shared" si="50"/>
        <v>0</v>
      </c>
      <c r="BI62" s="386">
        <f t="shared" si="51"/>
        <v>0</v>
      </c>
      <c r="BJ62" s="386">
        <f t="shared" si="52"/>
        <v>0</v>
      </c>
      <c r="BK62" s="386">
        <f t="shared" si="53"/>
        <v>0</v>
      </c>
      <c r="BL62" s="386">
        <f t="shared" si="32"/>
        <v>0</v>
      </c>
      <c r="BM62" s="386">
        <f t="shared" si="33"/>
        <v>0</v>
      </c>
      <c r="BN62" s="386">
        <f t="shared" si="54"/>
        <v>0</v>
      </c>
      <c r="BO62" s="386">
        <f t="shared" si="55"/>
        <v>0</v>
      </c>
      <c r="BP62" s="386">
        <f t="shared" si="56"/>
        <v>0</v>
      </c>
      <c r="BQ62" s="386">
        <f t="shared" si="57"/>
        <v>0</v>
      </c>
      <c r="BR62" s="386">
        <f t="shared" si="58"/>
        <v>0</v>
      </c>
      <c r="BS62" s="386">
        <f t="shared" si="59"/>
        <v>0</v>
      </c>
      <c r="BT62" s="386">
        <f t="shared" si="60"/>
        <v>0</v>
      </c>
      <c r="BU62" s="386">
        <f t="shared" si="61"/>
        <v>0</v>
      </c>
      <c r="BV62" s="386">
        <f t="shared" si="62"/>
        <v>0</v>
      </c>
      <c r="BW62" s="386">
        <f t="shared" si="63"/>
        <v>0</v>
      </c>
      <c r="BX62" s="386">
        <f t="shared" si="34"/>
        <v>0</v>
      </c>
      <c r="BY62" s="386">
        <f t="shared" si="35"/>
        <v>0</v>
      </c>
      <c r="BZ62" s="386">
        <f t="shared" si="36"/>
        <v>0</v>
      </c>
      <c r="CA62" s="386">
        <f t="shared" si="37"/>
        <v>0</v>
      </c>
      <c r="CB62" s="386">
        <f t="shared" si="38"/>
        <v>0</v>
      </c>
      <c r="CC62" s="386">
        <f t="shared" si="64"/>
        <v>0</v>
      </c>
      <c r="CD62" s="386">
        <f t="shared" si="65"/>
        <v>0</v>
      </c>
      <c r="CE62" s="386">
        <f t="shared" si="66"/>
        <v>0</v>
      </c>
      <c r="CF62" s="386">
        <f t="shared" si="67"/>
        <v>0</v>
      </c>
      <c r="CG62" s="386">
        <f t="shared" si="68"/>
        <v>0</v>
      </c>
      <c r="CH62" s="386">
        <f t="shared" si="69"/>
        <v>0</v>
      </c>
      <c r="CI62" s="386">
        <f t="shared" si="70"/>
        <v>0</v>
      </c>
      <c r="CJ62" s="386">
        <f t="shared" si="39"/>
        <v>0</v>
      </c>
      <c r="CK62" s="386" t="str">
        <f t="shared" si="40"/>
        <v/>
      </c>
      <c r="CL62" s="386" t="str">
        <f t="shared" si="41"/>
        <v/>
      </c>
      <c r="CM62" s="386" t="str">
        <f t="shared" si="42"/>
        <v/>
      </c>
      <c r="CN62" s="386" t="str">
        <f t="shared" si="43"/>
        <v>0126-00</v>
      </c>
    </row>
    <row r="63" spans="1:92" ht="15.75" thickBot="1" x14ac:dyDescent="0.3">
      <c r="A63" s="376" t="s">
        <v>161</v>
      </c>
      <c r="B63" s="376" t="s">
        <v>162</v>
      </c>
      <c r="C63" s="376" t="s">
        <v>296</v>
      </c>
      <c r="D63" s="376" t="s">
        <v>291</v>
      </c>
      <c r="E63" s="376" t="s">
        <v>374</v>
      </c>
      <c r="F63" s="377" t="s">
        <v>166</v>
      </c>
      <c r="G63" s="376" t="s">
        <v>375</v>
      </c>
      <c r="H63" s="378"/>
      <c r="I63" s="378"/>
      <c r="J63" s="376" t="s">
        <v>168</v>
      </c>
      <c r="K63" s="376" t="s">
        <v>297</v>
      </c>
      <c r="L63" s="376" t="s">
        <v>298</v>
      </c>
      <c r="M63" s="376" t="s">
        <v>171</v>
      </c>
      <c r="N63" s="376" t="s">
        <v>172</v>
      </c>
      <c r="O63" s="379">
        <v>1</v>
      </c>
      <c r="P63" s="384">
        <v>0</v>
      </c>
      <c r="Q63" s="384">
        <v>0</v>
      </c>
      <c r="R63" s="380">
        <v>80</v>
      </c>
      <c r="S63" s="384">
        <v>0</v>
      </c>
      <c r="T63" s="380">
        <v>6931.85</v>
      </c>
      <c r="U63" s="380">
        <v>0</v>
      </c>
      <c r="V63" s="380">
        <v>2283.21</v>
      </c>
      <c r="W63" s="380">
        <v>0</v>
      </c>
      <c r="X63" s="380">
        <v>0</v>
      </c>
      <c r="Y63" s="380">
        <v>0</v>
      </c>
      <c r="Z63" s="380">
        <v>0</v>
      </c>
      <c r="AA63" s="376" t="s">
        <v>299</v>
      </c>
      <c r="AB63" s="376" t="s">
        <v>300</v>
      </c>
      <c r="AC63" s="376" t="s">
        <v>301</v>
      </c>
      <c r="AD63" s="376" t="s">
        <v>264</v>
      </c>
      <c r="AE63" s="376" t="s">
        <v>297</v>
      </c>
      <c r="AF63" s="376" t="s">
        <v>177</v>
      </c>
      <c r="AG63" s="376" t="s">
        <v>178</v>
      </c>
      <c r="AH63" s="381">
        <v>39.35</v>
      </c>
      <c r="AI63" s="381">
        <v>31789.200000000001</v>
      </c>
      <c r="AJ63" s="376" t="s">
        <v>179</v>
      </c>
      <c r="AK63" s="376" t="s">
        <v>180</v>
      </c>
      <c r="AL63" s="376" t="s">
        <v>170</v>
      </c>
      <c r="AM63" s="376" t="s">
        <v>181</v>
      </c>
      <c r="AN63" s="376" t="s">
        <v>68</v>
      </c>
      <c r="AO63" s="379">
        <v>80</v>
      </c>
      <c r="AP63" s="384">
        <v>1</v>
      </c>
      <c r="AQ63" s="384">
        <v>0</v>
      </c>
      <c r="AR63" s="382" t="s">
        <v>182</v>
      </c>
      <c r="AS63" s="386">
        <f t="shared" si="27"/>
        <v>0</v>
      </c>
      <c r="AT63">
        <f t="shared" si="28"/>
        <v>0</v>
      </c>
      <c r="AU63" s="386" t="str">
        <f>IF(AT63=0,"",IF(AND(AT63=1,M63="F",SUMIF(C2:C167,C63,AS2:AS167)&lt;=1),SUMIF(C2:C167,C63,AS2:AS167),IF(AND(AT63=1,M63="F",SUMIF(C2:C167,C63,AS2:AS167)&gt;1),1,"")))</f>
        <v/>
      </c>
      <c r="AV63" s="386" t="str">
        <f>IF(AT63=0,"",IF(AND(AT63=3,M63="F",SUMIF(C2:C167,C63,AS2:AS167)&lt;=1),SUMIF(C2:C167,C63,AS2:AS167),IF(AND(AT63=3,M63="F",SUMIF(C2:C167,C63,AS2:AS167)&gt;1),1,"")))</f>
        <v/>
      </c>
      <c r="AW63" s="386">
        <f>SUMIF(C2:C167,C63,O2:O167)</f>
        <v>2</v>
      </c>
      <c r="AX63" s="386">
        <f>IF(AND(M63="F",AS63&lt;&gt;0),SUMIF(C2:C167,C63,W2:W167),0)</f>
        <v>0</v>
      </c>
      <c r="AY63" s="386" t="str">
        <f t="shared" si="29"/>
        <v/>
      </c>
      <c r="AZ63" s="386" t="str">
        <f t="shared" si="30"/>
        <v/>
      </c>
      <c r="BA63" s="386">
        <f t="shared" si="31"/>
        <v>0</v>
      </c>
      <c r="BB63" s="386">
        <f t="shared" si="44"/>
        <v>0</v>
      </c>
      <c r="BC63" s="386">
        <f t="shared" si="45"/>
        <v>0</v>
      </c>
      <c r="BD63" s="386">
        <f t="shared" si="46"/>
        <v>0</v>
      </c>
      <c r="BE63" s="386">
        <f t="shared" si="47"/>
        <v>0</v>
      </c>
      <c r="BF63" s="386">
        <f t="shared" si="48"/>
        <v>0</v>
      </c>
      <c r="BG63" s="386">
        <f t="shared" si="49"/>
        <v>0</v>
      </c>
      <c r="BH63" s="386">
        <f t="shared" si="50"/>
        <v>0</v>
      </c>
      <c r="BI63" s="386">
        <f t="shared" si="51"/>
        <v>0</v>
      </c>
      <c r="BJ63" s="386">
        <f t="shared" si="52"/>
        <v>0</v>
      </c>
      <c r="BK63" s="386">
        <f t="shared" si="53"/>
        <v>0</v>
      </c>
      <c r="BL63" s="386">
        <f t="shared" si="32"/>
        <v>0</v>
      </c>
      <c r="BM63" s="386">
        <f t="shared" si="33"/>
        <v>0</v>
      </c>
      <c r="BN63" s="386">
        <f t="shared" si="54"/>
        <v>0</v>
      </c>
      <c r="BO63" s="386">
        <f t="shared" si="55"/>
        <v>0</v>
      </c>
      <c r="BP63" s="386">
        <f t="shared" si="56"/>
        <v>0</v>
      </c>
      <c r="BQ63" s="386">
        <f t="shared" si="57"/>
        <v>0</v>
      </c>
      <c r="BR63" s="386">
        <f t="shared" si="58"/>
        <v>0</v>
      </c>
      <c r="BS63" s="386">
        <f t="shared" si="59"/>
        <v>0</v>
      </c>
      <c r="BT63" s="386">
        <f t="shared" si="60"/>
        <v>0</v>
      </c>
      <c r="BU63" s="386">
        <f t="shared" si="61"/>
        <v>0</v>
      </c>
      <c r="BV63" s="386">
        <f t="shared" si="62"/>
        <v>0</v>
      </c>
      <c r="BW63" s="386">
        <f t="shared" si="63"/>
        <v>0</v>
      </c>
      <c r="BX63" s="386">
        <f t="shared" si="34"/>
        <v>0</v>
      </c>
      <c r="BY63" s="386">
        <f t="shared" si="35"/>
        <v>0</v>
      </c>
      <c r="BZ63" s="386">
        <f t="shared" si="36"/>
        <v>0</v>
      </c>
      <c r="CA63" s="386">
        <f t="shared" si="37"/>
        <v>0</v>
      </c>
      <c r="CB63" s="386">
        <f t="shared" si="38"/>
        <v>0</v>
      </c>
      <c r="CC63" s="386">
        <f t="shared" si="64"/>
        <v>0</v>
      </c>
      <c r="CD63" s="386">
        <f t="shared" si="65"/>
        <v>0</v>
      </c>
      <c r="CE63" s="386">
        <f t="shared" si="66"/>
        <v>0</v>
      </c>
      <c r="CF63" s="386">
        <f t="shared" si="67"/>
        <v>0</v>
      </c>
      <c r="CG63" s="386">
        <f t="shared" si="68"/>
        <v>0</v>
      </c>
      <c r="CH63" s="386">
        <f t="shared" si="69"/>
        <v>0</v>
      </c>
      <c r="CI63" s="386">
        <f t="shared" si="70"/>
        <v>0</v>
      </c>
      <c r="CJ63" s="386">
        <f t="shared" si="39"/>
        <v>0</v>
      </c>
      <c r="CK63" s="386" t="str">
        <f t="shared" si="40"/>
        <v/>
      </c>
      <c r="CL63" s="386" t="str">
        <f t="shared" si="41"/>
        <v/>
      </c>
      <c r="CM63" s="386" t="str">
        <f t="shared" si="42"/>
        <v/>
      </c>
      <c r="CN63" s="386" t="str">
        <f t="shared" si="43"/>
        <v>0126-00</v>
      </c>
    </row>
    <row r="64" spans="1:92" ht="15.75" thickBot="1" x14ac:dyDescent="0.3">
      <c r="A64" s="376" t="s">
        <v>161</v>
      </c>
      <c r="B64" s="376" t="s">
        <v>162</v>
      </c>
      <c r="C64" s="376" t="s">
        <v>308</v>
      </c>
      <c r="D64" s="376" t="s">
        <v>291</v>
      </c>
      <c r="E64" s="376" t="s">
        <v>374</v>
      </c>
      <c r="F64" s="377" t="s">
        <v>166</v>
      </c>
      <c r="G64" s="376" t="s">
        <v>375</v>
      </c>
      <c r="H64" s="378"/>
      <c r="I64" s="378"/>
      <c r="J64" s="376" t="s">
        <v>168</v>
      </c>
      <c r="K64" s="376" t="s">
        <v>292</v>
      </c>
      <c r="L64" s="376" t="s">
        <v>289</v>
      </c>
      <c r="M64" s="376" t="s">
        <v>171</v>
      </c>
      <c r="N64" s="376" t="s">
        <v>172</v>
      </c>
      <c r="O64" s="379">
        <v>1</v>
      </c>
      <c r="P64" s="384">
        <v>0</v>
      </c>
      <c r="Q64" s="384">
        <v>0</v>
      </c>
      <c r="R64" s="380">
        <v>80</v>
      </c>
      <c r="S64" s="384">
        <v>0</v>
      </c>
      <c r="T64" s="380">
        <v>1346.78</v>
      </c>
      <c r="U64" s="380">
        <v>0</v>
      </c>
      <c r="V64" s="380">
        <v>556</v>
      </c>
      <c r="W64" s="380">
        <v>0</v>
      </c>
      <c r="X64" s="380">
        <v>0</v>
      </c>
      <c r="Y64" s="380">
        <v>0</v>
      </c>
      <c r="Z64" s="380">
        <v>0</v>
      </c>
      <c r="AA64" s="376" t="s">
        <v>309</v>
      </c>
      <c r="AB64" s="376" t="s">
        <v>310</v>
      </c>
      <c r="AC64" s="376" t="s">
        <v>311</v>
      </c>
      <c r="AD64" s="376" t="s">
        <v>289</v>
      </c>
      <c r="AE64" s="376" t="s">
        <v>303</v>
      </c>
      <c r="AF64" s="376" t="s">
        <v>177</v>
      </c>
      <c r="AG64" s="376" t="s">
        <v>178</v>
      </c>
      <c r="AH64" s="379">
        <v>28</v>
      </c>
      <c r="AI64" s="381">
        <v>11206.8</v>
      </c>
      <c r="AJ64" s="376" t="s">
        <v>179</v>
      </c>
      <c r="AK64" s="376" t="s">
        <v>180</v>
      </c>
      <c r="AL64" s="376" t="s">
        <v>170</v>
      </c>
      <c r="AM64" s="376" t="s">
        <v>181</v>
      </c>
      <c r="AN64" s="376" t="s">
        <v>68</v>
      </c>
      <c r="AO64" s="379">
        <v>80</v>
      </c>
      <c r="AP64" s="384">
        <v>1</v>
      </c>
      <c r="AQ64" s="384">
        <v>0</v>
      </c>
      <c r="AR64" s="382" t="s">
        <v>182</v>
      </c>
      <c r="AS64" s="386">
        <f t="shared" si="27"/>
        <v>0</v>
      </c>
      <c r="AT64">
        <f t="shared" si="28"/>
        <v>0</v>
      </c>
      <c r="AU64" s="386" t="str">
        <f>IF(AT64=0,"",IF(AND(AT64=1,M64="F",SUMIF(C2:C167,C64,AS2:AS167)&lt;=1),SUMIF(C2:C167,C64,AS2:AS167),IF(AND(AT64=1,M64="F",SUMIF(C2:C167,C64,AS2:AS167)&gt;1),1,"")))</f>
        <v/>
      </c>
      <c r="AV64" s="386" t="str">
        <f>IF(AT64=0,"",IF(AND(AT64=3,M64="F",SUMIF(C2:C167,C64,AS2:AS167)&lt;=1),SUMIF(C2:C167,C64,AS2:AS167),IF(AND(AT64=3,M64="F",SUMIF(C2:C167,C64,AS2:AS167)&gt;1),1,"")))</f>
        <v/>
      </c>
      <c r="AW64" s="386">
        <f>SUMIF(C2:C167,C64,O2:O167)</f>
        <v>2</v>
      </c>
      <c r="AX64" s="386">
        <f>IF(AND(M64="F",AS64&lt;&gt;0),SUMIF(C2:C167,C64,W2:W167),0)</f>
        <v>0</v>
      </c>
      <c r="AY64" s="386" t="str">
        <f t="shared" si="29"/>
        <v/>
      </c>
      <c r="AZ64" s="386" t="str">
        <f t="shared" si="30"/>
        <v/>
      </c>
      <c r="BA64" s="386">
        <f t="shared" si="31"/>
        <v>0</v>
      </c>
      <c r="BB64" s="386">
        <f t="shared" si="44"/>
        <v>0</v>
      </c>
      <c r="BC64" s="386">
        <f t="shared" si="45"/>
        <v>0</v>
      </c>
      <c r="BD64" s="386">
        <f t="shared" si="46"/>
        <v>0</v>
      </c>
      <c r="BE64" s="386">
        <f t="shared" si="47"/>
        <v>0</v>
      </c>
      <c r="BF64" s="386">
        <f t="shared" si="48"/>
        <v>0</v>
      </c>
      <c r="BG64" s="386">
        <f t="shared" si="49"/>
        <v>0</v>
      </c>
      <c r="BH64" s="386">
        <f t="shared" si="50"/>
        <v>0</v>
      </c>
      <c r="BI64" s="386">
        <f t="shared" si="51"/>
        <v>0</v>
      </c>
      <c r="BJ64" s="386">
        <f t="shared" si="52"/>
        <v>0</v>
      </c>
      <c r="BK64" s="386">
        <f t="shared" si="53"/>
        <v>0</v>
      </c>
      <c r="BL64" s="386">
        <f t="shared" si="32"/>
        <v>0</v>
      </c>
      <c r="BM64" s="386">
        <f t="shared" si="33"/>
        <v>0</v>
      </c>
      <c r="BN64" s="386">
        <f t="shared" si="54"/>
        <v>0</v>
      </c>
      <c r="BO64" s="386">
        <f t="shared" si="55"/>
        <v>0</v>
      </c>
      <c r="BP64" s="386">
        <f t="shared" si="56"/>
        <v>0</v>
      </c>
      <c r="BQ64" s="386">
        <f t="shared" si="57"/>
        <v>0</v>
      </c>
      <c r="BR64" s="386">
        <f t="shared" si="58"/>
        <v>0</v>
      </c>
      <c r="BS64" s="386">
        <f t="shared" si="59"/>
        <v>0</v>
      </c>
      <c r="BT64" s="386">
        <f t="shared" si="60"/>
        <v>0</v>
      </c>
      <c r="BU64" s="386">
        <f t="shared" si="61"/>
        <v>0</v>
      </c>
      <c r="BV64" s="386">
        <f t="shared" si="62"/>
        <v>0</v>
      </c>
      <c r="BW64" s="386">
        <f t="shared" si="63"/>
        <v>0</v>
      </c>
      <c r="BX64" s="386">
        <f t="shared" si="34"/>
        <v>0</v>
      </c>
      <c r="BY64" s="386">
        <f t="shared" si="35"/>
        <v>0</v>
      </c>
      <c r="BZ64" s="386">
        <f t="shared" si="36"/>
        <v>0</v>
      </c>
      <c r="CA64" s="386">
        <f t="shared" si="37"/>
        <v>0</v>
      </c>
      <c r="CB64" s="386">
        <f t="shared" si="38"/>
        <v>0</v>
      </c>
      <c r="CC64" s="386">
        <f t="shared" si="64"/>
        <v>0</v>
      </c>
      <c r="CD64" s="386">
        <f t="shared" si="65"/>
        <v>0</v>
      </c>
      <c r="CE64" s="386">
        <f t="shared" si="66"/>
        <v>0</v>
      </c>
      <c r="CF64" s="386">
        <f t="shared" si="67"/>
        <v>0</v>
      </c>
      <c r="CG64" s="386">
        <f t="shared" si="68"/>
        <v>0</v>
      </c>
      <c r="CH64" s="386">
        <f t="shared" si="69"/>
        <v>0</v>
      </c>
      <c r="CI64" s="386">
        <f t="shared" si="70"/>
        <v>0</v>
      </c>
      <c r="CJ64" s="386">
        <f t="shared" si="39"/>
        <v>0</v>
      </c>
      <c r="CK64" s="386" t="str">
        <f t="shared" si="40"/>
        <v/>
      </c>
      <c r="CL64" s="386" t="str">
        <f t="shared" si="41"/>
        <v/>
      </c>
      <c r="CM64" s="386" t="str">
        <f t="shared" si="42"/>
        <v/>
      </c>
      <c r="CN64" s="386" t="str">
        <f t="shared" si="43"/>
        <v>0126-00</v>
      </c>
    </row>
    <row r="65" spans="1:92" ht="15.75" thickBot="1" x14ac:dyDescent="0.3">
      <c r="A65" s="376" t="s">
        <v>161</v>
      </c>
      <c r="B65" s="376" t="s">
        <v>162</v>
      </c>
      <c r="C65" s="376" t="s">
        <v>267</v>
      </c>
      <c r="D65" s="376" t="s">
        <v>268</v>
      </c>
      <c r="E65" s="376" t="s">
        <v>374</v>
      </c>
      <c r="F65" s="377" t="s">
        <v>166</v>
      </c>
      <c r="G65" s="376" t="s">
        <v>375</v>
      </c>
      <c r="H65" s="378"/>
      <c r="I65" s="378"/>
      <c r="J65" s="376" t="s">
        <v>168</v>
      </c>
      <c r="K65" s="376" t="s">
        <v>269</v>
      </c>
      <c r="L65" s="376" t="s">
        <v>166</v>
      </c>
      <c r="M65" s="376" t="s">
        <v>171</v>
      </c>
      <c r="N65" s="376" t="s">
        <v>270</v>
      </c>
      <c r="O65" s="379">
        <v>0</v>
      </c>
      <c r="P65" s="384">
        <v>0</v>
      </c>
      <c r="Q65" s="384">
        <v>0</v>
      </c>
      <c r="R65" s="380">
        <v>0</v>
      </c>
      <c r="S65" s="384">
        <v>0</v>
      </c>
      <c r="T65" s="380">
        <v>165640.39000000001</v>
      </c>
      <c r="U65" s="380">
        <v>0</v>
      </c>
      <c r="V65" s="380">
        <v>68281.87</v>
      </c>
      <c r="W65" s="380">
        <v>0</v>
      </c>
      <c r="X65" s="380">
        <v>0</v>
      </c>
      <c r="Y65" s="380">
        <v>0</v>
      </c>
      <c r="Z65" s="380">
        <v>0</v>
      </c>
      <c r="AA65" s="378"/>
      <c r="AB65" s="376" t="s">
        <v>45</v>
      </c>
      <c r="AC65" s="376" t="s">
        <v>45</v>
      </c>
      <c r="AD65" s="378"/>
      <c r="AE65" s="378"/>
      <c r="AF65" s="378"/>
      <c r="AG65" s="378"/>
      <c r="AH65" s="379">
        <v>0</v>
      </c>
      <c r="AI65" s="379">
        <v>0</v>
      </c>
      <c r="AJ65" s="378"/>
      <c r="AK65" s="378"/>
      <c r="AL65" s="376" t="s">
        <v>170</v>
      </c>
      <c r="AM65" s="378"/>
      <c r="AN65" s="378"/>
      <c r="AO65" s="379">
        <v>0</v>
      </c>
      <c r="AP65" s="384">
        <v>0</v>
      </c>
      <c r="AQ65" s="384">
        <v>0</v>
      </c>
      <c r="AR65" s="383"/>
      <c r="AS65" s="386">
        <f t="shared" si="27"/>
        <v>0</v>
      </c>
      <c r="AT65">
        <f t="shared" si="28"/>
        <v>0</v>
      </c>
      <c r="AU65" s="386" t="str">
        <f>IF(AT65=0,"",IF(AND(AT65=1,M65="F",SUMIF(C2:C167,C65,AS2:AS167)&lt;=1),SUMIF(C2:C167,C65,AS2:AS167),IF(AND(AT65=1,M65="F",SUMIF(C2:C167,C65,AS2:AS167)&gt;1),1,"")))</f>
        <v/>
      </c>
      <c r="AV65" s="386" t="str">
        <f>IF(AT65=0,"",IF(AND(AT65=3,M65="F",SUMIF(C2:C167,C65,AS2:AS167)&lt;=1),SUMIF(C2:C167,C65,AS2:AS167),IF(AND(AT65=3,M65="F",SUMIF(C2:C167,C65,AS2:AS167)&gt;1),1,"")))</f>
        <v/>
      </c>
      <c r="AW65" s="386">
        <f>SUMIF(C2:C167,C65,O2:O167)</f>
        <v>0</v>
      </c>
      <c r="AX65" s="386">
        <f>IF(AND(M65="F",AS65&lt;&gt;0),SUMIF(C2:C167,C65,W2:W167),0)</f>
        <v>0</v>
      </c>
      <c r="AY65" s="386" t="str">
        <f t="shared" si="29"/>
        <v/>
      </c>
      <c r="AZ65" s="386" t="str">
        <f t="shared" si="30"/>
        <v/>
      </c>
      <c r="BA65" s="386">
        <f t="shared" si="31"/>
        <v>0</v>
      </c>
      <c r="BB65" s="386">
        <f t="shared" si="44"/>
        <v>0</v>
      </c>
      <c r="BC65" s="386">
        <f t="shared" si="45"/>
        <v>0</v>
      </c>
      <c r="BD65" s="386">
        <f t="shared" si="46"/>
        <v>0</v>
      </c>
      <c r="BE65" s="386">
        <f t="shared" si="47"/>
        <v>0</v>
      </c>
      <c r="BF65" s="386">
        <f t="shared" si="48"/>
        <v>0</v>
      </c>
      <c r="BG65" s="386">
        <f t="shared" si="49"/>
        <v>0</v>
      </c>
      <c r="BH65" s="386">
        <f t="shared" si="50"/>
        <v>0</v>
      </c>
      <c r="BI65" s="386">
        <f t="shared" si="51"/>
        <v>0</v>
      </c>
      <c r="BJ65" s="386">
        <f t="shared" si="52"/>
        <v>0</v>
      </c>
      <c r="BK65" s="386">
        <f t="shared" si="53"/>
        <v>0</v>
      </c>
      <c r="BL65" s="386">
        <f t="shared" si="32"/>
        <v>0</v>
      </c>
      <c r="BM65" s="386">
        <f t="shared" si="33"/>
        <v>0</v>
      </c>
      <c r="BN65" s="386">
        <f t="shared" si="54"/>
        <v>0</v>
      </c>
      <c r="BO65" s="386">
        <f t="shared" si="55"/>
        <v>0</v>
      </c>
      <c r="BP65" s="386">
        <f t="shared" si="56"/>
        <v>0</v>
      </c>
      <c r="BQ65" s="386">
        <f t="shared" si="57"/>
        <v>0</v>
      </c>
      <c r="BR65" s="386">
        <f t="shared" si="58"/>
        <v>0</v>
      </c>
      <c r="BS65" s="386">
        <f t="shared" si="59"/>
        <v>0</v>
      </c>
      <c r="BT65" s="386">
        <f t="shared" si="60"/>
        <v>0</v>
      </c>
      <c r="BU65" s="386">
        <f t="shared" si="61"/>
        <v>0</v>
      </c>
      <c r="BV65" s="386">
        <f t="shared" si="62"/>
        <v>0</v>
      </c>
      <c r="BW65" s="386">
        <f t="shared" si="63"/>
        <v>0</v>
      </c>
      <c r="BX65" s="386">
        <f t="shared" si="34"/>
        <v>0</v>
      </c>
      <c r="BY65" s="386">
        <f t="shared" si="35"/>
        <v>0</v>
      </c>
      <c r="BZ65" s="386">
        <f t="shared" si="36"/>
        <v>0</v>
      </c>
      <c r="CA65" s="386">
        <f t="shared" si="37"/>
        <v>0</v>
      </c>
      <c r="CB65" s="386">
        <f t="shared" si="38"/>
        <v>0</v>
      </c>
      <c r="CC65" s="386">
        <f t="shared" si="64"/>
        <v>0</v>
      </c>
      <c r="CD65" s="386">
        <f t="shared" si="65"/>
        <v>0</v>
      </c>
      <c r="CE65" s="386">
        <f t="shared" si="66"/>
        <v>0</v>
      </c>
      <c r="CF65" s="386">
        <f t="shared" si="67"/>
        <v>0</v>
      </c>
      <c r="CG65" s="386">
        <f t="shared" si="68"/>
        <v>0</v>
      </c>
      <c r="CH65" s="386">
        <f t="shared" si="69"/>
        <v>0</v>
      </c>
      <c r="CI65" s="386">
        <f t="shared" si="70"/>
        <v>0</v>
      </c>
      <c r="CJ65" s="386">
        <f t="shared" si="39"/>
        <v>0</v>
      </c>
      <c r="CK65" s="386" t="str">
        <f t="shared" si="40"/>
        <v/>
      </c>
      <c r="CL65" s="386">
        <f t="shared" si="41"/>
        <v>165640.39000000001</v>
      </c>
      <c r="CM65" s="386">
        <f t="shared" si="42"/>
        <v>68281.87</v>
      </c>
      <c r="CN65" s="386" t="str">
        <f t="shared" si="43"/>
        <v>0126-00</v>
      </c>
    </row>
    <row r="66" spans="1:92" ht="15.75" thickBot="1" x14ac:dyDescent="0.3">
      <c r="A66" s="376" t="s">
        <v>161</v>
      </c>
      <c r="B66" s="376" t="s">
        <v>162</v>
      </c>
      <c r="C66" s="376" t="s">
        <v>420</v>
      </c>
      <c r="D66" s="376" t="s">
        <v>421</v>
      </c>
      <c r="E66" s="376" t="s">
        <v>374</v>
      </c>
      <c r="F66" s="377" t="s">
        <v>166</v>
      </c>
      <c r="G66" s="376" t="s">
        <v>375</v>
      </c>
      <c r="H66" s="378"/>
      <c r="I66" s="378"/>
      <c r="J66" s="376" t="s">
        <v>168</v>
      </c>
      <c r="K66" s="376" t="s">
        <v>422</v>
      </c>
      <c r="L66" s="376" t="s">
        <v>166</v>
      </c>
      <c r="M66" s="376" t="s">
        <v>171</v>
      </c>
      <c r="N66" s="376" t="s">
        <v>172</v>
      </c>
      <c r="O66" s="379">
        <v>1</v>
      </c>
      <c r="P66" s="384">
        <v>0</v>
      </c>
      <c r="Q66" s="384">
        <v>0</v>
      </c>
      <c r="R66" s="380">
        <v>80</v>
      </c>
      <c r="S66" s="384">
        <v>0</v>
      </c>
      <c r="T66" s="380">
        <v>4069.62</v>
      </c>
      <c r="U66" s="380">
        <v>0</v>
      </c>
      <c r="V66" s="380">
        <v>1468.28</v>
      </c>
      <c r="W66" s="380">
        <v>0</v>
      </c>
      <c r="X66" s="380">
        <v>0</v>
      </c>
      <c r="Y66" s="380">
        <v>0</v>
      </c>
      <c r="Z66" s="380">
        <v>0</v>
      </c>
      <c r="AA66" s="376" t="s">
        <v>423</v>
      </c>
      <c r="AB66" s="376" t="s">
        <v>424</v>
      </c>
      <c r="AC66" s="376" t="s">
        <v>425</v>
      </c>
      <c r="AD66" s="376" t="s">
        <v>426</v>
      </c>
      <c r="AE66" s="376" t="s">
        <v>422</v>
      </c>
      <c r="AF66" s="376" t="s">
        <v>177</v>
      </c>
      <c r="AG66" s="376" t="s">
        <v>178</v>
      </c>
      <c r="AH66" s="381">
        <v>34.479999999999997</v>
      </c>
      <c r="AI66" s="381">
        <v>60427.6</v>
      </c>
      <c r="AJ66" s="376" t="s">
        <v>179</v>
      </c>
      <c r="AK66" s="376" t="s">
        <v>180</v>
      </c>
      <c r="AL66" s="376" t="s">
        <v>170</v>
      </c>
      <c r="AM66" s="376" t="s">
        <v>181</v>
      </c>
      <c r="AN66" s="376" t="s">
        <v>68</v>
      </c>
      <c r="AO66" s="379">
        <v>80</v>
      </c>
      <c r="AP66" s="384">
        <v>1</v>
      </c>
      <c r="AQ66" s="384">
        <v>0</v>
      </c>
      <c r="AR66" s="382" t="s">
        <v>182</v>
      </c>
      <c r="AS66" s="386">
        <f t="shared" si="27"/>
        <v>0</v>
      </c>
      <c r="AT66">
        <f t="shared" si="28"/>
        <v>0</v>
      </c>
      <c r="AU66" s="386" t="str">
        <f>IF(AT66=0,"",IF(AND(AT66=1,M66="F",SUMIF(C2:C167,C66,AS2:AS167)&lt;=1),SUMIF(C2:C167,C66,AS2:AS167),IF(AND(AT66=1,M66="F",SUMIF(C2:C167,C66,AS2:AS167)&gt;1),1,"")))</f>
        <v/>
      </c>
      <c r="AV66" s="386" t="str">
        <f>IF(AT66=0,"",IF(AND(AT66=3,M66="F",SUMIF(C2:C167,C66,AS2:AS167)&lt;=1),SUMIF(C2:C167,C66,AS2:AS167),IF(AND(AT66=3,M66="F",SUMIF(C2:C167,C66,AS2:AS167)&gt;1),1,"")))</f>
        <v/>
      </c>
      <c r="AW66" s="386">
        <f>SUMIF(C2:C167,C66,O2:O167)</f>
        <v>2</v>
      </c>
      <c r="AX66" s="386">
        <f>IF(AND(M66="F",AS66&lt;&gt;0),SUMIF(C2:C167,C66,W2:W167),0)</f>
        <v>0</v>
      </c>
      <c r="AY66" s="386" t="str">
        <f t="shared" si="29"/>
        <v/>
      </c>
      <c r="AZ66" s="386" t="str">
        <f t="shared" si="30"/>
        <v/>
      </c>
      <c r="BA66" s="386">
        <f t="shared" si="31"/>
        <v>0</v>
      </c>
      <c r="BB66" s="386">
        <f t="shared" ref="BB66:BB97" si="71">IF(AND(AT66=1,AK66="E",AU66&gt;=0.75,AW66=1),Health,IF(AND(AT66=1,AK66="E",AU66&gt;=0.75),Health*P66,IF(AND(AT66=1,AK66="E",AU66&gt;=0.5,AW66=1),PTHealth,IF(AND(AT66=1,AK66="E",AU66&gt;=0.5),PTHealth*P66,0))))</f>
        <v>0</v>
      </c>
      <c r="BC66" s="386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386">
        <f t="shared" ref="BD66:BD97" si="73">IF(AND(AT66&lt;&gt;0,AX66&gt;=MAXSSDI),SSDI*MAXSSDI*P66,IF(AT66&lt;&gt;0,SSDI*W66,0))</f>
        <v>0</v>
      </c>
      <c r="BE66" s="386">
        <f t="shared" ref="BE66:BE97" si="74">IF(AT66&lt;&gt;0,SSHI*W66,0)</f>
        <v>0</v>
      </c>
      <c r="BF66" s="386">
        <f t="shared" ref="BF66:BF97" si="75">IF(AND(AT66&lt;&gt;0,AN66&lt;&gt;"NE"),VLOOKUP(AN66,Retirement_Rates,3,FALSE)*W66,0)</f>
        <v>0</v>
      </c>
      <c r="BG66" s="386">
        <f t="shared" ref="BG66:BG97" si="76">IF(AND(AT66&lt;&gt;0,AJ66&lt;&gt;"PF"),Life*W66,0)</f>
        <v>0</v>
      </c>
      <c r="BH66" s="386">
        <f t="shared" ref="BH66:BH97" si="77">IF(AND(AT66&lt;&gt;0,AM66="Y"),UI*W66,0)</f>
        <v>0</v>
      </c>
      <c r="BI66" s="386">
        <f t="shared" ref="BI66:BI97" si="78">IF(AND(AT66&lt;&gt;0,N66&lt;&gt;"NR"),DHR*W66,0)</f>
        <v>0</v>
      </c>
      <c r="BJ66" s="386">
        <f t="shared" ref="BJ66:BJ97" si="79">IF(AT66&lt;&gt;0,WC*W66,0)</f>
        <v>0</v>
      </c>
      <c r="BK66" s="386">
        <f t="shared" ref="BK66:BK97" si="80">IF(OR(AND(AT66&lt;&gt;0,AJ66&lt;&gt;"PF",AN66&lt;&gt;"NE",AG66&lt;&gt;"A"),AND(AL66="E",OR(AT66=1,AT66=3))),Sick*W66,0)</f>
        <v>0</v>
      </c>
      <c r="BL66" s="386">
        <f t="shared" si="32"/>
        <v>0</v>
      </c>
      <c r="BM66" s="386">
        <f t="shared" si="33"/>
        <v>0</v>
      </c>
      <c r="BN66" s="386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0</v>
      </c>
      <c r="BO66" s="386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6">
        <f t="shared" ref="BP66:BP97" si="83">IF(AND(AT66&lt;&gt;0,(AX66+BA66)&gt;=MAXSSDIBY),SSDIBY*MAXSSDIBY*P66,IF(AT66&lt;&gt;0,SSDIBY*W66,0))</f>
        <v>0</v>
      </c>
      <c r="BQ66" s="386">
        <f t="shared" ref="BQ66:BQ97" si="84">IF(AT66&lt;&gt;0,SSHIBY*W66,0)</f>
        <v>0</v>
      </c>
      <c r="BR66" s="386">
        <f t="shared" ref="BR66:BR97" si="85">IF(AND(AT66&lt;&gt;0,AN66&lt;&gt;"NE"),VLOOKUP(AN66,Retirement_Rates,4,FALSE)*W66,0)</f>
        <v>0</v>
      </c>
      <c r="BS66" s="386">
        <f t="shared" ref="BS66:BS97" si="86">IF(AND(AT66&lt;&gt;0,AJ66&lt;&gt;"PF"),LifeBY*W66,0)</f>
        <v>0</v>
      </c>
      <c r="BT66" s="386">
        <f t="shared" ref="BT66:BT97" si="87">IF(AND(AT66&lt;&gt;0,AM66="Y"),UIBY*W66,0)</f>
        <v>0</v>
      </c>
      <c r="BU66" s="386">
        <f t="shared" ref="BU66:BU97" si="88">IF(AND(AT66&lt;&gt;0,N66&lt;&gt;"NR"),DHRBY*W66,0)</f>
        <v>0</v>
      </c>
      <c r="BV66" s="386">
        <f t="shared" ref="BV66:BV97" si="89">IF(AT66&lt;&gt;0,WCBY*W66,0)</f>
        <v>0</v>
      </c>
      <c r="BW66" s="386">
        <f t="shared" ref="BW66:BW97" si="90">IF(OR(AND(AT66&lt;&gt;0,AJ66&lt;&gt;"PF",AN66&lt;&gt;"NE",AG66&lt;&gt;"A"),AND(AL66="E",OR(AT66=1,AT66=3))),SickBY*W66,0)</f>
        <v>0</v>
      </c>
      <c r="BX66" s="386">
        <f t="shared" si="34"/>
        <v>0</v>
      </c>
      <c r="BY66" s="386">
        <f t="shared" si="35"/>
        <v>0</v>
      </c>
      <c r="BZ66" s="386">
        <f t="shared" si="36"/>
        <v>0</v>
      </c>
      <c r="CA66" s="386">
        <f t="shared" si="37"/>
        <v>0</v>
      </c>
      <c r="CB66" s="386">
        <f t="shared" si="38"/>
        <v>0</v>
      </c>
      <c r="CC66" s="386">
        <f t="shared" ref="CC66:CC97" si="91">IF(AT66&lt;&gt;0,SSHICHG*Y66,0)</f>
        <v>0</v>
      </c>
      <c r="CD66" s="386">
        <f t="shared" ref="CD66:CD97" si="92">IF(AND(AT66&lt;&gt;0,AN66&lt;&gt;"NE"),VLOOKUP(AN66,Retirement_Rates,5,FALSE)*Y66,0)</f>
        <v>0</v>
      </c>
      <c r="CE66" s="386">
        <f t="shared" ref="CE66:CE97" si="93">IF(AND(AT66&lt;&gt;0,AJ66&lt;&gt;"PF"),LifeCHG*Y66,0)</f>
        <v>0</v>
      </c>
      <c r="CF66" s="386">
        <f t="shared" ref="CF66:CF97" si="94">IF(AND(AT66&lt;&gt;0,AM66="Y"),UICHG*Y66,0)</f>
        <v>0</v>
      </c>
      <c r="CG66" s="386">
        <f t="shared" ref="CG66:CG97" si="95">IF(AND(AT66&lt;&gt;0,N66&lt;&gt;"NR"),DHRCHG*Y66,0)</f>
        <v>0</v>
      </c>
      <c r="CH66" s="386">
        <f t="shared" ref="CH66:CH97" si="96">IF(AT66&lt;&gt;0,WCCHG*Y66,0)</f>
        <v>0</v>
      </c>
      <c r="CI66" s="386">
        <f t="shared" ref="CI66:CI97" si="97">IF(OR(AND(AT66&lt;&gt;0,AJ66&lt;&gt;"PF",AN66&lt;&gt;"NE",AG66&lt;&gt;"A"),AND(AL66="E",OR(AT66=1,AT66=3))),SickCHG*Y66,0)</f>
        <v>0</v>
      </c>
      <c r="CJ66" s="386">
        <f t="shared" si="39"/>
        <v>0</v>
      </c>
      <c r="CK66" s="386" t="str">
        <f t="shared" si="40"/>
        <v/>
      </c>
      <c r="CL66" s="386" t="str">
        <f t="shared" si="41"/>
        <v/>
      </c>
      <c r="CM66" s="386" t="str">
        <f t="shared" si="42"/>
        <v/>
      </c>
      <c r="CN66" s="386" t="str">
        <f t="shared" si="43"/>
        <v>0126-00</v>
      </c>
    </row>
    <row r="67" spans="1:92" ht="15.75" thickBot="1" x14ac:dyDescent="0.3">
      <c r="A67" s="376" t="s">
        <v>161</v>
      </c>
      <c r="B67" s="376" t="s">
        <v>162</v>
      </c>
      <c r="C67" s="376" t="s">
        <v>323</v>
      </c>
      <c r="D67" s="376" t="s">
        <v>291</v>
      </c>
      <c r="E67" s="376" t="s">
        <v>374</v>
      </c>
      <c r="F67" s="377" t="s">
        <v>166</v>
      </c>
      <c r="G67" s="376" t="s">
        <v>375</v>
      </c>
      <c r="H67" s="378"/>
      <c r="I67" s="378"/>
      <c r="J67" s="376" t="s">
        <v>168</v>
      </c>
      <c r="K67" s="376" t="s">
        <v>303</v>
      </c>
      <c r="L67" s="376" t="s">
        <v>304</v>
      </c>
      <c r="M67" s="376" t="s">
        <v>171</v>
      </c>
      <c r="N67" s="376" t="s">
        <v>172</v>
      </c>
      <c r="O67" s="379">
        <v>1</v>
      </c>
      <c r="P67" s="384">
        <v>0</v>
      </c>
      <c r="Q67" s="384">
        <v>0</v>
      </c>
      <c r="R67" s="380">
        <v>80</v>
      </c>
      <c r="S67" s="384">
        <v>0</v>
      </c>
      <c r="T67" s="380">
        <v>7360.35</v>
      </c>
      <c r="U67" s="380">
        <v>0</v>
      </c>
      <c r="V67" s="380">
        <v>2674.6</v>
      </c>
      <c r="W67" s="380">
        <v>0</v>
      </c>
      <c r="X67" s="380">
        <v>0</v>
      </c>
      <c r="Y67" s="380">
        <v>0</v>
      </c>
      <c r="Z67" s="380">
        <v>0</v>
      </c>
      <c r="AA67" s="376" t="s">
        <v>324</v>
      </c>
      <c r="AB67" s="376" t="s">
        <v>325</v>
      </c>
      <c r="AC67" s="376" t="s">
        <v>326</v>
      </c>
      <c r="AD67" s="376" t="s">
        <v>289</v>
      </c>
      <c r="AE67" s="376" t="s">
        <v>303</v>
      </c>
      <c r="AF67" s="376" t="s">
        <v>177</v>
      </c>
      <c r="AG67" s="376" t="s">
        <v>178</v>
      </c>
      <c r="AH67" s="379">
        <v>33</v>
      </c>
      <c r="AI67" s="381">
        <v>4791.5</v>
      </c>
      <c r="AJ67" s="376" t="s">
        <v>179</v>
      </c>
      <c r="AK67" s="376" t="s">
        <v>180</v>
      </c>
      <c r="AL67" s="376" t="s">
        <v>170</v>
      </c>
      <c r="AM67" s="376" t="s">
        <v>181</v>
      </c>
      <c r="AN67" s="376" t="s">
        <v>68</v>
      </c>
      <c r="AO67" s="379">
        <v>80</v>
      </c>
      <c r="AP67" s="384">
        <v>1</v>
      </c>
      <c r="AQ67" s="384">
        <v>0</v>
      </c>
      <c r="AR67" s="382" t="s">
        <v>182</v>
      </c>
      <c r="AS67" s="386">
        <f t="shared" ref="AS67:AS130" si="98">IF(((AO67/80)*AP67*P67)&gt;1,AQ67,((AO67/80)*AP67*P67))</f>
        <v>0</v>
      </c>
      <c r="AT67">
        <f t="shared" ref="AT67:AT130" si="99">IF(AND(M67="F",N67&lt;&gt;"NG",AS67&lt;&gt;0,AND(AR67&lt;&gt;6,AR67&lt;&gt;36,AR67&lt;&gt;56),AG67&lt;&gt;"A",OR(AG67="H",AJ67="FS")),1,IF(AND(M67="F",N67&lt;&gt;"NG",AS67&lt;&gt;0,AG67="A"),3,0))</f>
        <v>0</v>
      </c>
      <c r="AU67" s="386" t="str">
        <f>IF(AT67=0,"",IF(AND(AT67=1,M67="F",SUMIF(C2:C167,C67,AS2:AS167)&lt;=1),SUMIF(C2:C167,C67,AS2:AS167),IF(AND(AT67=1,M67="F",SUMIF(C2:C167,C67,AS2:AS167)&gt;1),1,"")))</f>
        <v/>
      </c>
      <c r="AV67" s="386" t="str">
        <f>IF(AT67=0,"",IF(AND(AT67=3,M67="F",SUMIF(C2:C167,C67,AS2:AS167)&lt;=1),SUMIF(C2:C167,C67,AS2:AS167),IF(AND(AT67=3,M67="F",SUMIF(C2:C167,C67,AS2:AS167)&gt;1),1,"")))</f>
        <v/>
      </c>
      <c r="AW67" s="386">
        <f>SUMIF(C2:C167,C67,O2:O167)</f>
        <v>2</v>
      </c>
      <c r="AX67" s="386">
        <f>IF(AND(M67="F",AS67&lt;&gt;0),SUMIF(C2:C167,C67,W2:W167),0)</f>
        <v>0</v>
      </c>
      <c r="AY67" s="386" t="str">
        <f t="shared" ref="AY67:AY130" si="100">IF(AT67=1,W67,"")</f>
        <v/>
      </c>
      <c r="AZ67" s="386" t="str">
        <f t="shared" ref="AZ67:AZ130" si="101">IF(AT67=3,W67,"")</f>
        <v/>
      </c>
      <c r="BA67" s="386">
        <f t="shared" ref="BA67:BA130" si="102">IF(AT67=1,Y67-W67,0)</f>
        <v>0</v>
      </c>
      <c r="BB67" s="386">
        <f t="shared" si="71"/>
        <v>0</v>
      </c>
      <c r="BC67" s="386">
        <f t="shared" si="72"/>
        <v>0</v>
      </c>
      <c r="BD67" s="386">
        <f t="shared" si="73"/>
        <v>0</v>
      </c>
      <c r="BE67" s="386">
        <f t="shared" si="74"/>
        <v>0</v>
      </c>
      <c r="BF67" s="386">
        <f t="shared" si="75"/>
        <v>0</v>
      </c>
      <c r="BG67" s="386">
        <f t="shared" si="76"/>
        <v>0</v>
      </c>
      <c r="BH67" s="386">
        <f t="shared" si="77"/>
        <v>0</v>
      </c>
      <c r="BI67" s="386">
        <f t="shared" si="78"/>
        <v>0</v>
      </c>
      <c r="BJ67" s="386">
        <f t="shared" si="79"/>
        <v>0</v>
      </c>
      <c r="BK67" s="386">
        <f t="shared" si="80"/>
        <v>0</v>
      </c>
      <c r="BL67" s="386">
        <f t="shared" ref="BL67:BL130" si="103">IF(AT67=1,SUM(BD67:BK67),0)</f>
        <v>0</v>
      </c>
      <c r="BM67" s="386">
        <f t="shared" ref="BM67:BM130" si="104">IF(AT67=3,SUM(BD67:BK67),0)</f>
        <v>0</v>
      </c>
      <c r="BN67" s="386">
        <f t="shared" si="81"/>
        <v>0</v>
      </c>
      <c r="BO67" s="386">
        <f t="shared" si="82"/>
        <v>0</v>
      </c>
      <c r="BP67" s="386">
        <f t="shared" si="83"/>
        <v>0</v>
      </c>
      <c r="BQ67" s="386">
        <f t="shared" si="84"/>
        <v>0</v>
      </c>
      <c r="BR67" s="386">
        <f t="shared" si="85"/>
        <v>0</v>
      </c>
      <c r="BS67" s="386">
        <f t="shared" si="86"/>
        <v>0</v>
      </c>
      <c r="BT67" s="386">
        <f t="shared" si="87"/>
        <v>0</v>
      </c>
      <c r="BU67" s="386">
        <f t="shared" si="88"/>
        <v>0</v>
      </c>
      <c r="BV67" s="386">
        <f t="shared" si="89"/>
        <v>0</v>
      </c>
      <c r="BW67" s="386">
        <f t="shared" si="90"/>
        <v>0</v>
      </c>
      <c r="BX67" s="386">
        <f t="shared" ref="BX67:BX130" si="105">IF(AT67=1,SUM(BP67:BW67),0)</f>
        <v>0</v>
      </c>
      <c r="BY67" s="386">
        <f t="shared" ref="BY67:BY130" si="106">IF(AT67=3,SUM(BP67:BW67),0)</f>
        <v>0</v>
      </c>
      <c r="BZ67" s="386">
        <f t="shared" ref="BZ67:BZ130" si="107">IF(AT67=1,BN67-BB67,0)</f>
        <v>0</v>
      </c>
      <c r="CA67" s="386">
        <f t="shared" ref="CA67:CA130" si="108">IF(AT67=3,BO67-BC67,0)</f>
        <v>0</v>
      </c>
      <c r="CB67" s="386">
        <f t="shared" ref="CB67:CB130" si="109">BP67-BD67</f>
        <v>0</v>
      </c>
      <c r="CC67" s="386">
        <f t="shared" si="91"/>
        <v>0</v>
      </c>
      <c r="CD67" s="386">
        <f t="shared" si="92"/>
        <v>0</v>
      </c>
      <c r="CE67" s="386">
        <f t="shared" si="93"/>
        <v>0</v>
      </c>
      <c r="CF67" s="386">
        <f t="shared" si="94"/>
        <v>0</v>
      </c>
      <c r="CG67" s="386">
        <f t="shared" si="95"/>
        <v>0</v>
      </c>
      <c r="CH67" s="386">
        <f t="shared" si="96"/>
        <v>0</v>
      </c>
      <c r="CI67" s="386">
        <f t="shared" si="97"/>
        <v>0</v>
      </c>
      <c r="CJ67" s="386">
        <f t="shared" ref="CJ67:CJ130" si="110">IF(AT67=1,SUM(CB67:CI67),0)</f>
        <v>0</v>
      </c>
      <c r="CK67" s="386" t="str">
        <f t="shared" ref="CK67:CK130" si="111">IF(AT67=3,SUM(CB67:CI67),"")</f>
        <v/>
      </c>
      <c r="CL67" s="386" t="str">
        <f t="shared" ref="CL67:CL130" si="112">IF(OR(N67="NG",AG67="D"),(T67+U67),"")</f>
        <v/>
      </c>
      <c r="CM67" s="386" t="str">
        <f t="shared" ref="CM67:CM130" si="113">IF(OR(N67="NG",AG67="D"),V67,"")</f>
        <v/>
      </c>
      <c r="CN67" s="386" t="str">
        <f t="shared" ref="CN67:CN130" si="114">E67 &amp; "-" &amp; F67</f>
        <v>0126-00</v>
      </c>
    </row>
    <row r="68" spans="1:92" ht="15.75" thickBot="1" x14ac:dyDescent="0.3">
      <c r="A68" s="376" t="s">
        <v>161</v>
      </c>
      <c r="B68" s="376" t="s">
        <v>162</v>
      </c>
      <c r="C68" s="376" t="s">
        <v>333</v>
      </c>
      <c r="D68" s="376" t="s">
        <v>291</v>
      </c>
      <c r="E68" s="376" t="s">
        <v>374</v>
      </c>
      <c r="F68" s="377" t="s">
        <v>166</v>
      </c>
      <c r="G68" s="376" t="s">
        <v>375</v>
      </c>
      <c r="H68" s="378"/>
      <c r="I68" s="378"/>
      <c r="J68" s="376" t="s">
        <v>168</v>
      </c>
      <c r="K68" s="376" t="s">
        <v>292</v>
      </c>
      <c r="L68" s="376" t="s">
        <v>289</v>
      </c>
      <c r="M68" s="376" t="s">
        <v>171</v>
      </c>
      <c r="N68" s="376" t="s">
        <v>172</v>
      </c>
      <c r="O68" s="379">
        <v>1</v>
      </c>
      <c r="P68" s="384">
        <v>0</v>
      </c>
      <c r="Q68" s="384">
        <v>0</v>
      </c>
      <c r="R68" s="380">
        <v>80</v>
      </c>
      <c r="S68" s="384">
        <v>0</v>
      </c>
      <c r="T68" s="380">
        <v>1438.3</v>
      </c>
      <c r="U68" s="380">
        <v>0</v>
      </c>
      <c r="V68" s="380">
        <v>571.79999999999995</v>
      </c>
      <c r="W68" s="380">
        <v>0</v>
      </c>
      <c r="X68" s="380">
        <v>0</v>
      </c>
      <c r="Y68" s="380">
        <v>0</v>
      </c>
      <c r="Z68" s="380">
        <v>0</v>
      </c>
      <c r="AA68" s="376" t="s">
        <v>334</v>
      </c>
      <c r="AB68" s="376" t="s">
        <v>335</v>
      </c>
      <c r="AC68" s="376" t="s">
        <v>336</v>
      </c>
      <c r="AD68" s="376" t="s">
        <v>176</v>
      </c>
      <c r="AE68" s="376" t="s">
        <v>292</v>
      </c>
      <c r="AF68" s="376" t="s">
        <v>177</v>
      </c>
      <c r="AG68" s="376" t="s">
        <v>178</v>
      </c>
      <c r="AH68" s="379">
        <v>31</v>
      </c>
      <c r="AI68" s="381">
        <v>14754.5</v>
      </c>
      <c r="AJ68" s="376" t="s">
        <v>179</v>
      </c>
      <c r="AK68" s="376" t="s">
        <v>180</v>
      </c>
      <c r="AL68" s="376" t="s">
        <v>170</v>
      </c>
      <c r="AM68" s="376" t="s">
        <v>181</v>
      </c>
      <c r="AN68" s="376" t="s">
        <v>68</v>
      </c>
      <c r="AO68" s="379">
        <v>80</v>
      </c>
      <c r="AP68" s="384">
        <v>1</v>
      </c>
      <c r="AQ68" s="384">
        <v>0</v>
      </c>
      <c r="AR68" s="382" t="s">
        <v>182</v>
      </c>
      <c r="AS68" s="386">
        <f t="shared" si="98"/>
        <v>0</v>
      </c>
      <c r="AT68">
        <f t="shared" si="99"/>
        <v>0</v>
      </c>
      <c r="AU68" s="386" t="str">
        <f>IF(AT68=0,"",IF(AND(AT68=1,M68="F",SUMIF(C2:C167,C68,AS2:AS167)&lt;=1),SUMIF(C2:C167,C68,AS2:AS167),IF(AND(AT68=1,M68="F",SUMIF(C2:C167,C68,AS2:AS167)&gt;1),1,"")))</f>
        <v/>
      </c>
      <c r="AV68" s="386" t="str">
        <f>IF(AT68=0,"",IF(AND(AT68=3,M68="F",SUMIF(C2:C167,C68,AS2:AS167)&lt;=1),SUMIF(C2:C167,C68,AS2:AS167),IF(AND(AT68=3,M68="F",SUMIF(C2:C167,C68,AS2:AS167)&gt;1),1,"")))</f>
        <v/>
      </c>
      <c r="AW68" s="386">
        <f>SUMIF(C2:C167,C68,O2:O167)</f>
        <v>2</v>
      </c>
      <c r="AX68" s="386">
        <f>IF(AND(M68="F",AS68&lt;&gt;0),SUMIF(C2:C167,C68,W2:W167),0)</f>
        <v>0</v>
      </c>
      <c r="AY68" s="386" t="str">
        <f t="shared" si="100"/>
        <v/>
      </c>
      <c r="AZ68" s="386" t="str">
        <f t="shared" si="101"/>
        <v/>
      </c>
      <c r="BA68" s="386">
        <f t="shared" si="102"/>
        <v>0</v>
      </c>
      <c r="BB68" s="386">
        <f t="shared" si="71"/>
        <v>0</v>
      </c>
      <c r="BC68" s="386">
        <f t="shared" si="72"/>
        <v>0</v>
      </c>
      <c r="BD68" s="386">
        <f t="shared" si="73"/>
        <v>0</v>
      </c>
      <c r="BE68" s="386">
        <f t="shared" si="74"/>
        <v>0</v>
      </c>
      <c r="BF68" s="386">
        <f t="shared" si="75"/>
        <v>0</v>
      </c>
      <c r="BG68" s="386">
        <f t="shared" si="76"/>
        <v>0</v>
      </c>
      <c r="BH68" s="386">
        <f t="shared" si="77"/>
        <v>0</v>
      </c>
      <c r="BI68" s="386">
        <f t="shared" si="78"/>
        <v>0</v>
      </c>
      <c r="BJ68" s="386">
        <f t="shared" si="79"/>
        <v>0</v>
      </c>
      <c r="BK68" s="386">
        <f t="shared" si="80"/>
        <v>0</v>
      </c>
      <c r="BL68" s="386">
        <f t="shared" si="103"/>
        <v>0</v>
      </c>
      <c r="BM68" s="386">
        <f t="shared" si="104"/>
        <v>0</v>
      </c>
      <c r="BN68" s="386">
        <f t="shared" si="81"/>
        <v>0</v>
      </c>
      <c r="BO68" s="386">
        <f t="shared" si="82"/>
        <v>0</v>
      </c>
      <c r="BP68" s="386">
        <f t="shared" si="83"/>
        <v>0</v>
      </c>
      <c r="BQ68" s="386">
        <f t="shared" si="84"/>
        <v>0</v>
      </c>
      <c r="BR68" s="386">
        <f t="shared" si="85"/>
        <v>0</v>
      </c>
      <c r="BS68" s="386">
        <f t="shared" si="86"/>
        <v>0</v>
      </c>
      <c r="BT68" s="386">
        <f t="shared" si="87"/>
        <v>0</v>
      </c>
      <c r="BU68" s="386">
        <f t="shared" si="88"/>
        <v>0</v>
      </c>
      <c r="BV68" s="386">
        <f t="shared" si="89"/>
        <v>0</v>
      </c>
      <c r="BW68" s="386">
        <f t="shared" si="90"/>
        <v>0</v>
      </c>
      <c r="BX68" s="386">
        <f t="shared" si="105"/>
        <v>0</v>
      </c>
      <c r="BY68" s="386">
        <f t="shared" si="106"/>
        <v>0</v>
      </c>
      <c r="BZ68" s="386">
        <f t="shared" si="107"/>
        <v>0</v>
      </c>
      <c r="CA68" s="386">
        <f t="shared" si="108"/>
        <v>0</v>
      </c>
      <c r="CB68" s="386">
        <f t="shared" si="109"/>
        <v>0</v>
      </c>
      <c r="CC68" s="386">
        <f t="shared" si="91"/>
        <v>0</v>
      </c>
      <c r="CD68" s="386">
        <f t="shared" si="92"/>
        <v>0</v>
      </c>
      <c r="CE68" s="386">
        <f t="shared" si="93"/>
        <v>0</v>
      </c>
      <c r="CF68" s="386">
        <f t="shared" si="94"/>
        <v>0</v>
      </c>
      <c r="CG68" s="386">
        <f t="shared" si="95"/>
        <v>0</v>
      </c>
      <c r="CH68" s="386">
        <f t="shared" si="96"/>
        <v>0</v>
      </c>
      <c r="CI68" s="386">
        <f t="shared" si="97"/>
        <v>0</v>
      </c>
      <c r="CJ68" s="386">
        <f t="shared" si="110"/>
        <v>0</v>
      </c>
      <c r="CK68" s="386" t="str">
        <f t="shared" si="111"/>
        <v/>
      </c>
      <c r="CL68" s="386" t="str">
        <f t="shared" si="112"/>
        <v/>
      </c>
      <c r="CM68" s="386" t="str">
        <f t="shared" si="113"/>
        <v/>
      </c>
      <c r="CN68" s="386" t="str">
        <f t="shared" si="114"/>
        <v>0126-00</v>
      </c>
    </row>
    <row r="69" spans="1:92" ht="15.75" thickBot="1" x14ac:dyDescent="0.3">
      <c r="A69" s="376" t="s">
        <v>161</v>
      </c>
      <c r="B69" s="376" t="s">
        <v>162</v>
      </c>
      <c r="C69" s="376" t="s">
        <v>337</v>
      </c>
      <c r="D69" s="376" t="s">
        <v>291</v>
      </c>
      <c r="E69" s="376" t="s">
        <v>374</v>
      </c>
      <c r="F69" s="377" t="s">
        <v>166</v>
      </c>
      <c r="G69" s="376" t="s">
        <v>375</v>
      </c>
      <c r="H69" s="378"/>
      <c r="I69" s="378"/>
      <c r="J69" s="376" t="s">
        <v>168</v>
      </c>
      <c r="K69" s="376" t="s">
        <v>292</v>
      </c>
      <c r="L69" s="376" t="s">
        <v>289</v>
      </c>
      <c r="M69" s="376" t="s">
        <v>171</v>
      </c>
      <c r="N69" s="376" t="s">
        <v>172</v>
      </c>
      <c r="O69" s="379">
        <v>1</v>
      </c>
      <c r="P69" s="384">
        <v>0</v>
      </c>
      <c r="Q69" s="384">
        <v>0</v>
      </c>
      <c r="R69" s="380">
        <v>80</v>
      </c>
      <c r="S69" s="384">
        <v>0</v>
      </c>
      <c r="T69" s="380">
        <v>1600.64</v>
      </c>
      <c r="U69" s="380">
        <v>0</v>
      </c>
      <c r="V69" s="380">
        <v>607.21</v>
      </c>
      <c r="W69" s="380">
        <v>0</v>
      </c>
      <c r="X69" s="380">
        <v>0</v>
      </c>
      <c r="Y69" s="380">
        <v>0</v>
      </c>
      <c r="Z69" s="380">
        <v>0</v>
      </c>
      <c r="AA69" s="376" t="s">
        <v>338</v>
      </c>
      <c r="AB69" s="376" t="s">
        <v>339</v>
      </c>
      <c r="AC69" s="376" t="s">
        <v>197</v>
      </c>
      <c r="AD69" s="376" t="s">
        <v>289</v>
      </c>
      <c r="AE69" s="376" t="s">
        <v>292</v>
      </c>
      <c r="AF69" s="376" t="s">
        <v>177</v>
      </c>
      <c r="AG69" s="376" t="s">
        <v>178</v>
      </c>
      <c r="AH69" s="379">
        <v>34</v>
      </c>
      <c r="AI69" s="381">
        <v>23704.1</v>
      </c>
      <c r="AJ69" s="376" t="s">
        <v>179</v>
      </c>
      <c r="AK69" s="376" t="s">
        <v>180</v>
      </c>
      <c r="AL69" s="376" t="s">
        <v>170</v>
      </c>
      <c r="AM69" s="376" t="s">
        <v>181</v>
      </c>
      <c r="AN69" s="376" t="s">
        <v>68</v>
      </c>
      <c r="AO69" s="379">
        <v>80</v>
      </c>
      <c r="AP69" s="384">
        <v>1</v>
      </c>
      <c r="AQ69" s="384">
        <v>0</v>
      </c>
      <c r="AR69" s="382" t="s">
        <v>182</v>
      </c>
      <c r="AS69" s="386">
        <f t="shared" si="98"/>
        <v>0</v>
      </c>
      <c r="AT69">
        <f t="shared" si="99"/>
        <v>0</v>
      </c>
      <c r="AU69" s="386" t="str">
        <f>IF(AT69=0,"",IF(AND(AT69=1,M69="F",SUMIF(C2:C167,C69,AS2:AS167)&lt;=1),SUMIF(C2:C167,C69,AS2:AS167),IF(AND(AT69=1,M69="F",SUMIF(C2:C167,C69,AS2:AS167)&gt;1),1,"")))</f>
        <v/>
      </c>
      <c r="AV69" s="386" t="str">
        <f>IF(AT69=0,"",IF(AND(AT69=3,M69="F",SUMIF(C2:C167,C69,AS2:AS167)&lt;=1),SUMIF(C2:C167,C69,AS2:AS167),IF(AND(AT69=3,M69="F",SUMIF(C2:C167,C69,AS2:AS167)&gt;1),1,"")))</f>
        <v/>
      </c>
      <c r="AW69" s="386">
        <f>SUMIF(C2:C167,C69,O2:O167)</f>
        <v>2</v>
      </c>
      <c r="AX69" s="386">
        <f>IF(AND(M69="F",AS69&lt;&gt;0),SUMIF(C2:C167,C69,W2:W167),0)</f>
        <v>0</v>
      </c>
      <c r="AY69" s="386" t="str">
        <f t="shared" si="100"/>
        <v/>
      </c>
      <c r="AZ69" s="386" t="str">
        <f t="shared" si="101"/>
        <v/>
      </c>
      <c r="BA69" s="386">
        <f t="shared" si="102"/>
        <v>0</v>
      </c>
      <c r="BB69" s="386">
        <f t="shared" si="71"/>
        <v>0</v>
      </c>
      <c r="BC69" s="386">
        <f t="shared" si="72"/>
        <v>0</v>
      </c>
      <c r="BD69" s="386">
        <f t="shared" si="73"/>
        <v>0</v>
      </c>
      <c r="BE69" s="386">
        <f t="shared" si="74"/>
        <v>0</v>
      </c>
      <c r="BF69" s="386">
        <f t="shared" si="75"/>
        <v>0</v>
      </c>
      <c r="BG69" s="386">
        <f t="shared" si="76"/>
        <v>0</v>
      </c>
      <c r="BH69" s="386">
        <f t="shared" si="77"/>
        <v>0</v>
      </c>
      <c r="BI69" s="386">
        <f t="shared" si="78"/>
        <v>0</v>
      </c>
      <c r="BJ69" s="386">
        <f t="shared" si="79"/>
        <v>0</v>
      </c>
      <c r="BK69" s="386">
        <f t="shared" si="80"/>
        <v>0</v>
      </c>
      <c r="BL69" s="386">
        <f t="shared" si="103"/>
        <v>0</v>
      </c>
      <c r="BM69" s="386">
        <f t="shared" si="104"/>
        <v>0</v>
      </c>
      <c r="BN69" s="386">
        <f t="shared" si="81"/>
        <v>0</v>
      </c>
      <c r="BO69" s="386">
        <f t="shared" si="82"/>
        <v>0</v>
      </c>
      <c r="BP69" s="386">
        <f t="shared" si="83"/>
        <v>0</v>
      </c>
      <c r="BQ69" s="386">
        <f t="shared" si="84"/>
        <v>0</v>
      </c>
      <c r="BR69" s="386">
        <f t="shared" si="85"/>
        <v>0</v>
      </c>
      <c r="BS69" s="386">
        <f t="shared" si="86"/>
        <v>0</v>
      </c>
      <c r="BT69" s="386">
        <f t="shared" si="87"/>
        <v>0</v>
      </c>
      <c r="BU69" s="386">
        <f t="shared" si="88"/>
        <v>0</v>
      </c>
      <c r="BV69" s="386">
        <f t="shared" si="89"/>
        <v>0</v>
      </c>
      <c r="BW69" s="386">
        <f t="shared" si="90"/>
        <v>0</v>
      </c>
      <c r="BX69" s="386">
        <f t="shared" si="105"/>
        <v>0</v>
      </c>
      <c r="BY69" s="386">
        <f t="shared" si="106"/>
        <v>0</v>
      </c>
      <c r="BZ69" s="386">
        <f t="shared" si="107"/>
        <v>0</v>
      </c>
      <c r="CA69" s="386">
        <f t="shared" si="108"/>
        <v>0</v>
      </c>
      <c r="CB69" s="386">
        <f t="shared" si="109"/>
        <v>0</v>
      </c>
      <c r="CC69" s="386">
        <f t="shared" si="91"/>
        <v>0</v>
      </c>
      <c r="CD69" s="386">
        <f t="shared" si="92"/>
        <v>0</v>
      </c>
      <c r="CE69" s="386">
        <f t="shared" si="93"/>
        <v>0</v>
      </c>
      <c r="CF69" s="386">
        <f t="shared" si="94"/>
        <v>0</v>
      </c>
      <c r="CG69" s="386">
        <f t="shared" si="95"/>
        <v>0</v>
      </c>
      <c r="CH69" s="386">
        <f t="shared" si="96"/>
        <v>0</v>
      </c>
      <c r="CI69" s="386">
        <f t="shared" si="97"/>
        <v>0</v>
      </c>
      <c r="CJ69" s="386">
        <f t="shared" si="110"/>
        <v>0</v>
      </c>
      <c r="CK69" s="386" t="str">
        <f t="shared" si="111"/>
        <v/>
      </c>
      <c r="CL69" s="386" t="str">
        <f t="shared" si="112"/>
        <v/>
      </c>
      <c r="CM69" s="386" t="str">
        <f t="shared" si="113"/>
        <v/>
      </c>
      <c r="CN69" s="386" t="str">
        <f t="shared" si="114"/>
        <v>0126-00</v>
      </c>
    </row>
    <row r="70" spans="1:92" ht="15.75" thickBot="1" x14ac:dyDescent="0.3">
      <c r="A70" s="376" t="s">
        <v>161</v>
      </c>
      <c r="B70" s="376" t="s">
        <v>162</v>
      </c>
      <c r="C70" s="376" t="s">
        <v>340</v>
      </c>
      <c r="D70" s="376" t="s">
        <v>291</v>
      </c>
      <c r="E70" s="376" t="s">
        <v>374</v>
      </c>
      <c r="F70" s="377" t="s">
        <v>166</v>
      </c>
      <c r="G70" s="376" t="s">
        <v>375</v>
      </c>
      <c r="H70" s="378"/>
      <c r="I70" s="378"/>
      <c r="J70" s="376" t="s">
        <v>168</v>
      </c>
      <c r="K70" s="376" t="s">
        <v>292</v>
      </c>
      <c r="L70" s="376" t="s">
        <v>289</v>
      </c>
      <c r="M70" s="376" t="s">
        <v>171</v>
      </c>
      <c r="N70" s="376" t="s">
        <v>172</v>
      </c>
      <c r="O70" s="379">
        <v>1</v>
      </c>
      <c r="P70" s="384">
        <v>0</v>
      </c>
      <c r="Q70" s="384">
        <v>0</v>
      </c>
      <c r="R70" s="380">
        <v>80</v>
      </c>
      <c r="S70" s="384">
        <v>0</v>
      </c>
      <c r="T70" s="380">
        <v>4574.7700000000004</v>
      </c>
      <c r="U70" s="380">
        <v>0</v>
      </c>
      <c r="V70" s="380">
        <v>1706.59</v>
      </c>
      <c r="W70" s="380">
        <v>0</v>
      </c>
      <c r="X70" s="380">
        <v>0</v>
      </c>
      <c r="Y70" s="380">
        <v>0</v>
      </c>
      <c r="Z70" s="380">
        <v>0</v>
      </c>
      <c r="AA70" s="376" t="s">
        <v>341</v>
      </c>
      <c r="AB70" s="376" t="s">
        <v>342</v>
      </c>
      <c r="AC70" s="376" t="s">
        <v>343</v>
      </c>
      <c r="AD70" s="376" t="s">
        <v>298</v>
      </c>
      <c r="AE70" s="376" t="s">
        <v>292</v>
      </c>
      <c r="AF70" s="376" t="s">
        <v>177</v>
      </c>
      <c r="AG70" s="376" t="s">
        <v>178</v>
      </c>
      <c r="AH70" s="379">
        <v>34</v>
      </c>
      <c r="AI70" s="379">
        <v>15490</v>
      </c>
      <c r="AJ70" s="376" t="s">
        <v>179</v>
      </c>
      <c r="AK70" s="376" t="s">
        <v>180</v>
      </c>
      <c r="AL70" s="376" t="s">
        <v>170</v>
      </c>
      <c r="AM70" s="376" t="s">
        <v>181</v>
      </c>
      <c r="AN70" s="376" t="s">
        <v>68</v>
      </c>
      <c r="AO70" s="379">
        <v>80</v>
      </c>
      <c r="AP70" s="384">
        <v>1</v>
      </c>
      <c r="AQ70" s="384">
        <v>0</v>
      </c>
      <c r="AR70" s="382" t="s">
        <v>182</v>
      </c>
      <c r="AS70" s="386">
        <f t="shared" si="98"/>
        <v>0</v>
      </c>
      <c r="AT70">
        <f t="shared" si="99"/>
        <v>0</v>
      </c>
      <c r="AU70" s="386" t="str">
        <f>IF(AT70=0,"",IF(AND(AT70=1,M70="F",SUMIF(C2:C167,C70,AS2:AS167)&lt;=1),SUMIF(C2:C167,C70,AS2:AS167),IF(AND(AT70=1,M70="F",SUMIF(C2:C167,C70,AS2:AS167)&gt;1),1,"")))</f>
        <v/>
      </c>
      <c r="AV70" s="386" t="str">
        <f>IF(AT70=0,"",IF(AND(AT70=3,M70="F",SUMIF(C2:C167,C70,AS2:AS167)&lt;=1),SUMIF(C2:C167,C70,AS2:AS167),IF(AND(AT70=3,M70="F",SUMIF(C2:C167,C70,AS2:AS167)&gt;1),1,"")))</f>
        <v/>
      </c>
      <c r="AW70" s="386">
        <f>SUMIF(C2:C167,C70,O2:O167)</f>
        <v>2</v>
      </c>
      <c r="AX70" s="386">
        <f>IF(AND(M70="F",AS70&lt;&gt;0),SUMIF(C2:C167,C70,W2:W167),0)</f>
        <v>0</v>
      </c>
      <c r="AY70" s="386" t="str">
        <f t="shared" si="100"/>
        <v/>
      </c>
      <c r="AZ70" s="386" t="str">
        <f t="shared" si="101"/>
        <v/>
      </c>
      <c r="BA70" s="386">
        <f t="shared" si="102"/>
        <v>0</v>
      </c>
      <c r="BB70" s="386">
        <f t="shared" si="71"/>
        <v>0</v>
      </c>
      <c r="BC70" s="386">
        <f t="shared" si="72"/>
        <v>0</v>
      </c>
      <c r="BD70" s="386">
        <f t="shared" si="73"/>
        <v>0</v>
      </c>
      <c r="BE70" s="386">
        <f t="shared" si="74"/>
        <v>0</v>
      </c>
      <c r="BF70" s="386">
        <f t="shared" si="75"/>
        <v>0</v>
      </c>
      <c r="BG70" s="386">
        <f t="shared" si="76"/>
        <v>0</v>
      </c>
      <c r="BH70" s="386">
        <f t="shared" si="77"/>
        <v>0</v>
      </c>
      <c r="BI70" s="386">
        <f t="shared" si="78"/>
        <v>0</v>
      </c>
      <c r="BJ70" s="386">
        <f t="shared" si="79"/>
        <v>0</v>
      </c>
      <c r="BK70" s="386">
        <f t="shared" si="80"/>
        <v>0</v>
      </c>
      <c r="BL70" s="386">
        <f t="shared" si="103"/>
        <v>0</v>
      </c>
      <c r="BM70" s="386">
        <f t="shared" si="104"/>
        <v>0</v>
      </c>
      <c r="BN70" s="386">
        <f t="shared" si="81"/>
        <v>0</v>
      </c>
      <c r="BO70" s="386">
        <f t="shared" si="82"/>
        <v>0</v>
      </c>
      <c r="BP70" s="386">
        <f t="shared" si="83"/>
        <v>0</v>
      </c>
      <c r="BQ70" s="386">
        <f t="shared" si="84"/>
        <v>0</v>
      </c>
      <c r="BR70" s="386">
        <f t="shared" si="85"/>
        <v>0</v>
      </c>
      <c r="BS70" s="386">
        <f t="shared" si="86"/>
        <v>0</v>
      </c>
      <c r="BT70" s="386">
        <f t="shared" si="87"/>
        <v>0</v>
      </c>
      <c r="BU70" s="386">
        <f t="shared" si="88"/>
        <v>0</v>
      </c>
      <c r="BV70" s="386">
        <f t="shared" si="89"/>
        <v>0</v>
      </c>
      <c r="BW70" s="386">
        <f t="shared" si="90"/>
        <v>0</v>
      </c>
      <c r="BX70" s="386">
        <f t="shared" si="105"/>
        <v>0</v>
      </c>
      <c r="BY70" s="386">
        <f t="shared" si="106"/>
        <v>0</v>
      </c>
      <c r="BZ70" s="386">
        <f t="shared" si="107"/>
        <v>0</v>
      </c>
      <c r="CA70" s="386">
        <f t="shared" si="108"/>
        <v>0</v>
      </c>
      <c r="CB70" s="386">
        <f t="shared" si="109"/>
        <v>0</v>
      </c>
      <c r="CC70" s="386">
        <f t="shared" si="91"/>
        <v>0</v>
      </c>
      <c r="CD70" s="386">
        <f t="shared" si="92"/>
        <v>0</v>
      </c>
      <c r="CE70" s="386">
        <f t="shared" si="93"/>
        <v>0</v>
      </c>
      <c r="CF70" s="386">
        <f t="shared" si="94"/>
        <v>0</v>
      </c>
      <c r="CG70" s="386">
        <f t="shared" si="95"/>
        <v>0</v>
      </c>
      <c r="CH70" s="386">
        <f t="shared" si="96"/>
        <v>0</v>
      </c>
      <c r="CI70" s="386">
        <f t="shared" si="97"/>
        <v>0</v>
      </c>
      <c r="CJ70" s="386">
        <f t="shared" si="110"/>
        <v>0</v>
      </c>
      <c r="CK70" s="386" t="str">
        <f t="shared" si="111"/>
        <v/>
      </c>
      <c r="CL70" s="386" t="str">
        <f t="shared" si="112"/>
        <v/>
      </c>
      <c r="CM70" s="386" t="str">
        <f t="shared" si="113"/>
        <v/>
      </c>
      <c r="CN70" s="386" t="str">
        <f t="shared" si="114"/>
        <v>0126-00</v>
      </c>
    </row>
    <row r="71" spans="1:92" ht="15.75" thickBot="1" x14ac:dyDescent="0.3">
      <c r="A71" s="376" t="s">
        <v>161</v>
      </c>
      <c r="B71" s="376" t="s">
        <v>162</v>
      </c>
      <c r="C71" s="376" t="s">
        <v>427</v>
      </c>
      <c r="D71" s="376" t="s">
        <v>395</v>
      </c>
      <c r="E71" s="376" t="s">
        <v>374</v>
      </c>
      <c r="F71" s="377" t="s">
        <v>166</v>
      </c>
      <c r="G71" s="376" t="s">
        <v>375</v>
      </c>
      <c r="H71" s="378"/>
      <c r="I71" s="378"/>
      <c r="J71" s="376" t="s">
        <v>168</v>
      </c>
      <c r="K71" s="376" t="s">
        <v>396</v>
      </c>
      <c r="L71" s="376" t="s">
        <v>166</v>
      </c>
      <c r="M71" s="376" t="s">
        <v>171</v>
      </c>
      <c r="N71" s="376" t="s">
        <v>172</v>
      </c>
      <c r="O71" s="379">
        <v>1</v>
      </c>
      <c r="P71" s="384">
        <v>0</v>
      </c>
      <c r="Q71" s="384">
        <v>0</v>
      </c>
      <c r="R71" s="380">
        <v>80</v>
      </c>
      <c r="S71" s="384">
        <v>0</v>
      </c>
      <c r="T71" s="380">
        <v>763.48</v>
      </c>
      <c r="U71" s="380">
        <v>0</v>
      </c>
      <c r="V71" s="380">
        <v>329.78</v>
      </c>
      <c r="W71" s="380">
        <v>0</v>
      </c>
      <c r="X71" s="380">
        <v>0</v>
      </c>
      <c r="Y71" s="380">
        <v>0</v>
      </c>
      <c r="Z71" s="380">
        <v>0</v>
      </c>
      <c r="AA71" s="376" t="s">
        <v>428</v>
      </c>
      <c r="AB71" s="376" t="s">
        <v>429</v>
      </c>
      <c r="AC71" s="376" t="s">
        <v>430</v>
      </c>
      <c r="AD71" s="376" t="s">
        <v>298</v>
      </c>
      <c r="AE71" s="376" t="s">
        <v>396</v>
      </c>
      <c r="AF71" s="376" t="s">
        <v>177</v>
      </c>
      <c r="AG71" s="376" t="s">
        <v>178</v>
      </c>
      <c r="AH71" s="381">
        <v>21.4</v>
      </c>
      <c r="AI71" s="381">
        <v>4498.3</v>
      </c>
      <c r="AJ71" s="376" t="s">
        <v>179</v>
      </c>
      <c r="AK71" s="376" t="s">
        <v>180</v>
      </c>
      <c r="AL71" s="376" t="s">
        <v>170</v>
      </c>
      <c r="AM71" s="376" t="s">
        <v>181</v>
      </c>
      <c r="AN71" s="376" t="s">
        <v>68</v>
      </c>
      <c r="AO71" s="379">
        <v>80</v>
      </c>
      <c r="AP71" s="384">
        <v>1</v>
      </c>
      <c r="AQ71" s="384">
        <v>0</v>
      </c>
      <c r="AR71" s="382" t="s">
        <v>182</v>
      </c>
      <c r="AS71" s="386">
        <f t="shared" si="98"/>
        <v>0</v>
      </c>
      <c r="AT71">
        <f t="shared" si="99"/>
        <v>0</v>
      </c>
      <c r="AU71" s="386" t="str">
        <f>IF(AT71=0,"",IF(AND(AT71=1,M71="F",SUMIF(C2:C167,C71,AS2:AS167)&lt;=1),SUMIF(C2:C167,C71,AS2:AS167),IF(AND(AT71=1,M71="F",SUMIF(C2:C167,C71,AS2:AS167)&gt;1),1,"")))</f>
        <v/>
      </c>
      <c r="AV71" s="386" t="str">
        <f>IF(AT71=0,"",IF(AND(AT71=3,M71="F",SUMIF(C2:C167,C71,AS2:AS167)&lt;=1),SUMIF(C2:C167,C71,AS2:AS167),IF(AND(AT71=3,M71="F",SUMIF(C2:C167,C71,AS2:AS167)&gt;1),1,"")))</f>
        <v/>
      </c>
      <c r="AW71" s="386">
        <f>SUMIF(C2:C167,C71,O2:O167)</f>
        <v>2</v>
      </c>
      <c r="AX71" s="386">
        <f>IF(AND(M71="F",AS71&lt;&gt;0),SUMIF(C2:C167,C71,W2:W167),0)</f>
        <v>0</v>
      </c>
      <c r="AY71" s="386" t="str">
        <f t="shared" si="100"/>
        <v/>
      </c>
      <c r="AZ71" s="386" t="str">
        <f t="shared" si="101"/>
        <v/>
      </c>
      <c r="BA71" s="386">
        <f t="shared" si="102"/>
        <v>0</v>
      </c>
      <c r="BB71" s="386">
        <f t="shared" si="71"/>
        <v>0</v>
      </c>
      <c r="BC71" s="386">
        <f t="shared" si="72"/>
        <v>0</v>
      </c>
      <c r="BD71" s="386">
        <f t="shared" si="73"/>
        <v>0</v>
      </c>
      <c r="BE71" s="386">
        <f t="shared" si="74"/>
        <v>0</v>
      </c>
      <c r="BF71" s="386">
        <f t="shared" si="75"/>
        <v>0</v>
      </c>
      <c r="BG71" s="386">
        <f t="shared" si="76"/>
        <v>0</v>
      </c>
      <c r="BH71" s="386">
        <f t="shared" si="77"/>
        <v>0</v>
      </c>
      <c r="BI71" s="386">
        <f t="shared" si="78"/>
        <v>0</v>
      </c>
      <c r="BJ71" s="386">
        <f t="shared" si="79"/>
        <v>0</v>
      </c>
      <c r="BK71" s="386">
        <f t="shared" si="80"/>
        <v>0</v>
      </c>
      <c r="BL71" s="386">
        <f t="shared" si="103"/>
        <v>0</v>
      </c>
      <c r="BM71" s="386">
        <f t="shared" si="104"/>
        <v>0</v>
      </c>
      <c r="BN71" s="386">
        <f t="shared" si="81"/>
        <v>0</v>
      </c>
      <c r="BO71" s="386">
        <f t="shared" si="82"/>
        <v>0</v>
      </c>
      <c r="BP71" s="386">
        <f t="shared" si="83"/>
        <v>0</v>
      </c>
      <c r="BQ71" s="386">
        <f t="shared" si="84"/>
        <v>0</v>
      </c>
      <c r="BR71" s="386">
        <f t="shared" si="85"/>
        <v>0</v>
      </c>
      <c r="BS71" s="386">
        <f t="shared" si="86"/>
        <v>0</v>
      </c>
      <c r="BT71" s="386">
        <f t="shared" si="87"/>
        <v>0</v>
      </c>
      <c r="BU71" s="386">
        <f t="shared" si="88"/>
        <v>0</v>
      </c>
      <c r="BV71" s="386">
        <f t="shared" si="89"/>
        <v>0</v>
      </c>
      <c r="BW71" s="386">
        <f t="shared" si="90"/>
        <v>0</v>
      </c>
      <c r="BX71" s="386">
        <f t="shared" si="105"/>
        <v>0</v>
      </c>
      <c r="BY71" s="386">
        <f t="shared" si="106"/>
        <v>0</v>
      </c>
      <c r="BZ71" s="386">
        <f t="shared" si="107"/>
        <v>0</v>
      </c>
      <c r="CA71" s="386">
        <f t="shared" si="108"/>
        <v>0</v>
      </c>
      <c r="CB71" s="386">
        <f t="shared" si="109"/>
        <v>0</v>
      </c>
      <c r="CC71" s="386">
        <f t="shared" si="91"/>
        <v>0</v>
      </c>
      <c r="CD71" s="386">
        <f t="shared" si="92"/>
        <v>0</v>
      </c>
      <c r="CE71" s="386">
        <f t="shared" si="93"/>
        <v>0</v>
      </c>
      <c r="CF71" s="386">
        <f t="shared" si="94"/>
        <v>0</v>
      </c>
      <c r="CG71" s="386">
        <f t="shared" si="95"/>
        <v>0</v>
      </c>
      <c r="CH71" s="386">
        <f t="shared" si="96"/>
        <v>0</v>
      </c>
      <c r="CI71" s="386">
        <f t="shared" si="97"/>
        <v>0</v>
      </c>
      <c r="CJ71" s="386">
        <f t="shared" si="110"/>
        <v>0</v>
      </c>
      <c r="CK71" s="386" t="str">
        <f t="shared" si="111"/>
        <v/>
      </c>
      <c r="CL71" s="386" t="str">
        <f t="shared" si="112"/>
        <v/>
      </c>
      <c r="CM71" s="386" t="str">
        <f t="shared" si="113"/>
        <v/>
      </c>
      <c r="CN71" s="386" t="str">
        <f t="shared" si="114"/>
        <v>0126-00</v>
      </c>
    </row>
    <row r="72" spans="1:92" ht="15.75" thickBot="1" x14ac:dyDescent="0.3">
      <c r="A72" s="376" t="s">
        <v>161</v>
      </c>
      <c r="B72" s="376" t="s">
        <v>162</v>
      </c>
      <c r="C72" s="376" t="s">
        <v>192</v>
      </c>
      <c r="D72" s="376" t="s">
        <v>193</v>
      </c>
      <c r="E72" s="376" t="s">
        <v>374</v>
      </c>
      <c r="F72" s="377" t="s">
        <v>166</v>
      </c>
      <c r="G72" s="376" t="s">
        <v>375</v>
      </c>
      <c r="H72" s="378"/>
      <c r="I72" s="378"/>
      <c r="J72" s="376" t="s">
        <v>185</v>
      </c>
      <c r="K72" s="376" t="s">
        <v>194</v>
      </c>
      <c r="L72" s="376" t="s">
        <v>166</v>
      </c>
      <c r="M72" s="376" t="s">
        <v>171</v>
      </c>
      <c r="N72" s="376" t="s">
        <v>172</v>
      </c>
      <c r="O72" s="379">
        <v>1</v>
      </c>
      <c r="P72" s="384">
        <v>0</v>
      </c>
      <c r="Q72" s="384">
        <v>0</v>
      </c>
      <c r="R72" s="380">
        <v>80</v>
      </c>
      <c r="S72" s="384">
        <v>0</v>
      </c>
      <c r="T72" s="380">
        <v>8278.7099999999991</v>
      </c>
      <c r="U72" s="380">
        <v>0</v>
      </c>
      <c r="V72" s="380">
        <v>2642.31</v>
      </c>
      <c r="W72" s="380">
        <v>0</v>
      </c>
      <c r="X72" s="380">
        <v>0</v>
      </c>
      <c r="Y72" s="380">
        <v>0</v>
      </c>
      <c r="Z72" s="380">
        <v>0</v>
      </c>
      <c r="AA72" s="376" t="s">
        <v>195</v>
      </c>
      <c r="AB72" s="376" t="s">
        <v>196</v>
      </c>
      <c r="AC72" s="376" t="s">
        <v>197</v>
      </c>
      <c r="AD72" s="376" t="s">
        <v>198</v>
      </c>
      <c r="AE72" s="376" t="s">
        <v>194</v>
      </c>
      <c r="AF72" s="376" t="s">
        <v>177</v>
      </c>
      <c r="AG72" s="376" t="s">
        <v>178</v>
      </c>
      <c r="AH72" s="381">
        <v>43.77</v>
      </c>
      <c r="AI72" s="381">
        <v>6572.5</v>
      </c>
      <c r="AJ72" s="376" t="s">
        <v>179</v>
      </c>
      <c r="AK72" s="376" t="s">
        <v>180</v>
      </c>
      <c r="AL72" s="376" t="s">
        <v>170</v>
      </c>
      <c r="AM72" s="376" t="s">
        <v>181</v>
      </c>
      <c r="AN72" s="376" t="s">
        <v>68</v>
      </c>
      <c r="AO72" s="379">
        <v>80</v>
      </c>
      <c r="AP72" s="384">
        <v>1</v>
      </c>
      <c r="AQ72" s="384">
        <v>0</v>
      </c>
      <c r="AR72" s="382" t="s">
        <v>182</v>
      </c>
      <c r="AS72" s="386">
        <f t="shared" si="98"/>
        <v>0</v>
      </c>
      <c r="AT72">
        <f t="shared" si="99"/>
        <v>0</v>
      </c>
      <c r="AU72" s="386" t="str">
        <f>IF(AT72=0,"",IF(AND(AT72=1,M72="F",SUMIF(C2:C167,C72,AS2:AS167)&lt;=1),SUMIF(C2:C167,C72,AS2:AS167),IF(AND(AT72=1,M72="F",SUMIF(C2:C167,C72,AS2:AS167)&gt;1),1,"")))</f>
        <v/>
      </c>
      <c r="AV72" s="386" t="str">
        <f>IF(AT72=0,"",IF(AND(AT72=3,M72="F",SUMIF(C2:C167,C72,AS2:AS167)&lt;=1),SUMIF(C2:C167,C72,AS2:AS167),IF(AND(AT72=3,M72="F",SUMIF(C2:C167,C72,AS2:AS167)&gt;1),1,"")))</f>
        <v/>
      </c>
      <c r="AW72" s="386">
        <f>SUMIF(C2:C167,C72,O2:O167)</f>
        <v>5</v>
      </c>
      <c r="AX72" s="386">
        <f>IF(AND(M72="F",AS72&lt;&gt;0),SUMIF(C2:C167,C72,W2:W167),0)</f>
        <v>0</v>
      </c>
      <c r="AY72" s="386" t="str">
        <f t="shared" si="100"/>
        <v/>
      </c>
      <c r="AZ72" s="386" t="str">
        <f t="shared" si="101"/>
        <v/>
      </c>
      <c r="BA72" s="386">
        <f t="shared" si="102"/>
        <v>0</v>
      </c>
      <c r="BB72" s="386">
        <f t="shared" si="71"/>
        <v>0</v>
      </c>
      <c r="BC72" s="386">
        <f t="shared" si="72"/>
        <v>0</v>
      </c>
      <c r="BD72" s="386">
        <f t="shared" si="73"/>
        <v>0</v>
      </c>
      <c r="BE72" s="386">
        <f t="shared" si="74"/>
        <v>0</v>
      </c>
      <c r="BF72" s="386">
        <f t="shared" si="75"/>
        <v>0</v>
      </c>
      <c r="BG72" s="386">
        <f t="shared" si="76"/>
        <v>0</v>
      </c>
      <c r="BH72" s="386">
        <f t="shared" si="77"/>
        <v>0</v>
      </c>
      <c r="BI72" s="386">
        <f t="shared" si="78"/>
        <v>0</v>
      </c>
      <c r="BJ72" s="386">
        <f t="shared" si="79"/>
        <v>0</v>
      </c>
      <c r="BK72" s="386">
        <f t="shared" si="80"/>
        <v>0</v>
      </c>
      <c r="BL72" s="386">
        <f t="shared" si="103"/>
        <v>0</v>
      </c>
      <c r="BM72" s="386">
        <f t="shared" si="104"/>
        <v>0</v>
      </c>
      <c r="BN72" s="386">
        <f t="shared" si="81"/>
        <v>0</v>
      </c>
      <c r="BO72" s="386">
        <f t="shared" si="82"/>
        <v>0</v>
      </c>
      <c r="BP72" s="386">
        <f t="shared" si="83"/>
        <v>0</v>
      </c>
      <c r="BQ72" s="386">
        <f t="shared" si="84"/>
        <v>0</v>
      </c>
      <c r="BR72" s="386">
        <f t="shared" si="85"/>
        <v>0</v>
      </c>
      <c r="BS72" s="386">
        <f t="shared" si="86"/>
        <v>0</v>
      </c>
      <c r="BT72" s="386">
        <f t="shared" si="87"/>
        <v>0</v>
      </c>
      <c r="BU72" s="386">
        <f t="shared" si="88"/>
        <v>0</v>
      </c>
      <c r="BV72" s="386">
        <f t="shared" si="89"/>
        <v>0</v>
      </c>
      <c r="BW72" s="386">
        <f t="shared" si="90"/>
        <v>0</v>
      </c>
      <c r="BX72" s="386">
        <f t="shared" si="105"/>
        <v>0</v>
      </c>
      <c r="BY72" s="386">
        <f t="shared" si="106"/>
        <v>0</v>
      </c>
      <c r="BZ72" s="386">
        <f t="shared" si="107"/>
        <v>0</v>
      </c>
      <c r="CA72" s="386">
        <f t="shared" si="108"/>
        <v>0</v>
      </c>
      <c r="CB72" s="386">
        <f t="shared" si="109"/>
        <v>0</v>
      </c>
      <c r="CC72" s="386">
        <f t="shared" si="91"/>
        <v>0</v>
      </c>
      <c r="CD72" s="386">
        <f t="shared" si="92"/>
        <v>0</v>
      </c>
      <c r="CE72" s="386">
        <f t="shared" si="93"/>
        <v>0</v>
      </c>
      <c r="CF72" s="386">
        <f t="shared" si="94"/>
        <v>0</v>
      </c>
      <c r="CG72" s="386">
        <f t="shared" si="95"/>
        <v>0</v>
      </c>
      <c r="CH72" s="386">
        <f t="shared" si="96"/>
        <v>0</v>
      </c>
      <c r="CI72" s="386">
        <f t="shared" si="97"/>
        <v>0</v>
      </c>
      <c r="CJ72" s="386">
        <f t="shared" si="110"/>
        <v>0</v>
      </c>
      <c r="CK72" s="386" t="str">
        <f t="shared" si="111"/>
        <v/>
      </c>
      <c r="CL72" s="386" t="str">
        <f t="shared" si="112"/>
        <v/>
      </c>
      <c r="CM72" s="386" t="str">
        <f t="shared" si="113"/>
        <v/>
      </c>
      <c r="CN72" s="386" t="str">
        <f t="shared" si="114"/>
        <v>0126-00</v>
      </c>
    </row>
    <row r="73" spans="1:92" ht="15.75" thickBot="1" x14ac:dyDescent="0.3">
      <c r="A73" s="376" t="s">
        <v>161</v>
      </c>
      <c r="B73" s="376" t="s">
        <v>162</v>
      </c>
      <c r="C73" s="376" t="s">
        <v>431</v>
      </c>
      <c r="D73" s="376" t="s">
        <v>432</v>
      </c>
      <c r="E73" s="376" t="s">
        <v>374</v>
      </c>
      <c r="F73" s="377" t="s">
        <v>166</v>
      </c>
      <c r="G73" s="376" t="s">
        <v>375</v>
      </c>
      <c r="H73" s="378"/>
      <c r="I73" s="378"/>
      <c r="J73" s="376" t="s">
        <v>168</v>
      </c>
      <c r="K73" s="376" t="s">
        <v>433</v>
      </c>
      <c r="L73" s="376" t="s">
        <v>166</v>
      </c>
      <c r="M73" s="376" t="s">
        <v>171</v>
      </c>
      <c r="N73" s="376" t="s">
        <v>172</v>
      </c>
      <c r="O73" s="379">
        <v>1</v>
      </c>
      <c r="P73" s="384">
        <v>0</v>
      </c>
      <c r="Q73" s="384">
        <v>0</v>
      </c>
      <c r="R73" s="380">
        <v>80</v>
      </c>
      <c r="S73" s="384">
        <v>0</v>
      </c>
      <c r="T73" s="380">
        <v>7524.9</v>
      </c>
      <c r="U73" s="380">
        <v>0</v>
      </c>
      <c r="V73" s="380">
        <v>2502.1999999999998</v>
      </c>
      <c r="W73" s="380">
        <v>0</v>
      </c>
      <c r="X73" s="380">
        <v>0</v>
      </c>
      <c r="Y73" s="380">
        <v>0</v>
      </c>
      <c r="Z73" s="380">
        <v>0</v>
      </c>
      <c r="AA73" s="376" t="s">
        <v>434</v>
      </c>
      <c r="AB73" s="376" t="s">
        <v>435</v>
      </c>
      <c r="AC73" s="376" t="s">
        <v>436</v>
      </c>
      <c r="AD73" s="376" t="s">
        <v>211</v>
      </c>
      <c r="AE73" s="376" t="s">
        <v>433</v>
      </c>
      <c r="AF73" s="376" t="s">
        <v>177</v>
      </c>
      <c r="AG73" s="376" t="s">
        <v>178</v>
      </c>
      <c r="AH73" s="381">
        <v>40.380000000000003</v>
      </c>
      <c r="AI73" s="381">
        <v>51147.6</v>
      </c>
      <c r="AJ73" s="376" t="s">
        <v>179</v>
      </c>
      <c r="AK73" s="376" t="s">
        <v>180</v>
      </c>
      <c r="AL73" s="376" t="s">
        <v>170</v>
      </c>
      <c r="AM73" s="376" t="s">
        <v>181</v>
      </c>
      <c r="AN73" s="376" t="s">
        <v>68</v>
      </c>
      <c r="AO73" s="379">
        <v>80</v>
      </c>
      <c r="AP73" s="384">
        <v>1</v>
      </c>
      <c r="AQ73" s="384">
        <v>0</v>
      </c>
      <c r="AR73" s="382" t="s">
        <v>182</v>
      </c>
      <c r="AS73" s="386">
        <f t="shared" si="98"/>
        <v>0</v>
      </c>
      <c r="AT73">
        <f t="shared" si="99"/>
        <v>0</v>
      </c>
      <c r="AU73" s="386" t="str">
        <f>IF(AT73=0,"",IF(AND(AT73=1,M73="F",SUMIF(C2:C167,C73,AS2:AS167)&lt;=1),SUMIF(C2:C167,C73,AS2:AS167),IF(AND(AT73=1,M73="F",SUMIF(C2:C167,C73,AS2:AS167)&gt;1),1,"")))</f>
        <v/>
      </c>
      <c r="AV73" s="386" t="str">
        <f>IF(AT73=0,"",IF(AND(AT73=3,M73="F",SUMIF(C2:C167,C73,AS2:AS167)&lt;=1),SUMIF(C2:C167,C73,AS2:AS167),IF(AND(AT73=3,M73="F",SUMIF(C2:C167,C73,AS2:AS167)&gt;1),1,"")))</f>
        <v/>
      </c>
      <c r="AW73" s="386">
        <f>SUMIF(C2:C167,C73,O2:O167)</f>
        <v>2</v>
      </c>
      <c r="AX73" s="386">
        <f>IF(AND(M73="F",AS73&lt;&gt;0),SUMIF(C2:C167,C73,W2:W167),0)</f>
        <v>0</v>
      </c>
      <c r="AY73" s="386" t="str">
        <f t="shared" si="100"/>
        <v/>
      </c>
      <c r="AZ73" s="386" t="str">
        <f t="shared" si="101"/>
        <v/>
      </c>
      <c r="BA73" s="386">
        <f t="shared" si="102"/>
        <v>0</v>
      </c>
      <c r="BB73" s="386">
        <f t="shared" si="71"/>
        <v>0</v>
      </c>
      <c r="BC73" s="386">
        <f t="shared" si="72"/>
        <v>0</v>
      </c>
      <c r="BD73" s="386">
        <f t="shared" si="73"/>
        <v>0</v>
      </c>
      <c r="BE73" s="386">
        <f t="shared" si="74"/>
        <v>0</v>
      </c>
      <c r="BF73" s="386">
        <f t="shared" si="75"/>
        <v>0</v>
      </c>
      <c r="BG73" s="386">
        <f t="shared" si="76"/>
        <v>0</v>
      </c>
      <c r="BH73" s="386">
        <f t="shared" si="77"/>
        <v>0</v>
      </c>
      <c r="BI73" s="386">
        <f t="shared" si="78"/>
        <v>0</v>
      </c>
      <c r="BJ73" s="386">
        <f t="shared" si="79"/>
        <v>0</v>
      </c>
      <c r="BK73" s="386">
        <f t="shared" si="80"/>
        <v>0</v>
      </c>
      <c r="BL73" s="386">
        <f t="shared" si="103"/>
        <v>0</v>
      </c>
      <c r="BM73" s="386">
        <f t="shared" si="104"/>
        <v>0</v>
      </c>
      <c r="BN73" s="386">
        <f t="shared" si="81"/>
        <v>0</v>
      </c>
      <c r="BO73" s="386">
        <f t="shared" si="82"/>
        <v>0</v>
      </c>
      <c r="BP73" s="386">
        <f t="shared" si="83"/>
        <v>0</v>
      </c>
      <c r="BQ73" s="386">
        <f t="shared" si="84"/>
        <v>0</v>
      </c>
      <c r="BR73" s="386">
        <f t="shared" si="85"/>
        <v>0</v>
      </c>
      <c r="BS73" s="386">
        <f t="shared" si="86"/>
        <v>0</v>
      </c>
      <c r="BT73" s="386">
        <f t="shared" si="87"/>
        <v>0</v>
      </c>
      <c r="BU73" s="386">
        <f t="shared" si="88"/>
        <v>0</v>
      </c>
      <c r="BV73" s="386">
        <f t="shared" si="89"/>
        <v>0</v>
      </c>
      <c r="BW73" s="386">
        <f t="shared" si="90"/>
        <v>0</v>
      </c>
      <c r="BX73" s="386">
        <f t="shared" si="105"/>
        <v>0</v>
      </c>
      <c r="BY73" s="386">
        <f t="shared" si="106"/>
        <v>0</v>
      </c>
      <c r="BZ73" s="386">
        <f t="shared" si="107"/>
        <v>0</v>
      </c>
      <c r="CA73" s="386">
        <f t="shared" si="108"/>
        <v>0</v>
      </c>
      <c r="CB73" s="386">
        <f t="shared" si="109"/>
        <v>0</v>
      </c>
      <c r="CC73" s="386">
        <f t="shared" si="91"/>
        <v>0</v>
      </c>
      <c r="CD73" s="386">
        <f t="shared" si="92"/>
        <v>0</v>
      </c>
      <c r="CE73" s="386">
        <f t="shared" si="93"/>
        <v>0</v>
      </c>
      <c r="CF73" s="386">
        <f t="shared" si="94"/>
        <v>0</v>
      </c>
      <c r="CG73" s="386">
        <f t="shared" si="95"/>
        <v>0</v>
      </c>
      <c r="CH73" s="386">
        <f t="shared" si="96"/>
        <v>0</v>
      </c>
      <c r="CI73" s="386">
        <f t="shared" si="97"/>
        <v>0</v>
      </c>
      <c r="CJ73" s="386">
        <f t="shared" si="110"/>
        <v>0</v>
      </c>
      <c r="CK73" s="386" t="str">
        <f t="shared" si="111"/>
        <v/>
      </c>
      <c r="CL73" s="386" t="str">
        <f t="shared" si="112"/>
        <v/>
      </c>
      <c r="CM73" s="386" t="str">
        <f t="shared" si="113"/>
        <v/>
      </c>
      <c r="CN73" s="386" t="str">
        <f t="shared" si="114"/>
        <v>0126-00</v>
      </c>
    </row>
    <row r="74" spans="1:92" ht="15.75" thickBot="1" x14ac:dyDescent="0.3">
      <c r="A74" s="376" t="s">
        <v>161</v>
      </c>
      <c r="B74" s="376" t="s">
        <v>162</v>
      </c>
      <c r="C74" s="376" t="s">
        <v>348</v>
      </c>
      <c r="D74" s="376" t="s">
        <v>349</v>
      </c>
      <c r="E74" s="376" t="s">
        <v>374</v>
      </c>
      <c r="F74" s="377" t="s">
        <v>166</v>
      </c>
      <c r="G74" s="376" t="s">
        <v>375</v>
      </c>
      <c r="H74" s="378"/>
      <c r="I74" s="378"/>
      <c r="J74" s="376" t="s">
        <v>168</v>
      </c>
      <c r="K74" s="376" t="s">
        <v>350</v>
      </c>
      <c r="L74" s="376" t="s">
        <v>166</v>
      </c>
      <c r="M74" s="376" t="s">
        <v>171</v>
      </c>
      <c r="N74" s="376" t="s">
        <v>172</v>
      </c>
      <c r="O74" s="379">
        <v>1</v>
      </c>
      <c r="P74" s="384">
        <v>0</v>
      </c>
      <c r="Q74" s="384">
        <v>0</v>
      </c>
      <c r="R74" s="380">
        <v>80</v>
      </c>
      <c r="S74" s="384">
        <v>0</v>
      </c>
      <c r="T74" s="380">
        <v>12955.13</v>
      </c>
      <c r="U74" s="380">
        <v>0</v>
      </c>
      <c r="V74" s="380">
        <v>3716.26</v>
      </c>
      <c r="W74" s="380">
        <v>0</v>
      </c>
      <c r="X74" s="380">
        <v>0</v>
      </c>
      <c r="Y74" s="380">
        <v>0</v>
      </c>
      <c r="Z74" s="380">
        <v>0</v>
      </c>
      <c r="AA74" s="376" t="s">
        <v>351</v>
      </c>
      <c r="AB74" s="376" t="s">
        <v>352</v>
      </c>
      <c r="AC74" s="376" t="s">
        <v>217</v>
      </c>
      <c r="AD74" s="376" t="s">
        <v>263</v>
      </c>
      <c r="AE74" s="376" t="s">
        <v>350</v>
      </c>
      <c r="AF74" s="376" t="s">
        <v>177</v>
      </c>
      <c r="AG74" s="376" t="s">
        <v>178</v>
      </c>
      <c r="AH74" s="381">
        <v>44.67</v>
      </c>
      <c r="AI74" s="381">
        <v>32236.9</v>
      </c>
      <c r="AJ74" s="376" t="s">
        <v>179</v>
      </c>
      <c r="AK74" s="376" t="s">
        <v>180</v>
      </c>
      <c r="AL74" s="376" t="s">
        <v>170</v>
      </c>
      <c r="AM74" s="376" t="s">
        <v>181</v>
      </c>
      <c r="AN74" s="376" t="s">
        <v>68</v>
      </c>
      <c r="AO74" s="379">
        <v>80</v>
      </c>
      <c r="AP74" s="384">
        <v>1</v>
      </c>
      <c r="AQ74" s="384">
        <v>0</v>
      </c>
      <c r="AR74" s="382" t="s">
        <v>182</v>
      </c>
      <c r="AS74" s="386">
        <f t="shared" si="98"/>
        <v>0</v>
      </c>
      <c r="AT74">
        <f t="shared" si="99"/>
        <v>0</v>
      </c>
      <c r="AU74" s="386" t="str">
        <f>IF(AT74=0,"",IF(AND(AT74=1,M74="F",SUMIF(C2:C167,C74,AS2:AS167)&lt;=1),SUMIF(C2:C167,C74,AS2:AS167),IF(AND(AT74=1,M74="F",SUMIF(C2:C167,C74,AS2:AS167)&gt;1),1,"")))</f>
        <v/>
      </c>
      <c r="AV74" s="386" t="str">
        <f>IF(AT74=0,"",IF(AND(AT74=3,M74="F",SUMIF(C2:C167,C74,AS2:AS167)&lt;=1),SUMIF(C2:C167,C74,AS2:AS167),IF(AND(AT74=3,M74="F",SUMIF(C2:C167,C74,AS2:AS167)&gt;1),1,"")))</f>
        <v/>
      </c>
      <c r="AW74" s="386">
        <f>SUMIF(C2:C167,C74,O2:O167)</f>
        <v>2</v>
      </c>
      <c r="AX74" s="386">
        <f>IF(AND(M74="F",AS74&lt;&gt;0),SUMIF(C2:C167,C74,W2:W167),0)</f>
        <v>0</v>
      </c>
      <c r="AY74" s="386" t="str">
        <f t="shared" si="100"/>
        <v/>
      </c>
      <c r="AZ74" s="386" t="str">
        <f t="shared" si="101"/>
        <v/>
      </c>
      <c r="BA74" s="386">
        <f t="shared" si="102"/>
        <v>0</v>
      </c>
      <c r="BB74" s="386">
        <f t="shared" si="71"/>
        <v>0</v>
      </c>
      <c r="BC74" s="386">
        <f t="shared" si="72"/>
        <v>0</v>
      </c>
      <c r="BD74" s="386">
        <f t="shared" si="73"/>
        <v>0</v>
      </c>
      <c r="BE74" s="386">
        <f t="shared" si="74"/>
        <v>0</v>
      </c>
      <c r="BF74" s="386">
        <f t="shared" si="75"/>
        <v>0</v>
      </c>
      <c r="BG74" s="386">
        <f t="shared" si="76"/>
        <v>0</v>
      </c>
      <c r="BH74" s="386">
        <f t="shared" si="77"/>
        <v>0</v>
      </c>
      <c r="BI74" s="386">
        <f t="shared" si="78"/>
        <v>0</v>
      </c>
      <c r="BJ74" s="386">
        <f t="shared" si="79"/>
        <v>0</v>
      </c>
      <c r="BK74" s="386">
        <f t="shared" si="80"/>
        <v>0</v>
      </c>
      <c r="BL74" s="386">
        <f t="shared" si="103"/>
        <v>0</v>
      </c>
      <c r="BM74" s="386">
        <f t="shared" si="104"/>
        <v>0</v>
      </c>
      <c r="BN74" s="386">
        <f t="shared" si="81"/>
        <v>0</v>
      </c>
      <c r="BO74" s="386">
        <f t="shared" si="82"/>
        <v>0</v>
      </c>
      <c r="BP74" s="386">
        <f t="shared" si="83"/>
        <v>0</v>
      </c>
      <c r="BQ74" s="386">
        <f t="shared" si="84"/>
        <v>0</v>
      </c>
      <c r="BR74" s="386">
        <f t="shared" si="85"/>
        <v>0</v>
      </c>
      <c r="BS74" s="386">
        <f t="shared" si="86"/>
        <v>0</v>
      </c>
      <c r="BT74" s="386">
        <f t="shared" si="87"/>
        <v>0</v>
      </c>
      <c r="BU74" s="386">
        <f t="shared" si="88"/>
        <v>0</v>
      </c>
      <c r="BV74" s="386">
        <f t="shared" si="89"/>
        <v>0</v>
      </c>
      <c r="BW74" s="386">
        <f t="shared" si="90"/>
        <v>0</v>
      </c>
      <c r="BX74" s="386">
        <f t="shared" si="105"/>
        <v>0</v>
      </c>
      <c r="BY74" s="386">
        <f t="shared" si="106"/>
        <v>0</v>
      </c>
      <c r="BZ74" s="386">
        <f t="shared" si="107"/>
        <v>0</v>
      </c>
      <c r="CA74" s="386">
        <f t="shared" si="108"/>
        <v>0</v>
      </c>
      <c r="CB74" s="386">
        <f t="shared" si="109"/>
        <v>0</v>
      </c>
      <c r="CC74" s="386">
        <f t="shared" si="91"/>
        <v>0</v>
      </c>
      <c r="CD74" s="386">
        <f t="shared" si="92"/>
        <v>0</v>
      </c>
      <c r="CE74" s="386">
        <f t="shared" si="93"/>
        <v>0</v>
      </c>
      <c r="CF74" s="386">
        <f t="shared" si="94"/>
        <v>0</v>
      </c>
      <c r="CG74" s="386">
        <f t="shared" si="95"/>
        <v>0</v>
      </c>
      <c r="CH74" s="386">
        <f t="shared" si="96"/>
        <v>0</v>
      </c>
      <c r="CI74" s="386">
        <f t="shared" si="97"/>
        <v>0</v>
      </c>
      <c r="CJ74" s="386">
        <f t="shared" si="110"/>
        <v>0</v>
      </c>
      <c r="CK74" s="386" t="str">
        <f t="shared" si="111"/>
        <v/>
      </c>
      <c r="CL74" s="386" t="str">
        <f t="shared" si="112"/>
        <v/>
      </c>
      <c r="CM74" s="386" t="str">
        <f t="shared" si="113"/>
        <v/>
      </c>
      <c r="CN74" s="386" t="str">
        <f t="shared" si="114"/>
        <v>0126-00</v>
      </c>
    </row>
    <row r="75" spans="1:92" ht="15.75" thickBot="1" x14ac:dyDescent="0.3">
      <c r="A75" s="376" t="s">
        <v>161</v>
      </c>
      <c r="B75" s="376" t="s">
        <v>162</v>
      </c>
      <c r="C75" s="376" t="s">
        <v>437</v>
      </c>
      <c r="D75" s="376" t="s">
        <v>438</v>
      </c>
      <c r="E75" s="376" t="s">
        <v>374</v>
      </c>
      <c r="F75" s="377" t="s">
        <v>166</v>
      </c>
      <c r="G75" s="376" t="s">
        <v>375</v>
      </c>
      <c r="H75" s="378"/>
      <c r="I75" s="378"/>
      <c r="J75" s="376" t="s">
        <v>168</v>
      </c>
      <c r="K75" s="376" t="s">
        <v>439</v>
      </c>
      <c r="L75" s="376" t="s">
        <v>298</v>
      </c>
      <c r="M75" s="376" t="s">
        <v>171</v>
      </c>
      <c r="N75" s="376" t="s">
        <v>172</v>
      </c>
      <c r="O75" s="379">
        <v>1</v>
      </c>
      <c r="P75" s="384">
        <v>0</v>
      </c>
      <c r="Q75" s="384">
        <v>0</v>
      </c>
      <c r="R75" s="380">
        <v>80</v>
      </c>
      <c r="S75" s="384">
        <v>0</v>
      </c>
      <c r="T75" s="380">
        <v>1327.32</v>
      </c>
      <c r="U75" s="380">
        <v>0</v>
      </c>
      <c r="V75" s="380">
        <v>445.77</v>
      </c>
      <c r="W75" s="380">
        <v>0</v>
      </c>
      <c r="X75" s="380">
        <v>0</v>
      </c>
      <c r="Y75" s="380">
        <v>0</v>
      </c>
      <c r="Z75" s="380">
        <v>0</v>
      </c>
      <c r="AA75" s="376" t="s">
        <v>440</v>
      </c>
      <c r="AB75" s="376" t="s">
        <v>441</v>
      </c>
      <c r="AC75" s="376" t="s">
        <v>442</v>
      </c>
      <c r="AD75" s="376" t="s">
        <v>265</v>
      </c>
      <c r="AE75" s="376" t="s">
        <v>439</v>
      </c>
      <c r="AF75" s="376" t="s">
        <v>177</v>
      </c>
      <c r="AG75" s="376" t="s">
        <v>178</v>
      </c>
      <c r="AH75" s="381">
        <v>39.880000000000003</v>
      </c>
      <c r="AI75" s="379">
        <v>11869</v>
      </c>
      <c r="AJ75" s="376" t="s">
        <v>179</v>
      </c>
      <c r="AK75" s="376" t="s">
        <v>180</v>
      </c>
      <c r="AL75" s="376" t="s">
        <v>170</v>
      </c>
      <c r="AM75" s="376" t="s">
        <v>181</v>
      </c>
      <c r="AN75" s="376" t="s">
        <v>68</v>
      </c>
      <c r="AO75" s="379">
        <v>80</v>
      </c>
      <c r="AP75" s="384">
        <v>1</v>
      </c>
      <c r="AQ75" s="384">
        <v>0</v>
      </c>
      <c r="AR75" s="382" t="s">
        <v>182</v>
      </c>
      <c r="AS75" s="386">
        <f t="shared" si="98"/>
        <v>0</v>
      </c>
      <c r="AT75">
        <f t="shared" si="99"/>
        <v>0</v>
      </c>
      <c r="AU75" s="386" t="str">
        <f>IF(AT75=0,"",IF(AND(AT75=1,M75="F",SUMIF(C2:C167,C75,AS2:AS167)&lt;=1),SUMIF(C2:C167,C75,AS2:AS167),IF(AND(AT75=1,M75="F",SUMIF(C2:C167,C75,AS2:AS167)&gt;1),1,"")))</f>
        <v/>
      </c>
      <c r="AV75" s="386" t="str">
        <f>IF(AT75=0,"",IF(AND(AT75=3,M75="F",SUMIF(C2:C167,C75,AS2:AS167)&lt;=1),SUMIF(C2:C167,C75,AS2:AS167),IF(AND(AT75=3,M75="F",SUMIF(C2:C167,C75,AS2:AS167)&gt;1),1,"")))</f>
        <v/>
      </c>
      <c r="AW75" s="386">
        <f>SUMIF(C2:C167,C75,O2:O167)</f>
        <v>2</v>
      </c>
      <c r="AX75" s="386">
        <f>IF(AND(M75="F",AS75&lt;&gt;0),SUMIF(C2:C167,C75,W2:W167),0)</f>
        <v>0</v>
      </c>
      <c r="AY75" s="386" t="str">
        <f t="shared" si="100"/>
        <v/>
      </c>
      <c r="AZ75" s="386" t="str">
        <f t="shared" si="101"/>
        <v/>
      </c>
      <c r="BA75" s="386">
        <f t="shared" si="102"/>
        <v>0</v>
      </c>
      <c r="BB75" s="386">
        <f t="shared" si="71"/>
        <v>0</v>
      </c>
      <c r="BC75" s="386">
        <f t="shared" si="72"/>
        <v>0</v>
      </c>
      <c r="BD75" s="386">
        <f t="shared" si="73"/>
        <v>0</v>
      </c>
      <c r="BE75" s="386">
        <f t="shared" si="74"/>
        <v>0</v>
      </c>
      <c r="BF75" s="386">
        <f t="shared" si="75"/>
        <v>0</v>
      </c>
      <c r="BG75" s="386">
        <f t="shared" si="76"/>
        <v>0</v>
      </c>
      <c r="BH75" s="386">
        <f t="shared" si="77"/>
        <v>0</v>
      </c>
      <c r="BI75" s="386">
        <f t="shared" si="78"/>
        <v>0</v>
      </c>
      <c r="BJ75" s="386">
        <f t="shared" si="79"/>
        <v>0</v>
      </c>
      <c r="BK75" s="386">
        <f t="shared" si="80"/>
        <v>0</v>
      </c>
      <c r="BL75" s="386">
        <f t="shared" si="103"/>
        <v>0</v>
      </c>
      <c r="BM75" s="386">
        <f t="shared" si="104"/>
        <v>0</v>
      </c>
      <c r="BN75" s="386">
        <f t="shared" si="81"/>
        <v>0</v>
      </c>
      <c r="BO75" s="386">
        <f t="shared" si="82"/>
        <v>0</v>
      </c>
      <c r="BP75" s="386">
        <f t="shared" si="83"/>
        <v>0</v>
      </c>
      <c r="BQ75" s="386">
        <f t="shared" si="84"/>
        <v>0</v>
      </c>
      <c r="BR75" s="386">
        <f t="shared" si="85"/>
        <v>0</v>
      </c>
      <c r="BS75" s="386">
        <f t="shared" si="86"/>
        <v>0</v>
      </c>
      <c r="BT75" s="386">
        <f t="shared" si="87"/>
        <v>0</v>
      </c>
      <c r="BU75" s="386">
        <f t="shared" si="88"/>
        <v>0</v>
      </c>
      <c r="BV75" s="386">
        <f t="shared" si="89"/>
        <v>0</v>
      </c>
      <c r="BW75" s="386">
        <f t="shared" si="90"/>
        <v>0</v>
      </c>
      <c r="BX75" s="386">
        <f t="shared" si="105"/>
        <v>0</v>
      </c>
      <c r="BY75" s="386">
        <f t="shared" si="106"/>
        <v>0</v>
      </c>
      <c r="BZ75" s="386">
        <f t="shared" si="107"/>
        <v>0</v>
      </c>
      <c r="CA75" s="386">
        <f t="shared" si="108"/>
        <v>0</v>
      </c>
      <c r="CB75" s="386">
        <f t="shared" si="109"/>
        <v>0</v>
      </c>
      <c r="CC75" s="386">
        <f t="shared" si="91"/>
        <v>0</v>
      </c>
      <c r="CD75" s="386">
        <f t="shared" si="92"/>
        <v>0</v>
      </c>
      <c r="CE75" s="386">
        <f t="shared" si="93"/>
        <v>0</v>
      </c>
      <c r="CF75" s="386">
        <f t="shared" si="94"/>
        <v>0</v>
      </c>
      <c r="CG75" s="386">
        <f t="shared" si="95"/>
        <v>0</v>
      </c>
      <c r="CH75" s="386">
        <f t="shared" si="96"/>
        <v>0</v>
      </c>
      <c r="CI75" s="386">
        <f t="shared" si="97"/>
        <v>0</v>
      </c>
      <c r="CJ75" s="386">
        <f t="shared" si="110"/>
        <v>0</v>
      </c>
      <c r="CK75" s="386" t="str">
        <f t="shared" si="111"/>
        <v/>
      </c>
      <c r="CL75" s="386" t="str">
        <f t="shared" si="112"/>
        <v/>
      </c>
      <c r="CM75" s="386" t="str">
        <f t="shared" si="113"/>
        <v/>
      </c>
      <c r="CN75" s="386" t="str">
        <f t="shared" si="114"/>
        <v>0126-00</v>
      </c>
    </row>
    <row r="76" spans="1:92" ht="15.75" thickBot="1" x14ac:dyDescent="0.3">
      <c r="A76" s="376" t="s">
        <v>161</v>
      </c>
      <c r="B76" s="376" t="s">
        <v>162</v>
      </c>
      <c r="C76" s="376" t="s">
        <v>212</v>
      </c>
      <c r="D76" s="376" t="s">
        <v>213</v>
      </c>
      <c r="E76" s="376" t="s">
        <v>374</v>
      </c>
      <c r="F76" s="377" t="s">
        <v>166</v>
      </c>
      <c r="G76" s="376" t="s">
        <v>375</v>
      </c>
      <c r="H76" s="378"/>
      <c r="I76" s="378"/>
      <c r="J76" s="376" t="s">
        <v>185</v>
      </c>
      <c r="K76" s="376" t="s">
        <v>214</v>
      </c>
      <c r="L76" s="376" t="s">
        <v>166</v>
      </c>
      <c r="M76" s="376" t="s">
        <v>171</v>
      </c>
      <c r="N76" s="376" t="s">
        <v>172</v>
      </c>
      <c r="O76" s="379">
        <v>1</v>
      </c>
      <c r="P76" s="384">
        <v>0</v>
      </c>
      <c r="Q76" s="384">
        <v>0</v>
      </c>
      <c r="R76" s="380">
        <v>80</v>
      </c>
      <c r="S76" s="384">
        <v>0</v>
      </c>
      <c r="T76" s="380">
        <v>7254.43</v>
      </c>
      <c r="U76" s="380">
        <v>0</v>
      </c>
      <c r="V76" s="380">
        <v>2229.6799999999998</v>
      </c>
      <c r="W76" s="380">
        <v>0</v>
      </c>
      <c r="X76" s="380">
        <v>0</v>
      </c>
      <c r="Y76" s="380">
        <v>0</v>
      </c>
      <c r="Z76" s="380">
        <v>0</v>
      </c>
      <c r="AA76" s="376" t="s">
        <v>215</v>
      </c>
      <c r="AB76" s="376" t="s">
        <v>216</v>
      </c>
      <c r="AC76" s="376" t="s">
        <v>217</v>
      </c>
      <c r="AD76" s="376" t="s">
        <v>170</v>
      </c>
      <c r="AE76" s="376" t="s">
        <v>214</v>
      </c>
      <c r="AF76" s="376" t="s">
        <v>177</v>
      </c>
      <c r="AG76" s="376" t="s">
        <v>178</v>
      </c>
      <c r="AH76" s="381">
        <v>56.86</v>
      </c>
      <c r="AI76" s="379">
        <v>2817</v>
      </c>
      <c r="AJ76" s="376" t="s">
        <v>179</v>
      </c>
      <c r="AK76" s="376" t="s">
        <v>180</v>
      </c>
      <c r="AL76" s="376" t="s">
        <v>170</v>
      </c>
      <c r="AM76" s="376" t="s">
        <v>181</v>
      </c>
      <c r="AN76" s="376" t="s">
        <v>68</v>
      </c>
      <c r="AO76" s="379">
        <v>80</v>
      </c>
      <c r="AP76" s="384">
        <v>1</v>
      </c>
      <c r="AQ76" s="384">
        <v>0</v>
      </c>
      <c r="AR76" s="382" t="s">
        <v>182</v>
      </c>
      <c r="AS76" s="386">
        <f t="shared" si="98"/>
        <v>0</v>
      </c>
      <c r="AT76">
        <f t="shared" si="99"/>
        <v>0</v>
      </c>
      <c r="AU76" s="386" t="str">
        <f>IF(AT76=0,"",IF(AND(AT76=1,M76="F",SUMIF(C2:C167,C76,AS2:AS167)&lt;=1),SUMIF(C2:C167,C76,AS2:AS167),IF(AND(AT76=1,M76="F",SUMIF(C2:C167,C76,AS2:AS167)&gt;1),1,"")))</f>
        <v/>
      </c>
      <c r="AV76" s="386" t="str">
        <f>IF(AT76=0,"",IF(AND(AT76=3,M76="F",SUMIF(C2:C167,C76,AS2:AS167)&lt;=1),SUMIF(C2:C167,C76,AS2:AS167),IF(AND(AT76=3,M76="F",SUMIF(C2:C167,C76,AS2:AS167)&gt;1),1,"")))</f>
        <v/>
      </c>
      <c r="AW76" s="386">
        <f>SUMIF(C2:C167,C76,O2:O167)</f>
        <v>5</v>
      </c>
      <c r="AX76" s="386">
        <f>IF(AND(M76="F",AS76&lt;&gt;0),SUMIF(C2:C167,C76,W2:W167),0)</f>
        <v>0</v>
      </c>
      <c r="AY76" s="386" t="str">
        <f t="shared" si="100"/>
        <v/>
      </c>
      <c r="AZ76" s="386" t="str">
        <f t="shared" si="101"/>
        <v/>
      </c>
      <c r="BA76" s="386">
        <f t="shared" si="102"/>
        <v>0</v>
      </c>
      <c r="BB76" s="386">
        <f t="shared" si="71"/>
        <v>0</v>
      </c>
      <c r="BC76" s="386">
        <f t="shared" si="72"/>
        <v>0</v>
      </c>
      <c r="BD76" s="386">
        <f t="shared" si="73"/>
        <v>0</v>
      </c>
      <c r="BE76" s="386">
        <f t="shared" si="74"/>
        <v>0</v>
      </c>
      <c r="BF76" s="386">
        <f t="shared" si="75"/>
        <v>0</v>
      </c>
      <c r="BG76" s="386">
        <f t="shared" si="76"/>
        <v>0</v>
      </c>
      <c r="BH76" s="386">
        <f t="shared" si="77"/>
        <v>0</v>
      </c>
      <c r="BI76" s="386">
        <f t="shared" si="78"/>
        <v>0</v>
      </c>
      <c r="BJ76" s="386">
        <f t="shared" si="79"/>
        <v>0</v>
      </c>
      <c r="BK76" s="386">
        <f t="shared" si="80"/>
        <v>0</v>
      </c>
      <c r="BL76" s="386">
        <f t="shared" si="103"/>
        <v>0</v>
      </c>
      <c r="BM76" s="386">
        <f t="shared" si="104"/>
        <v>0</v>
      </c>
      <c r="BN76" s="386">
        <f t="shared" si="81"/>
        <v>0</v>
      </c>
      <c r="BO76" s="386">
        <f t="shared" si="82"/>
        <v>0</v>
      </c>
      <c r="BP76" s="386">
        <f t="shared" si="83"/>
        <v>0</v>
      </c>
      <c r="BQ76" s="386">
        <f t="shared" si="84"/>
        <v>0</v>
      </c>
      <c r="BR76" s="386">
        <f t="shared" si="85"/>
        <v>0</v>
      </c>
      <c r="BS76" s="386">
        <f t="shared" si="86"/>
        <v>0</v>
      </c>
      <c r="BT76" s="386">
        <f t="shared" si="87"/>
        <v>0</v>
      </c>
      <c r="BU76" s="386">
        <f t="shared" si="88"/>
        <v>0</v>
      </c>
      <c r="BV76" s="386">
        <f t="shared" si="89"/>
        <v>0</v>
      </c>
      <c r="BW76" s="386">
        <f t="shared" si="90"/>
        <v>0</v>
      </c>
      <c r="BX76" s="386">
        <f t="shared" si="105"/>
        <v>0</v>
      </c>
      <c r="BY76" s="386">
        <f t="shared" si="106"/>
        <v>0</v>
      </c>
      <c r="BZ76" s="386">
        <f t="shared" si="107"/>
        <v>0</v>
      </c>
      <c r="CA76" s="386">
        <f t="shared" si="108"/>
        <v>0</v>
      </c>
      <c r="CB76" s="386">
        <f t="shared" si="109"/>
        <v>0</v>
      </c>
      <c r="CC76" s="386">
        <f t="shared" si="91"/>
        <v>0</v>
      </c>
      <c r="CD76" s="386">
        <f t="shared" si="92"/>
        <v>0</v>
      </c>
      <c r="CE76" s="386">
        <f t="shared" si="93"/>
        <v>0</v>
      </c>
      <c r="CF76" s="386">
        <f t="shared" si="94"/>
        <v>0</v>
      </c>
      <c r="CG76" s="386">
        <f t="shared" si="95"/>
        <v>0</v>
      </c>
      <c r="CH76" s="386">
        <f t="shared" si="96"/>
        <v>0</v>
      </c>
      <c r="CI76" s="386">
        <f t="shared" si="97"/>
        <v>0</v>
      </c>
      <c r="CJ76" s="386">
        <f t="shared" si="110"/>
        <v>0</v>
      </c>
      <c r="CK76" s="386" t="str">
        <f t="shared" si="111"/>
        <v/>
      </c>
      <c r="CL76" s="386" t="str">
        <f t="shared" si="112"/>
        <v/>
      </c>
      <c r="CM76" s="386" t="str">
        <f t="shared" si="113"/>
        <v/>
      </c>
      <c r="CN76" s="386" t="str">
        <f t="shared" si="114"/>
        <v>0126-00</v>
      </c>
    </row>
    <row r="77" spans="1:92" ht="15.75" thickBot="1" x14ac:dyDescent="0.3">
      <c r="A77" s="376" t="s">
        <v>161</v>
      </c>
      <c r="B77" s="376" t="s">
        <v>162</v>
      </c>
      <c r="C77" s="376" t="s">
        <v>443</v>
      </c>
      <c r="D77" s="376" t="s">
        <v>213</v>
      </c>
      <c r="E77" s="376" t="s">
        <v>374</v>
      </c>
      <c r="F77" s="377" t="s">
        <v>166</v>
      </c>
      <c r="G77" s="376" t="s">
        <v>375</v>
      </c>
      <c r="H77" s="378"/>
      <c r="I77" s="378"/>
      <c r="J77" s="376" t="s">
        <v>168</v>
      </c>
      <c r="K77" s="376" t="s">
        <v>214</v>
      </c>
      <c r="L77" s="376" t="s">
        <v>166</v>
      </c>
      <c r="M77" s="376" t="s">
        <v>171</v>
      </c>
      <c r="N77" s="376" t="s">
        <v>172</v>
      </c>
      <c r="O77" s="379">
        <v>1</v>
      </c>
      <c r="P77" s="384">
        <v>1</v>
      </c>
      <c r="Q77" s="384">
        <v>1</v>
      </c>
      <c r="R77" s="380">
        <v>80</v>
      </c>
      <c r="S77" s="384">
        <v>1</v>
      </c>
      <c r="T77" s="380">
        <v>93574.41</v>
      </c>
      <c r="U77" s="380">
        <v>0</v>
      </c>
      <c r="V77" s="380">
        <v>30515.32</v>
      </c>
      <c r="W77" s="380">
        <v>94057.600000000006</v>
      </c>
      <c r="X77" s="380">
        <v>31412.42</v>
      </c>
      <c r="Y77" s="380">
        <v>94057.600000000006</v>
      </c>
      <c r="Z77" s="380">
        <v>30923.32</v>
      </c>
      <c r="AA77" s="376" t="s">
        <v>444</v>
      </c>
      <c r="AB77" s="376" t="s">
        <v>445</v>
      </c>
      <c r="AC77" s="376" t="s">
        <v>446</v>
      </c>
      <c r="AD77" s="376" t="s">
        <v>289</v>
      </c>
      <c r="AE77" s="376" t="s">
        <v>214</v>
      </c>
      <c r="AF77" s="376" t="s">
        <v>177</v>
      </c>
      <c r="AG77" s="376" t="s">
        <v>178</v>
      </c>
      <c r="AH77" s="381">
        <v>45.22</v>
      </c>
      <c r="AI77" s="379">
        <v>6680</v>
      </c>
      <c r="AJ77" s="376" t="s">
        <v>179</v>
      </c>
      <c r="AK77" s="376" t="s">
        <v>180</v>
      </c>
      <c r="AL77" s="376" t="s">
        <v>170</v>
      </c>
      <c r="AM77" s="376" t="s">
        <v>181</v>
      </c>
      <c r="AN77" s="376" t="s">
        <v>68</v>
      </c>
      <c r="AO77" s="379">
        <v>80</v>
      </c>
      <c r="AP77" s="384">
        <v>1</v>
      </c>
      <c r="AQ77" s="384">
        <v>1</v>
      </c>
      <c r="AR77" s="382" t="s">
        <v>182</v>
      </c>
      <c r="AS77" s="386">
        <f t="shared" si="98"/>
        <v>1</v>
      </c>
      <c r="AT77">
        <f t="shared" si="99"/>
        <v>1</v>
      </c>
      <c r="AU77" s="386">
        <f>IF(AT77=0,"",IF(AND(AT77=1,M77="F",SUMIF(C2:C167,C77,AS2:AS167)&lt;=1),SUMIF(C2:C167,C77,AS2:AS167),IF(AND(AT77=1,M77="F",SUMIF(C2:C167,C77,AS2:AS167)&gt;1),1,"")))</f>
        <v>1</v>
      </c>
      <c r="AV77" s="386" t="str">
        <f>IF(AT77=0,"",IF(AND(AT77=3,M77="F",SUMIF(C2:C167,C77,AS2:AS167)&lt;=1),SUMIF(C2:C167,C77,AS2:AS167),IF(AND(AT77=3,M77="F",SUMIF(C2:C167,C77,AS2:AS167)&gt;1),1,"")))</f>
        <v/>
      </c>
      <c r="AW77" s="386">
        <f>SUMIF(C2:C167,C77,O2:O167)</f>
        <v>1</v>
      </c>
      <c r="AX77" s="386">
        <f>IF(AND(M77="F",AS77&lt;&gt;0),SUMIF(C2:C167,C77,W2:W167),0)</f>
        <v>94057.600000000006</v>
      </c>
      <c r="AY77" s="386">
        <f t="shared" si="100"/>
        <v>94057.600000000006</v>
      </c>
      <c r="AZ77" s="386" t="str">
        <f t="shared" si="101"/>
        <v/>
      </c>
      <c r="BA77" s="386">
        <f t="shared" si="102"/>
        <v>0</v>
      </c>
      <c r="BB77" s="386">
        <f t="shared" si="71"/>
        <v>11650</v>
      </c>
      <c r="BC77" s="386">
        <f t="shared" si="72"/>
        <v>0</v>
      </c>
      <c r="BD77" s="386">
        <f t="shared" si="73"/>
        <v>5831.5712000000003</v>
      </c>
      <c r="BE77" s="386">
        <f t="shared" si="74"/>
        <v>1363.8352000000002</v>
      </c>
      <c r="BF77" s="386">
        <f t="shared" si="75"/>
        <v>11230.477440000001</v>
      </c>
      <c r="BG77" s="386">
        <f t="shared" si="76"/>
        <v>678.15529600000002</v>
      </c>
      <c r="BH77" s="386">
        <f t="shared" si="77"/>
        <v>460.88224000000002</v>
      </c>
      <c r="BI77" s="386">
        <f t="shared" si="78"/>
        <v>0</v>
      </c>
      <c r="BJ77" s="386">
        <f t="shared" si="79"/>
        <v>197.52096</v>
      </c>
      <c r="BK77" s="386">
        <f t="shared" si="80"/>
        <v>0</v>
      </c>
      <c r="BL77" s="386">
        <f t="shared" si="103"/>
        <v>19762.442336000004</v>
      </c>
      <c r="BM77" s="386">
        <f t="shared" si="104"/>
        <v>0</v>
      </c>
      <c r="BN77" s="386">
        <f t="shared" si="81"/>
        <v>11650</v>
      </c>
      <c r="BO77" s="386">
        <f t="shared" si="82"/>
        <v>0</v>
      </c>
      <c r="BP77" s="386">
        <f t="shared" si="83"/>
        <v>5831.5712000000003</v>
      </c>
      <c r="BQ77" s="386">
        <f t="shared" si="84"/>
        <v>1363.8352000000002</v>
      </c>
      <c r="BR77" s="386">
        <f t="shared" si="85"/>
        <v>11230.477440000001</v>
      </c>
      <c r="BS77" s="386">
        <f t="shared" si="86"/>
        <v>678.15529600000002</v>
      </c>
      <c r="BT77" s="386">
        <f t="shared" si="87"/>
        <v>0</v>
      </c>
      <c r="BU77" s="386">
        <f t="shared" si="88"/>
        <v>0</v>
      </c>
      <c r="BV77" s="386">
        <f t="shared" si="89"/>
        <v>169.30368000000001</v>
      </c>
      <c r="BW77" s="386">
        <f t="shared" si="90"/>
        <v>0</v>
      </c>
      <c r="BX77" s="386">
        <f t="shared" si="105"/>
        <v>19273.342816000004</v>
      </c>
      <c r="BY77" s="386">
        <f t="shared" si="106"/>
        <v>0</v>
      </c>
      <c r="BZ77" s="386">
        <f t="shared" si="107"/>
        <v>0</v>
      </c>
      <c r="CA77" s="386">
        <f t="shared" si="108"/>
        <v>0</v>
      </c>
      <c r="CB77" s="386">
        <f t="shared" si="109"/>
        <v>0</v>
      </c>
      <c r="CC77" s="386">
        <f t="shared" si="91"/>
        <v>0</v>
      </c>
      <c r="CD77" s="386">
        <f t="shared" si="92"/>
        <v>0</v>
      </c>
      <c r="CE77" s="386">
        <f t="shared" si="93"/>
        <v>0</v>
      </c>
      <c r="CF77" s="386">
        <f t="shared" si="94"/>
        <v>-460.88224000000002</v>
      </c>
      <c r="CG77" s="386">
        <f t="shared" si="95"/>
        <v>0</v>
      </c>
      <c r="CH77" s="386">
        <f t="shared" si="96"/>
        <v>-28.217279999999995</v>
      </c>
      <c r="CI77" s="386">
        <f t="shared" si="97"/>
        <v>0</v>
      </c>
      <c r="CJ77" s="386">
        <f t="shared" si="110"/>
        <v>-489.09952000000004</v>
      </c>
      <c r="CK77" s="386" t="str">
        <f t="shared" si="111"/>
        <v/>
      </c>
      <c r="CL77" s="386" t="str">
        <f t="shared" si="112"/>
        <v/>
      </c>
      <c r="CM77" s="386" t="str">
        <f t="shared" si="113"/>
        <v/>
      </c>
      <c r="CN77" s="386" t="str">
        <f t="shared" si="114"/>
        <v>0126-00</v>
      </c>
    </row>
    <row r="78" spans="1:92" ht="15.75" thickBot="1" x14ac:dyDescent="0.3">
      <c r="A78" s="376" t="s">
        <v>161</v>
      </c>
      <c r="B78" s="376" t="s">
        <v>162</v>
      </c>
      <c r="C78" s="376" t="s">
        <v>218</v>
      </c>
      <c r="D78" s="376" t="s">
        <v>219</v>
      </c>
      <c r="E78" s="376" t="s">
        <v>374</v>
      </c>
      <c r="F78" s="377" t="s">
        <v>166</v>
      </c>
      <c r="G78" s="376" t="s">
        <v>375</v>
      </c>
      <c r="H78" s="378"/>
      <c r="I78" s="378"/>
      <c r="J78" s="376" t="s">
        <v>220</v>
      </c>
      <c r="K78" s="376" t="s">
        <v>221</v>
      </c>
      <c r="L78" s="376" t="s">
        <v>166</v>
      </c>
      <c r="M78" s="376" t="s">
        <v>171</v>
      </c>
      <c r="N78" s="376" t="s">
        <v>172</v>
      </c>
      <c r="O78" s="379">
        <v>1</v>
      </c>
      <c r="P78" s="384">
        <v>0.7</v>
      </c>
      <c r="Q78" s="384">
        <v>0.7</v>
      </c>
      <c r="R78" s="380">
        <v>80</v>
      </c>
      <c r="S78" s="384">
        <v>0.7</v>
      </c>
      <c r="T78" s="380">
        <v>30701.5</v>
      </c>
      <c r="U78" s="380">
        <v>0</v>
      </c>
      <c r="V78" s="380">
        <v>11105.08</v>
      </c>
      <c r="W78" s="380">
        <v>44553.599999999999</v>
      </c>
      <c r="X78" s="380">
        <v>17516.14</v>
      </c>
      <c r="Y78" s="380">
        <v>44553.599999999999</v>
      </c>
      <c r="Z78" s="380">
        <v>17284.46</v>
      </c>
      <c r="AA78" s="376" t="s">
        <v>222</v>
      </c>
      <c r="AB78" s="376" t="s">
        <v>223</v>
      </c>
      <c r="AC78" s="376" t="s">
        <v>224</v>
      </c>
      <c r="AD78" s="376" t="s">
        <v>170</v>
      </c>
      <c r="AE78" s="376" t="s">
        <v>221</v>
      </c>
      <c r="AF78" s="376" t="s">
        <v>177</v>
      </c>
      <c r="AG78" s="376" t="s">
        <v>178</v>
      </c>
      <c r="AH78" s="381">
        <v>30.6</v>
      </c>
      <c r="AI78" s="379">
        <v>6405</v>
      </c>
      <c r="AJ78" s="376" t="s">
        <v>179</v>
      </c>
      <c r="AK78" s="376" t="s">
        <v>180</v>
      </c>
      <c r="AL78" s="376" t="s">
        <v>170</v>
      </c>
      <c r="AM78" s="376" t="s">
        <v>181</v>
      </c>
      <c r="AN78" s="376" t="s">
        <v>68</v>
      </c>
      <c r="AO78" s="379">
        <v>80</v>
      </c>
      <c r="AP78" s="384">
        <v>1</v>
      </c>
      <c r="AQ78" s="384">
        <v>0.7</v>
      </c>
      <c r="AR78" s="382" t="s">
        <v>182</v>
      </c>
      <c r="AS78" s="386">
        <f t="shared" si="98"/>
        <v>0.7</v>
      </c>
      <c r="AT78">
        <f t="shared" si="99"/>
        <v>1</v>
      </c>
      <c r="AU78" s="386">
        <f>IF(AT78=0,"",IF(AND(AT78=1,M78="F",SUMIF(C2:C167,C78,AS2:AS167)&lt;=1),SUMIF(C2:C167,C78,AS2:AS167),IF(AND(AT78=1,M78="F",SUMIF(C2:C167,C78,AS2:AS167)&gt;1),1,"")))</f>
        <v>1</v>
      </c>
      <c r="AV78" s="386" t="str">
        <f>IF(AT78=0,"",IF(AND(AT78=3,M78="F",SUMIF(C2:C167,C78,AS2:AS167)&lt;=1),SUMIF(C2:C167,C78,AS2:AS167),IF(AND(AT78=3,M78="F",SUMIF(C2:C167,C78,AS2:AS167)&gt;1),1,"")))</f>
        <v/>
      </c>
      <c r="AW78" s="386">
        <f>SUMIF(C2:C167,C78,O2:O167)</f>
        <v>5</v>
      </c>
      <c r="AX78" s="386">
        <f>IF(AND(M78="F",AS78&lt;&gt;0),SUMIF(C2:C167,C78,W2:W167),0)</f>
        <v>63647.999999999993</v>
      </c>
      <c r="AY78" s="386">
        <f t="shared" si="100"/>
        <v>44553.599999999999</v>
      </c>
      <c r="AZ78" s="386" t="str">
        <f t="shared" si="101"/>
        <v/>
      </c>
      <c r="BA78" s="386">
        <f t="shared" si="102"/>
        <v>0</v>
      </c>
      <c r="BB78" s="386">
        <f t="shared" si="71"/>
        <v>8154.9999999999991</v>
      </c>
      <c r="BC78" s="386">
        <f t="shared" si="72"/>
        <v>0</v>
      </c>
      <c r="BD78" s="386">
        <f t="shared" si="73"/>
        <v>2762.3231999999998</v>
      </c>
      <c r="BE78" s="386">
        <f t="shared" si="74"/>
        <v>646.02719999999999</v>
      </c>
      <c r="BF78" s="386">
        <f t="shared" si="75"/>
        <v>5319.6998400000002</v>
      </c>
      <c r="BG78" s="386">
        <f t="shared" si="76"/>
        <v>321.23145599999998</v>
      </c>
      <c r="BH78" s="386">
        <f t="shared" si="77"/>
        <v>218.31263999999999</v>
      </c>
      <c r="BI78" s="386">
        <f t="shared" si="78"/>
        <v>0</v>
      </c>
      <c r="BJ78" s="386">
        <f t="shared" si="79"/>
        <v>93.562559999999991</v>
      </c>
      <c r="BK78" s="386">
        <f t="shared" si="80"/>
        <v>0</v>
      </c>
      <c r="BL78" s="386">
        <f t="shared" si="103"/>
        <v>9361.1568960000004</v>
      </c>
      <c r="BM78" s="386">
        <f t="shared" si="104"/>
        <v>0</v>
      </c>
      <c r="BN78" s="386">
        <f t="shared" si="81"/>
        <v>8154.9999999999991</v>
      </c>
      <c r="BO78" s="386">
        <f t="shared" si="82"/>
        <v>0</v>
      </c>
      <c r="BP78" s="386">
        <f t="shared" si="83"/>
        <v>2762.3231999999998</v>
      </c>
      <c r="BQ78" s="386">
        <f t="shared" si="84"/>
        <v>646.02719999999999</v>
      </c>
      <c r="BR78" s="386">
        <f t="shared" si="85"/>
        <v>5319.6998400000002</v>
      </c>
      <c r="BS78" s="386">
        <f t="shared" si="86"/>
        <v>321.23145599999998</v>
      </c>
      <c r="BT78" s="386">
        <f t="shared" si="87"/>
        <v>0</v>
      </c>
      <c r="BU78" s="386">
        <f t="shared" si="88"/>
        <v>0</v>
      </c>
      <c r="BV78" s="386">
        <f t="shared" si="89"/>
        <v>80.196479999999994</v>
      </c>
      <c r="BW78" s="386">
        <f t="shared" si="90"/>
        <v>0</v>
      </c>
      <c r="BX78" s="386">
        <f t="shared" si="105"/>
        <v>9129.4781760000005</v>
      </c>
      <c r="BY78" s="386">
        <f t="shared" si="106"/>
        <v>0</v>
      </c>
      <c r="BZ78" s="386">
        <f t="shared" si="107"/>
        <v>0</v>
      </c>
      <c r="CA78" s="386">
        <f t="shared" si="108"/>
        <v>0</v>
      </c>
      <c r="CB78" s="386">
        <f t="shared" si="109"/>
        <v>0</v>
      </c>
      <c r="CC78" s="386">
        <f t="shared" si="91"/>
        <v>0</v>
      </c>
      <c r="CD78" s="386">
        <f t="shared" si="92"/>
        <v>0</v>
      </c>
      <c r="CE78" s="386">
        <f t="shared" si="93"/>
        <v>0</v>
      </c>
      <c r="CF78" s="386">
        <f t="shared" si="94"/>
        <v>-218.31263999999999</v>
      </c>
      <c r="CG78" s="386">
        <f t="shared" si="95"/>
        <v>0</v>
      </c>
      <c r="CH78" s="386">
        <f t="shared" si="96"/>
        <v>-13.366079999999997</v>
      </c>
      <c r="CI78" s="386">
        <f t="shared" si="97"/>
        <v>0</v>
      </c>
      <c r="CJ78" s="386">
        <f t="shared" si="110"/>
        <v>-231.67872</v>
      </c>
      <c r="CK78" s="386" t="str">
        <f t="shared" si="111"/>
        <v/>
      </c>
      <c r="CL78" s="386" t="str">
        <f t="shared" si="112"/>
        <v/>
      </c>
      <c r="CM78" s="386" t="str">
        <f t="shared" si="113"/>
        <v/>
      </c>
      <c r="CN78" s="386" t="str">
        <f t="shared" si="114"/>
        <v>0126-00</v>
      </c>
    </row>
    <row r="79" spans="1:92" ht="15.75" thickBot="1" x14ac:dyDescent="0.3">
      <c r="A79" s="376" t="s">
        <v>161</v>
      </c>
      <c r="B79" s="376" t="s">
        <v>162</v>
      </c>
      <c r="C79" s="376" t="s">
        <v>447</v>
      </c>
      <c r="D79" s="376" t="s">
        <v>448</v>
      </c>
      <c r="E79" s="376" t="s">
        <v>374</v>
      </c>
      <c r="F79" s="377" t="s">
        <v>166</v>
      </c>
      <c r="G79" s="376" t="s">
        <v>375</v>
      </c>
      <c r="H79" s="378"/>
      <c r="I79" s="378"/>
      <c r="J79" s="376" t="s">
        <v>168</v>
      </c>
      <c r="K79" s="376" t="s">
        <v>449</v>
      </c>
      <c r="L79" s="376" t="s">
        <v>166</v>
      </c>
      <c r="M79" s="376" t="s">
        <v>171</v>
      </c>
      <c r="N79" s="376" t="s">
        <v>172</v>
      </c>
      <c r="O79" s="379">
        <v>1</v>
      </c>
      <c r="P79" s="384">
        <v>0</v>
      </c>
      <c r="Q79" s="384">
        <v>0</v>
      </c>
      <c r="R79" s="380">
        <v>80</v>
      </c>
      <c r="S79" s="384">
        <v>0</v>
      </c>
      <c r="T79" s="380">
        <v>5214.63</v>
      </c>
      <c r="U79" s="380">
        <v>0</v>
      </c>
      <c r="V79" s="380">
        <v>1703.1</v>
      </c>
      <c r="W79" s="380">
        <v>0</v>
      </c>
      <c r="X79" s="380">
        <v>0</v>
      </c>
      <c r="Y79" s="380">
        <v>0</v>
      </c>
      <c r="Z79" s="380">
        <v>0</v>
      </c>
      <c r="AA79" s="376" t="s">
        <v>450</v>
      </c>
      <c r="AB79" s="376" t="s">
        <v>451</v>
      </c>
      <c r="AC79" s="376" t="s">
        <v>452</v>
      </c>
      <c r="AD79" s="376" t="s">
        <v>176</v>
      </c>
      <c r="AE79" s="376" t="s">
        <v>449</v>
      </c>
      <c r="AF79" s="376" t="s">
        <v>177</v>
      </c>
      <c r="AG79" s="376" t="s">
        <v>178</v>
      </c>
      <c r="AH79" s="381">
        <v>43.41</v>
      </c>
      <c r="AI79" s="381">
        <v>65801.5</v>
      </c>
      <c r="AJ79" s="376" t="s">
        <v>179</v>
      </c>
      <c r="AK79" s="376" t="s">
        <v>180</v>
      </c>
      <c r="AL79" s="376" t="s">
        <v>170</v>
      </c>
      <c r="AM79" s="376" t="s">
        <v>181</v>
      </c>
      <c r="AN79" s="376" t="s">
        <v>68</v>
      </c>
      <c r="AO79" s="379">
        <v>80</v>
      </c>
      <c r="AP79" s="384">
        <v>1</v>
      </c>
      <c r="AQ79" s="384">
        <v>0</v>
      </c>
      <c r="AR79" s="382" t="s">
        <v>182</v>
      </c>
      <c r="AS79" s="386">
        <f t="shared" si="98"/>
        <v>0</v>
      </c>
      <c r="AT79">
        <f t="shared" si="99"/>
        <v>0</v>
      </c>
      <c r="AU79" s="386" t="str">
        <f>IF(AT79=0,"",IF(AND(AT79=1,M79="F",SUMIF(C2:C167,C79,AS2:AS167)&lt;=1),SUMIF(C2:C167,C79,AS2:AS167),IF(AND(AT79=1,M79="F",SUMIF(C2:C167,C79,AS2:AS167)&gt;1),1,"")))</f>
        <v/>
      </c>
      <c r="AV79" s="386" t="str">
        <f>IF(AT79=0,"",IF(AND(AT79=3,M79="F",SUMIF(C2:C167,C79,AS2:AS167)&lt;=1),SUMIF(C2:C167,C79,AS2:AS167),IF(AND(AT79=3,M79="F",SUMIF(C2:C167,C79,AS2:AS167)&gt;1),1,"")))</f>
        <v/>
      </c>
      <c r="AW79" s="386">
        <f>SUMIF(C2:C167,C79,O2:O167)</f>
        <v>2</v>
      </c>
      <c r="AX79" s="386">
        <f>IF(AND(M79="F",AS79&lt;&gt;0),SUMIF(C2:C167,C79,W2:W167),0)</f>
        <v>0</v>
      </c>
      <c r="AY79" s="386" t="str">
        <f t="shared" si="100"/>
        <v/>
      </c>
      <c r="AZ79" s="386" t="str">
        <f t="shared" si="101"/>
        <v/>
      </c>
      <c r="BA79" s="386">
        <f t="shared" si="102"/>
        <v>0</v>
      </c>
      <c r="BB79" s="386">
        <f t="shared" si="71"/>
        <v>0</v>
      </c>
      <c r="BC79" s="386">
        <f t="shared" si="72"/>
        <v>0</v>
      </c>
      <c r="BD79" s="386">
        <f t="shared" si="73"/>
        <v>0</v>
      </c>
      <c r="BE79" s="386">
        <f t="shared" si="74"/>
        <v>0</v>
      </c>
      <c r="BF79" s="386">
        <f t="shared" si="75"/>
        <v>0</v>
      </c>
      <c r="BG79" s="386">
        <f t="shared" si="76"/>
        <v>0</v>
      </c>
      <c r="BH79" s="386">
        <f t="shared" si="77"/>
        <v>0</v>
      </c>
      <c r="BI79" s="386">
        <f t="shared" si="78"/>
        <v>0</v>
      </c>
      <c r="BJ79" s="386">
        <f t="shared" si="79"/>
        <v>0</v>
      </c>
      <c r="BK79" s="386">
        <f t="shared" si="80"/>
        <v>0</v>
      </c>
      <c r="BL79" s="386">
        <f t="shared" si="103"/>
        <v>0</v>
      </c>
      <c r="BM79" s="386">
        <f t="shared" si="104"/>
        <v>0</v>
      </c>
      <c r="BN79" s="386">
        <f t="shared" si="81"/>
        <v>0</v>
      </c>
      <c r="BO79" s="386">
        <f t="shared" si="82"/>
        <v>0</v>
      </c>
      <c r="BP79" s="386">
        <f t="shared" si="83"/>
        <v>0</v>
      </c>
      <c r="BQ79" s="386">
        <f t="shared" si="84"/>
        <v>0</v>
      </c>
      <c r="BR79" s="386">
        <f t="shared" si="85"/>
        <v>0</v>
      </c>
      <c r="BS79" s="386">
        <f t="shared" si="86"/>
        <v>0</v>
      </c>
      <c r="BT79" s="386">
        <f t="shared" si="87"/>
        <v>0</v>
      </c>
      <c r="BU79" s="386">
        <f t="shared" si="88"/>
        <v>0</v>
      </c>
      <c r="BV79" s="386">
        <f t="shared" si="89"/>
        <v>0</v>
      </c>
      <c r="BW79" s="386">
        <f t="shared" si="90"/>
        <v>0</v>
      </c>
      <c r="BX79" s="386">
        <f t="shared" si="105"/>
        <v>0</v>
      </c>
      <c r="BY79" s="386">
        <f t="shared" si="106"/>
        <v>0</v>
      </c>
      <c r="BZ79" s="386">
        <f t="shared" si="107"/>
        <v>0</v>
      </c>
      <c r="CA79" s="386">
        <f t="shared" si="108"/>
        <v>0</v>
      </c>
      <c r="CB79" s="386">
        <f t="shared" si="109"/>
        <v>0</v>
      </c>
      <c r="CC79" s="386">
        <f t="shared" si="91"/>
        <v>0</v>
      </c>
      <c r="CD79" s="386">
        <f t="shared" si="92"/>
        <v>0</v>
      </c>
      <c r="CE79" s="386">
        <f t="shared" si="93"/>
        <v>0</v>
      </c>
      <c r="CF79" s="386">
        <f t="shared" si="94"/>
        <v>0</v>
      </c>
      <c r="CG79" s="386">
        <f t="shared" si="95"/>
        <v>0</v>
      </c>
      <c r="CH79" s="386">
        <f t="shared" si="96"/>
        <v>0</v>
      </c>
      <c r="CI79" s="386">
        <f t="shared" si="97"/>
        <v>0</v>
      </c>
      <c r="CJ79" s="386">
        <f t="shared" si="110"/>
        <v>0</v>
      </c>
      <c r="CK79" s="386" t="str">
        <f t="shared" si="111"/>
        <v/>
      </c>
      <c r="CL79" s="386" t="str">
        <f t="shared" si="112"/>
        <v/>
      </c>
      <c r="CM79" s="386" t="str">
        <f t="shared" si="113"/>
        <v/>
      </c>
      <c r="CN79" s="386" t="str">
        <f t="shared" si="114"/>
        <v>0126-00</v>
      </c>
    </row>
    <row r="80" spans="1:92" ht="15.75" thickBot="1" x14ac:dyDescent="0.3">
      <c r="A80" s="376" t="s">
        <v>161</v>
      </c>
      <c r="B80" s="376" t="s">
        <v>162</v>
      </c>
      <c r="C80" s="376" t="s">
        <v>453</v>
      </c>
      <c r="D80" s="376" t="s">
        <v>454</v>
      </c>
      <c r="E80" s="376" t="s">
        <v>374</v>
      </c>
      <c r="F80" s="377" t="s">
        <v>166</v>
      </c>
      <c r="G80" s="376" t="s">
        <v>375</v>
      </c>
      <c r="H80" s="378"/>
      <c r="I80" s="378"/>
      <c r="J80" s="376" t="s">
        <v>168</v>
      </c>
      <c r="K80" s="376" t="s">
        <v>455</v>
      </c>
      <c r="L80" s="376" t="s">
        <v>289</v>
      </c>
      <c r="M80" s="376" t="s">
        <v>171</v>
      </c>
      <c r="N80" s="376" t="s">
        <v>172</v>
      </c>
      <c r="O80" s="379">
        <v>1</v>
      </c>
      <c r="P80" s="384">
        <v>0</v>
      </c>
      <c r="Q80" s="384">
        <v>0</v>
      </c>
      <c r="R80" s="380">
        <v>80</v>
      </c>
      <c r="S80" s="384">
        <v>0</v>
      </c>
      <c r="T80" s="380">
        <v>1484.39</v>
      </c>
      <c r="U80" s="380">
        <v>0</v>
      </c>
      <c r="V80" s="380">
        <v>591.25</v>
      </c>
      <c r="W80" s="380">
        <v>0</v>
      </c>
      <c r="X80" s="380">
        <v>0</v>
      </c>
      <c r="Y80" s="380">
        <v>0</v>
      </c>
      <c r="Z80" s="380">
        <v>0</v>
      </c>
      <c r="AA80" s="376" t="s">
        <v>456</v>
      </c>
      <c r="AB80" s="376" t="s">
        <v>457</v>
      </c>
      <c r="AC80" s="376" t="s">
        <v>458</v>
      </c>
      <c r="AD80" s="376" t="s">
        <v>459</v>
      </c>
      <c r="AE80" s="376" t="s">
        <v>455</v>
      </c>
      <c r="AF80" s="376" t="s">
        <v>177</v>
      </c>
      <c r="AG80" s="376" t="s">
        <v>178</v>
      </c>
      <c r="AH80" s="381">
        <v>21.25</v>
      </c>
      <c r="AI80" s="379">
        <v>816</v>
      </c>
      <c r="AJ80" s="376" t="s">
        <v>179</v>
      </c>
      <c r="AK80" s="376" t="s">
        <v>180</v>
      </c>
      <c r="AL80" s="376" t="s">
        <v>170</v>
      </c>
      <c r="AM80" s="376" t="s">
        <v>181</v>
      </c>
      <c r="AN80" s="376" t="s">
        <v>68</v>
      </c>
      <c r="AO80" s="379">
        <v>80</v>
      </c>
      <c r="AP80" s="384">
        <v>1</v>
      </c>
      <c r="AQ80" s="384">
        <v>0</v>
      </c>
      <c r="AR80" s="382" t="s">
        <v>182</v>
      </c>
      <c r="AS80" s="386">
        <f t="shared" si="98"/>
        <v>0</v>
      </c>
      <c r="AT80">
        <f t="shared" si="99"/>
        <v>0</v>
      </c>
      <c r="AU80" s="386" t="str">
        <f>IF(AT80=0,"",IF(AND(AT80=1,M80="F",SUMIF(C2:C167,C80,AS2:AS167)&lt;=1),SUMIF(C2:C167,C80,AS2:AS167),IF(AND(AT80=1,M80="F",SUMIF(C2:C167,C80,AS2:AS167)&gt;1),1,"")))</f>
        <v/>
      </c>
      <c r="AV80" s="386" t="str">
        <f>IF(AT80=0,"",IF(AND(AT80=3,M80="F",SUMIF(C2:C167,C80,AS2:AS167)&lt;=1),SUMIF(C2:C167,C80,AS2:AS167),IF(AND(AT80=3,M80="F",SUMIF(C2:C167,C80,AS2:AS167)&gt;1),1,"")))</f>
        <v/>
      </c>
      <c r="AW80" s="386">
        <f>SUMIF(C2:C167,C80,O2:O167)</f>
        <v>2</v>
      </c>
      <c r="AX80" s="386">
        <f>IF(AND(M80="F",AS80&lt;&gt;0),SUMIF(C2:C167,C80,W2:W167),0)</f>
        <v>0</v>
      </c>
      <c r="AY80" s="386" t="str">
        <f t="shared" si="100"/>
        <v/>
      </c>
      <c r="AZ80" s="386" t="str">
        <f t="shared" si="101"/>
        <v/>
      </c>
      <c r="BA80" s="386">
        <f t="shared" si="102"/>
        <v>0</v>
      </c>
      <c r="BB80" s="386">
        <f t="shared" si="71"/>
        <v>0</v>
      </c>
      <c r="BC80" s="386">
        <f t="shared" si="72"/>
        <v>0</v>
      </c>
      <c r="BD80" s="386">
        <f t="shared" si="73"/>
        <v>0</v>
      </c>
      <c r="BE80" s="386">
        <f t="shared" si="74"/>
        <v>0</v>
      </c>
      <c r="BF80" s="386">
        <f t="shared" si="75"/>
        <v>0</v>
      </c>
      <c r="BG80" s="386">
        <f t="shared" si="76"/>
        <v>0</v>
      </c>
      <c r="BH80" s="386">
        <f t="shared" si="77"/>
        <v>0</v>
      </c>
      <c r="BI80" s="386">
        <f t="shared" si="78"/>
        <v>0</v>
      </c>
      <c r="BJ80" s="386">
        <f t="shared" si="79"/>
        <v>0</v>
      </c>
      <c r="BK80" s="386">
        <f t="shared" si="80"/>
        <v>0</v>
      </c>
      <c r="BL80" s="386">
        <f t="shared" si="103"/>
        <v>0</v>
      </c>
      <c r="BM80" s="386">
        <f t="shared" si="104"/>
        <v>0</v>
      </c>
      <c r="BN80" s="386">
        <f t="shared" si="81"/>
        <v>0</v>
      </c>
      <c r="BO80" s="386">
        <f t="shared" si="82"/>
        <v>0</v>
      </c>
      <c r="BP80" s="386">
        <f t="shared" si="83"/>
        <v>0</v>
      </c>
      <c r="BQ80" s="386">
        <f t="shared" si="84"/>
        <v>0</v>
      </c>
      <c r="BR80" s="386">
        <f t="shared" si="85"/>
        <v>0</v>
      </c>
      <c r="BS80" s="386">
        <f t="shared" si="86"/>
        <v>0</v>
      </c>
      <c r="BT80" s="386">
        <f t="shared" si="87"/>
        <v>0</v>
      </c>
      <c r="BU80" s="386">
        <f t="shared" si="88"/>
        <v>0</v>
      </c>
      <c r="BV80" s="386">
        <f t="shared" si="89"/>
        <v>0</v>
      </c>
      <c r="BW80" s="386">
        <f t="shared" si="90"/>
        <v>0</v>
      </c>
      <c r="BX80" s="386">
        <f t="shared" si="105"/>
        <v>0</v>
      </c>
      <c r="BY80" s="386">
        <f t="shared" si="106"/>
        <v>0</v>
      </c>
      <c r="BZ80" s="386">
        <f t="shared" si="107"/>
        <v>0</v>
      </c>
      <c r="CA80" s="386">
        <f t="shared" si="108"/>
        <v>0</v>
      </c>
      <c r="CB80" s="386">
        <f t="shared" si="109"/>
        <v>0</v>
      </c>
      <c r="CC80" s="386">
        <f t="shared" si="91"/>
        <v>0</v>
      </c>
      <c r="CD80" s="386">
        <f t="shared" si="92"/>
        <v>0</v>
      </c>
      <c r="CE80" s="386">
        <f t="shared" si="93"/>
        <v>0</v>
      </c>
      <c r="CF80" s="386">
        <f t="shared" si="94"/>
        <v>0</v>
      </c>
      <c r="CG80" s="386">
        <f t="shared" si="95"/>
        <v>0</v>
      </c>
      <c r="CH80" s="386">
        <f t="shared" si="96"/>
        <v>0</v>
      </c>
      <c r="CI80" s="386">
        <f t="shared" si="97"/>
        <v>0</v>
      </c>
      <c r="CJ80" s="386">
        <f t="shared" si="110"/>
        <v>0</v>
      </c>
      <c r="CK80" s="386" t="str">
        <f t="shared" si="111"/>
        <v/>
      </c>
      <c r="CL80" s="386" t="str">
        <f t="shared" si="112"/>
        <v/>
      </c>
      <c r="CM80" s="386" t="str">
        <f t="shared" si="113"/>
        <v/>
      </c>
      <c r="CN80" s="386" t="str">
        <f t="shared" si="114"/>
        <v>0126-00</v>
      </c>
    </row>
    <row r="81" spans="1:92" ht="15.75" thickBot="1" x14ac:dyDescent="0.3">
      <c r="A81" s="376" t="s">
        <v>161</v>
      </c>
      <c r="B81" s="376" t="s">
        <v>162</v>
      </c>
      <c r="C81" s="376" t="s">
        <v>358</v>
      </c>
      <c r="D81" s="376" t="s">
        <v>291</v>
      </c>
      <c r="E81" s="376" t="s">
        <v>374</v>
      </c>
      <c r="F81" s="377" t="s">
        <v>166</v>
      </c>
      <c r="G81" s="376" t="s">
        <v>375</v>
      </c>
      <c r="H81" s="378"/>
      <c r="I81" s="378"/>
      <c r="J81" s="376" t="s">
        <v>168</v>
      </c>
      <c r="K81" s="376" t="s">
        <v>303</v>
      </c>
      <c r="L81" s="376" t="s">
        <v>304</v>
      </c>
      <c r="M81" s="376" t="s">
        <v>171</v>
      </c>
      <c r="N81" s="376" t="s">
        <v>172</v>
      </c>
      <c r="O81" s="379">
        <v>1</v>
      </c>
      <c r="P81" s="384">
        <v>0</v>
      </c>
      <c r="Q81" s="384">
        <v>0</v>
      </c>
      <c r="R81" s="380">
        <v>80</v>
      </c>
      <c r="S81" s="384">
        <v>0</v>
      </c>
      <c r="T81" s="380">
        <v>148.75</v>
      </c>
      <c r="U81" s="380">
        <v>0</v>
      </c>
      <c r="V81" s="380">
        <v>64.650000000000006</v>
      </c>
      <c r="W81" s="380">
        <v>0</v>
      </c>
      <c r="X81" s="380">
        <v>0</v>
      </c>
      <c r="Y81" s="380">
        <v>0</v>
      </c>
      <c r="Z81" s="380">
        <v>0</v>
      </c>
      <c r="AA81" s="376" t="s">
        <v>359</v>
      </c>
      <c r="AB81" s="376" t="s">
        <v>360</v>
      </c>
      <c r="AC81" s="376" t="s">
        <v>361</v>
      </c>
      <c r="AD81" s="376" t="s">
        <v>265</v>
      </c>
      <c r="AE81" s="376" t="s">
        <v>303</v>
      </c>
      <c r="AF81" s="376" t="s">
        <v>177</v>
      </c>
      <c r="AG81" s="376" t="s">
        <v>178</v>
      </c>
      <c r="AH81" s="379">
        <v>28</v>
      </c>
      <c r="AI81" s="381">
        <v>3078.5</v>
      </c>
      <c r="AJ81" s="376" t="s">
        <v>179</v>
      </c>
      <c r="AK81" s="376" t="s">
        <v>180</v>
      </c>
      <c r="AL81" s="376" t="s">
        <v>170</v>
      </c>
      <c r="AM81" s="376" t="s">
        <v>181</v>
      </c>
      <c r="AN81" s="376" t="s">
        <v>68</v>
      </c>
      <c r="AO81" s="379">
        <v>80</v>
      </c>
      <c r="AP81" s="384">
        <v>1</v>
      </c>
      <c r="AQ81" s="384">
        <v>0</v>
      </c>
      <c r="AR81" s="382" t="s">
        <v>182</v>
      </c>
      <c r="AS81" s="386">
        <f t="shared" si="98"/>
        <v>0</v>
      </c>
      <c r="AT81">
        <f t="shared" si="99"/>
        <v>0</v>
      </c>
      <c r="AU81" s="386" t="str">
        <f>IF(AT81=0,"",IF(AND(AT81=1,M81="F",SUMIF(C2:C167,C81,AS2:AS167)&lt;=1),SUMIF(C2:C167,C81,AS2:AS167),IF(AND(AT81=1,M81="F",SUMIF(C2:C167,C81,AS2:AS167)&gt;1),1,"")))</f>
        <v/>
      </c>
      <c r="AV81" s="386" t="str">
        <f>IF(AT81=0,"",IF(AND(AT81=3,M81="F",SUMIF(C2:C167,C81,AS2:AS167)&lt;=1),SUMIF(C2:C167,C81,AS2:AS167),IF(AND(AT81=3,M81="F",SUMIF(C2:C167,C81,AS2:AS167)&gt;1),1,"")))</f>
        <v/>
      </c>
      <c r="AW81" s="386">
        <f>SUMIF(C2:C167,C81,O2:O167)</f>
        <v>2</v>
      </c>
      <c r="AX81" s="386">
        <f>IF(AND(M81="F",AS81&lt;&gt;0),SUMIF(C2:C167,C81,W2:W167),0)</f>
        <v>0</v>
      </c>
      <c r="AY81" s="386" t="str">
        <f t="shared" si="100"/>
        <v/>
      </c>
      <c r="AZ81" s="386" t="str">
        <f t="shared" si="101"/>
        <v/>
      </c>
      <c r="BA81" s="386">
        <f t="shared" si="102"/>
        <v>0</v>
      </c>
      <c r="BB81" s="386">
        <f t="shared" si="71"/>
        <v>0</v>
      </c>
      <c r="BC81" s="386">
        <f t="shared" si="72"/>
        <v>0</v>
      </c>
      <c r="BD81" s="386">
        <f t="shared" si="73"/>
        <v>0</v>
      </c>
      <c r="BE81" s="386">
        <f t="shared" si="74"/>
        <v>0</v>
      </c>
      <c r="BF81" s="386">
        <f t="shared" si="75"/>
        <v>0</v>
      </c>
      <c r="BG81" s="386">
        <f t="shared" si="76"/>
        <v>0</v>
      </c>
      <c r="BH81" s="386">
        <f t="shared" si="77"/>
        <v>0</v>
      </c>
      <c r="BI81" s="386">
        <f t="shared" si="78"/>
        <v>0</v>
      </c>
      <c r="BJ81" s="386">
        <f t="shared" si="79"/>
        <v>0</v>
      </c>
      <c r="BK81" s="386">
        <f t="shared" si="80"/>
        <v>0</v>
      </c>
      <c r="BL81" s="386">
        <f t="shared" si="103"/>
        <v>0</v>
      </c>
      <c r="BM81" s="386">
        <f t="shared" si="104"/>
        <v>0</v>
      </c>
      <c r="BN81" s="386">
        <f t="shared" si="81"/>
        <v>0</v>
      </c>
      <c r="BO81" s="386">
        <f t="shared" si="82"/>
        <v>0</v>
      </c>
      <c r="BP81" s="386">
        <f t="shared" si="83"/>
        <v>0</v>
      </c>
      <c r="BQ81" s="386">
        <f t="shared" si="84"/>
        <v>0</v>
      </c>
      <c r="BR81" s="386">
        <f t="shared" si="85"/>
        <v>0</v>
      </c>
      <c r="BS81" s="386">
        <f t="shared" si="86"/>
        <v>0</v>
      </c>
      <c r="BT81" s="386">
        <f t="shared" si="87"/>
        <v>0</v>
      </c>
      <c r="BU81" s="386">
        <f t="shared" si="88"/>
        <v>0</v>
      </c>
      <c r="BV81" s="386">
        <f t="shared" si="89"/>
        <v>0</v>
      </c>
      <c r="BW81" s="386">
        <f t="shared" si="90"/>
        <v>0</v>
      </c>
      <c r="BX81" s="386">
        <f t="shared" si="105"/>
        <v>0</v>
      </c>
      <c r="BY81" s="386">
        <f t="shared" si="106"/>
        <v>0</v>
      </c>
      <c r="BZ81" s="386">
        <f t="shared" si="107"/>
        <v>0</v>
      </c>
      <c r="CA81" s="386">
        <f t="shared" si="108"/>
        <v>0</v>
      </c>
      <c r="CB81" s="386">
        <f t="shared" si="109"/>
        <v>0</v>
      </c>
      <c r="CC81" s="386">
        <f t="shared" si="91"/>
        <v>0</v>
      </c>
      <c r="CD81" s="386">
        <f t="shared" si="92"/>
        <v>0</v>
      </c>
      <c r="CE81" s="386">
        <f t="shared" si="93"/>
        <v>0</v>
      </c>
      <c r="CF81" s="386">
        <f t="shared" si="94"/>
        <v>0</v>
      </c>
      <c r="CG81" s="386">
        <f t="shared" si="95"/>
        <v>0</v>
      </c>
      <c r="CH81" s="386">
        <f t="shared" si="96"/>
        <v>0</v>
      </c>
      <c r="CI81" s="386">
        <f t="shared" si="97"/>
        <v>0</v>
      </c>
      <c r="CJ81" s="386">
        <f t="shared" si="110"/>
        <v>0</v>
      </c>
      <c r="CK81" s="386" t="str">
        <f t="shared" si="111"/>
        <v/>
      </c>
      <c r="CL81" s="386" t="str">
        <f t="shared" si="112"/>
        <v/>
      </c>
      <c r="CM81" s="386" t="str">
        <f t="shared" si="113"/>
        <v/>
      </c>
      <c r="CN81" s="386" t="str">
        <f t="shared" si="114"/>
        <v>0126-00</v>
      </c>
    </row>
    <row r="82" spans="1:92" ht="15.75" thickBot="1" x14ac:dyDescent="0.3">
      <c r="A82" s="376" t="s">
        <v>161</v>
      </c>
      <c r="B82" s="376" t="s">
        <v>162</v>
      </c>
      <c r="C82" s="376" t="s">
        <v>218</v>
      </c>
      <c r="D82" s="376" t="s">
        <v>219</v>
      </c>
      <c r="E82" s="376" t="s">
        <v>165</v>
      </c>
      <c r="F82" s="377" t="s">
        <v>166</v>
      </c>
      <c r="G82" s="376" t="s">
        <v>460</v>
      </c>
      <c r="H82" s="378"/>
      <c r="I82" s="378"/>
      <c r="J82" s="376" t="s">
        <v>220</v>
      </c>
      <c r="K82" s="376" t="s">
        <v>221</v>
      </c>
      <c r="L82" s="376" t="s">
        <v>166</v>
      </c>
      <c r="M82" s="376" t="s">
        <v>171</v>
      </c>
      <c r="N82" s="376" t="s">
        <v>172</v>
      </c>
      <c r="O82" s="379">
        <v>1</v>
      </c>
      <c r="P82" s="384">
        <v>0.02</v>
      </c>
      <c r="Q82" s="384">
        <v>0.02</v>
      </c>
      <c r="R82" s="380">
        <v>80</v>
      </c>
      <c r="S82" s="384">
        <v>0.02</v>
      </c>
      <c r="T82" s="380">
        <v>2132.92</v>
      </c>
      <c r="U82" s="380">
        <v>0</v>
      </c>
      <c r="V82" s="380">
        <v>802.1</v>
      </c>
      <c r="W82" s="380">
        <v>1272.96</v>
      </c>
      <c r="X82" s="380">
        <v>500.46</v>
      </c>
      <c r="Y82" s="380">
        <v>1272.96</v>
      </c>
      <c r="Z82" s="380">
        <v>493.84</v>
      </c>
      <c r="AA82" s="376" t="s">
        <v>222</v>
      </c>
      <c r="AB82" s="376" t="s">
        <v>223</v>
      </c>
      <c r="AC82" s="376" t="s">
        <v>224</v>
      </c>
      <c r="AD82" s="376" t="s">
        <v>170</v>
      </c>
      <c r="AE82" s="376" t="s">
        <v>221</v>
      </c>
      <c r="AF82" s="376" t="s">
        <v>177</v>
      </c>
      <c r="AG82" s="376" t="s">
        <v>178</v>
      </c>
      <c r="AH82" s="381">
        <v>30.6</v>
      </c>
      <c r="AI82" s="379">
        <v>6405</v>
      </c>
      <c r="AJ82" s="376" t="s">
        <v>179</v>
      </c>
      <c r="AK82" s="376" t="s">
        <v>180</v>
      </c>
      <c r="AL82" s="376" t="s">
        <v>170</v>
      </c>
      <c r="AM82" s="376" t="s">
        <v>181</v>
      </c>
      <c r="AN82" s="376" t="s">
        <v>68</v>
      </c>
      <c r="AO82" s="379">
        <v>80</v>
      </c>
      <c r="AP82" s="384">
        <v>1</v>
      </c>
      <c r="AQ82" s="384">
        <v>0.02</v>
      </c>
      <c r="AR82" s="382" t="s">
        <v>182</v>
      </c>
      <c r="AS82" s="386">
        <f t="shared" si="98"/>
        <v>0.02</v>
      </c>
      <c r="AT82">
        <f t="shared" si="99"/>
        <v>1</v>
      </c>
      <c r="AU82" s="386">
        <f>IF(AT82=0,"",IF(AND(AT82=1,M82="F",SUMIF(C2:C167,C82,AS2:AS167)&lt;=1),SUMIF(C2:C167,C82,AS2:AS167),IF(AND(AT82=1,M82="F",SUMIF(C2:C167,C82,AS2:AS167)&gt;1),1,"")))</f>
        <v>1</v>
      </c>
      <c r="AV82" s="386" t="str">
        <f>IF(AT82=0,"",IF(AND(AT82=3,M82="F",SUMIF(C2:C167,C82,AS2:AS167)&lt;=1),SUMIF(C2:C167,C82,AS2:AS167),IF(AND(AT82=3,M82="F",SUMIF(C2:C167,C82,AS2:AS167)&gt;1),1,"")))</f>
        <v/>
      </c>
      <c r="AW82" s="386">
        <f>SUMIF(C2:C167,C82,O2:O167)</f>
        <v>5</v>
      </c>
      <c r="AX82" s="386">
        <f>IF(AND(M82="F",AS82&lt;&gt;0),SUMIF(C2:C167,C82,W2:W167),0)</f>
        <v>63647.999999999993</v>
      </c>
      <c r="AY82" s="386">
        <f t="shared" si="100"/>
        <v>1272.96</v>
      </c>
      <c r="AZ82" s="386" t="str">
        <f t="shared" si="101"/>
        <v/>
      </c>
      <c r="BA82" s="386">
        <f t="shared" si="102"/>
        <v>0</v>
      </c>
      <c r="BB82" s="386">
        <f t="shared" si="71"/>
        <v>233</v>
      </c>
      <c r="BC82" s="386">
        <f t="shared" si="72"/>
        <v>0</v>
      </c>
      <c r="BD82" s="386">
        <f t="shared" si="73"/>
        <v>78.923519999999996</v>
      </c>
      <c r="BE82" s="386">
        <f t="shared" si="74"/>
        <v>18.457920000000001</v>
      </c>
      <c r="BF82" s="386">
        <f t="shared" si="75"/>
        <v>151.99142400000002</v>
      </c>
      <c r="BG82" s="386">
        <f t="shared" si="76"/>
        <v>9.1780416000000002</v>
      </c>
      <c r="BH82" s="386">
        <f t="shared" si="77"/>
        <v>6.2375040000000004</v>
      </c>
      <c r="BI82" s="386">
        <f t="shared" si="78"/>
        <v>0</v>
      </c>
      <c r="BJ82" s="386">
        <f t="shared" si="79"/>
        <v>2.673216</v>
      </c>
      <c r="BK82" s="386">
        <f t="shared" si="80"/>
        <v>0</v>
      </c>
      <c r="BL82" s="386">
        <f t="shared" si="103"/>
        <v>267.46162560000005</v>
      </c>
      <c r="BM82" s="386">
        <f t="shared" si="104"/>
        <v>0</v>
      </c>
      <c r="BN82" s="386">
        <f t="shared" si="81"/>
        <v>233</v>
      </c>
      <c r="BO82" s="386">
        <f t="shared" si="82"/>
        <v>0</v>
      </c>
      <c r="BP82" s="386">
        <f t="shared" si="83"/>
        <v>78.923519999999996</v>
      </c>
      <c r="BQ82" s="386">
        <f t="shared" si="84"/>
        <v>18.457920000000001</v>
      </c>
      <c r="BR82" s="386">
        <f t="shared" si="85"/>
        <v>151.99142400000002</v>
      </c>
      <c r="BS82" s="386">
        <f t="shared" si="86"/>
        <v>9.1780416000000002</v>
      </c>
      <c r="BT82" s="386">
        <f t="shared" si="87"/>
        <v>0</v>
      </c>
      <c r="BU82" s="386">
        <f t="shared" si="88"/>
        <v>0</v>
      </c>
      <c r="BV82" s="386">
        <f t="shared" si="89"/>
        <v>2.291328</v>
      </c>
      <c r="BW82" s="386">
        <f t="shared" si="90"/>
        <v>0</v>
      </c>
      <c r="BX82" s="386">
        <f t="shared" si="105"/>
        <v>260.84223360000004</v>
      </c>
      <c r="BY82" s="386">
        <f t="shared" si="106"/>
        <v>0</v>
      </c>
      <c r="BZ82" s="386">
        <f t="shared" si="107"/>
        <v>0</v>
      </c>
      <c r="CA82" s="386">
        <f t="shared" si="108"/>
        <v>0</v>
      </c>
      <c r="CB82" s="386">
        <f t="shared" si="109"/>
        <v>0</v>
      </c>
      <c r="CC82" s="386">
        <f t="shared" si="91"/>
        <v>0</v>
      </c>
      <c r="CD82" s="386">
        <f t="shared" si="92"/>
        <v>0</v>
      </c>
      <c r="CE82" s="386">
        <f t="shared" si="93"/>
        <v>0</v>
      </c>
      <c r="CF82" s="386">
        <f t="shared" si="94"/>
        <v>-6.2375040000000004</v>
      </c>
      <c r="CG82" s="386">
        <f t="shared" si="95"/>
        <v>0</v>
      </c>
      <c r="CH82" s="386">
        <f t="shared" si="96"/>
        <v>-0.38188799999999989</v>
      </c>
      <c r="CI82" s="386">
        <f t="shared" si="97"/>
        <v>0</v>
      </c>
      <c r="CJ82" s="386">
        <f t="shared" si="110"/>
        <v>-6.6193920000000004</v>
      </c>
      <c r="CK82" s="386" t="str">
        <f t="shared" si="111"/>
        <v/>
      </c>
      <c r="CL82" s="386" t="str">
        <f t="shared" si="112"/>
        <v/>
      </c>
      <c r="CM82" s="386" t="str">
        <f t="shared" si="113"/>
        <v/>
      </c>
      <c r="CN82" s="386" t="str">
        <f t="shared" si="114"/>
        <v>0001-00</v>
      </c>
    </row>
    <row r="83" spans="1:92" ht="15.75" thickBot="1" x14ac:dyDescent="0.3">
      <c r="A83" s="376" t="s">
        <v>161</v>
      </c>
      <c r="B83" s="376" t="s">
        <v>162</v>
      </c>
      <c r="C83" s="376" t="s">
        <v>447</v>
      </c>
      <c r="D83" s="376" t="s">
        <v>448</v>
      </c>
      <c r="E83" s="376" t="s">
        <v>165</v>
      </c>
      <c r="F83" s="377" t="s">
        <v>166</v>
      </c>
      <c r="G83" s="376" t="s">
        <v>460</v>
      </c>
      <c r="H83" s="378"/>
      <c r="I83" s="378"/>
      <c r="J83" s="376" t="s">
        <v>168</v>
      </c>
      <c r="K83" s="376" t="s">
        <v>449</v>
      </c>
      <c r="L83" s="376" t="s">
        <v>166</v>
      </c>
      <c r="M83" s="376" t="s">
        <v>171</v>
      </c>
      <c r="N83" s="376" t="s">
        <v>172</v>
      </c>
      <c r="O83" s="379">
        <v>1</v>
      </c>
      <c r="P83" s="384">
        <v>1</v>
      </c>
      <c r="Q83" s="384">
        <v>1</v>
      </c>
      <c r="R83" s="380">
        <v>80</v>
      </c>
      <c r="S83" s="384">
        <v>1</v>
      </c>
      <c r="T83" s="380">
        <v>89412.04</v>
      </c>
      <c r="U83" s="380">
        <v>0</v>
      </c>
      <c r="V83" s="380">
        <v>29148.28</v>
      </c>
      <c r="W83" s="380">
        <v>90292.800000000003</v>
      </c>
      <c r="X83" s="380">
        <v>30621.4</v>
      </c>
      <c r="Y83" s="380">
        <v>90292.800000000003</v>
      </c>
      <c r="Z83" s="380">
        <v>30151.88</v>
      </c>
      <c r="AA83" s="376" t="s">
        <v>450</v>
      </c>
      <c r="AB83" s="376" t="s">
        <v>451</v>
      </c>
      <c r="AC83" s="376" t="s">
        <v>452</v>
      </c>
      <c r="AD83" s="376" t="s">
        <v>176</v>
      </c>
      <c r="AE83" s="376" t="s">
        <v>449</v>
      </c>
      <c r="AF83" s="376" t="s">
        <v>177</v>
      </c>
      <c r="AG83" s="376" t="s">
        <v>178</v>
      </c>
      <c r="AH83" s="381">
        <v>43.41</v>
      </c>
      <c r="AI83" s="381">
        <v>65801.5</v>
      </c>
      <c r="AJ83" s="376" t="s">
        <v>179</v>
      </c>
      <c r="AK83" s="376" t="s">
        <v>180</v>
      </c>
      <c r="AL83" s="376" t="s">
        <v>170</v>
      </c>
      <c r="AM83" s="376" t="s">
        <v>181</v>
      </c>
      <c r="AN83" s="376" t="s">
        <v>68</v>
      </c>
      <c r="AO83" s="379">
        <v>80</v>
      </c>
      <c r="AP83" s="384">
        <v>1</v>
      </c>
      <c r="AQ83" s="384">
        <v>1</v>
      </c>
      <c r="AR83" s="382" t="s">
        <v>182</v>
      </c>
      <c r="AS83" s="386">
        <f t="shared" si="98"/>
        <v>1</v>
      </c>
      <c r="AT83">
        <f t="shared" si="99"/>
        <v>1</v>
      </c>
      <c r="AU83" s="386">
        <f>IF(AT83=0,"",IF(AND(AT83=1,M83="F",SUMIF(C2:C167,C83,AS2:AS167)&lt;=1),SUMIF(C2:C167,C83,AS2:AS167),IF(AND(AT83=1,M83="F",SUMIF(C2:C167,C83,AS2:AS167)&gt;1),1,"")))</f>
        <v>1</v>
      </c>
      <c r="AV83" s="386" t="str">
        <f>IF(AT83=0,"",IF(AND(AT83=3,M83="F",SUMIF(C2:C167,C83,AS2:AS167)&lt;=1),SUMIF(C2:C167,C83,AS2:AS167),IF(AND(AT83=3,M83="F",SUMIF(C2:C167,C83,AS2:AS167)&gt;1),1,"")))</f>
        <v/>
      </c>
      <c r="AW83" s="386">
        <f>SUMIF(C2:C167,C83,O2:O167)</f>
        <v>2</v>
      </c>
      <c r="AX83" s="386">
        <f>IF(AND(M83="F",AS83&lt;&gt;0),SUMIF(C2:C167,C83,W2:W167),0)</f>
        <v>90292.800000000003</v>
      </c>
      <c r="AY83" s="386">
        <f t="shared" si="100"/>
        <v>90292.800000000003</v>
      </c>
      <c r="AZ83" s="386" t="str">
        <f t="shared" si="101"/>
        <v/>
      </c>
      <c r="BA83" s="386">
        <f t="shared" si="102"/>
        <v>0</v>
      </c>
      <c r="BB83" s="386">
        <f t="shared" si="71"/>
        <v>11650</v>
      </c>
      <c r="BC83" s="386">
        <f t="shared" si="72"/>
        <v>0</v>
      </c>
      <c r="BD83" s="386">
        <f t="shared" si="73"/>
        <v>5598.1536000000006</v>
      </c>
      <c r="BE83" s="386">
        <f t="shared" si="74"/>
        <v>1309.2456000000002</v>
      </c>
      <c r="BF83" s="386">
        <f t="shared" si="75"/>
        <v>10780.96032</v>
      </c>
      <c r="BG83" s="386">
        <f t="shared" si="76"/>
        <v>651.01108800000009</v>
      </c>
      <c r="BH83" s="386">
        <f t="shared" si="77"/>
        <v>442.43472000000003</v>
      </c>
      <c r="BI83" s="386">
        <f t="shared" si="78"/>
        <v>0</v>
      </c>
      <c r="BJ83" s="386">
        <f t="shared" si="79"/>
        <v>189.61488</v>
      </c>
      <c r="BK83" s="386">
        <f t="shared" si="80"/>
        <v>0</v>
      </c>
      <c r="BL83" s="386">
        <f t="shared" si="103"/>
        <v>18971.420208000003</v>
      </c>
      <c r="BM83" s="386">
        <f t="shared" si="104"/>
        <v>0</v>
      </c>
      <c r="BN83" s="386">
        <f t="shared" si="81"/>
        <v>11650</v>
      </c>
      <c r="BO83" s="386">
        <f t="shared" si="82"/>
        <v>0</v>
      </c>
      <c r="BP83" s="386">
        <f t="shared" si="83"/>
        <v>5598.1536000000006</v>
      </c>
      <c r="BQ83" s="386">
        <f t="shared" si="84"/>
        <v>1309.2456000000002</v>
      </c>
      <c r="BR83" s="386">
        <f t="shared" si="85"/>
        <v>10780.96032</v>
      </c>
      <c r="BS83" s="386">
        <f t="shared" si="86"/>
        <v>651.01108800000009</v>
      </c>
      <c r="BT83" s="386">
        <f t="shared" si="87"/>
        <v>0</v>
      </c>
      <c r="BU83" s="386">
        <f t="shared" si="88"/>
        <v>0</v>
      </c>
      <c r="BV83" s="386">
        <f t="shared" si="89"/>
        <v>162.52704</v>
      </c>
      <c r="BW83" s="386">
        <f t="shared" si="90"/>
        <v>0</v>
      </c>
      <c r="BX83" s="386">
        <f t="shared" si="105"/>
        <v>18501.897648000002</v>
      </c>
      <c r="BY83" s="386">
        <f t="shared" si="106"/>
        <v>0</v>
      </c>
      <c r="BZ83" s="386">
        <f t="shared" si="107"/>
        <v>0</v>
      </c>
      <c r="CA83" s="386">
        <f t="shared" si="108"/>
        <v>0</v>
      </c>
      <c r="CB83" s="386">
        <f t="shared" si="109"/>
        <v>0</v>
      </c>
      <c r="CC83" s="386">
        <f t="shared" si="91"/>
        <v>0</v>
      </c>
      <c r="CD83" s="386">
        <f t="shared" si="92"/>
        <v>0</v>
      </c>
      <c r="CE83" s="386">
        <f t="shared" si="93"/>
        <v>0</v>
      </c>
      <c r="CF83" s="386">
        <f t="shared" si="94"/>
        <v>-442.43472000000003</v>
      </c>
      <c r="CG83" s="386">
        <f t="shared" si="95"/>
        <v>0</v>
      </c>
      <c r="CH83" s="386">
        <f t="shared" si="96"/>
        <v>-27.087839999999993</v>
      </c>
      <c r="CI83" s="386">
        <f t="shared" si="97"/>
        <v>0</v>
      </c>
      <c r="CJ83" s="386">
        <f t="shared" si="110"/>
        <v>-469.52256</v>
      </c>
      <c r="CK83" s="386" t="str">
        <f t="shared" si="111"/>
        <v/>
      </c>
      <c r="CL83" s="386" t="str">
        <f t="shared" si="112"/>
        <v/>
      </c>
      <c r="CM83" s="386" t="str">
        <f t="shared" si="113"/>
        <v/>
      </c>
      <c r="CN83" s="386" t="str">
        <f t="shared" si="114"/>
        <v>0001-00</v>
      </c>
    </row>
    <row r="84" spans="1:92" ht="15.75" thickBot="1" x14ac:dyDescent="0.3">
      <c r="A84" s="376" t="s">
        <v>161</v>
      </c>
      <c r="B84" s="376" t="s">
        <v>162</v>
      </c>
      <c r="C84" s="376" t="s">
        <v>453</v>
      </c>
      <c r="D84" s="376" t="s">
        <v>454</v>
      </c>
      <c r="E84" s="376" t="s">
        <v>165</v>
      </c>
      <c r="F84" s="377" t="s">
        <v>166</v>
      </c>
      <c r="G84" s="376" t="s">
        <v>460</v>
      </c>
      <c r="H84" s="378"/>
      <c r="I84" s="378"/>
      <c r="J84" s="376" t="s">
        <v>168</v>
      </c>
      <c r="K84" s="376" t="s">
        <v>455</v>
      </c>
      <c r="L84" s="376" t="s">
        <v>289</v>
      </c>
      <c r="M84" s="376" t="s">
        <v>171</v>
      </c>
      <c r="N84" s="376" t="s">
        <v>172</v>
      </c>
      <c r="O84" s="379">
        <v>1</v>
      </c>
      <c r="P84" s="384">
        <v>1</v>
      </c>
      <c r="Q84" s="384">
        <v>1</v>
      </c>
      <c r="R84" s="380">
        <v>80</v>
      </c>
      <c r="S84" s="384">
        <v>1</v>
      </c>
      <c r="T84" s="380">
        <v>36273.699999999997</v>
      </c>
      <c r="U84" s="380">
        <v>0</v>
      </c>
      <c r="V84" s="380">
        <v>16671.05</v>
      </c>
      <c r="W84" s="380">
        <v>44200</v>
      </c>
      <c r="X84" s="380">
        <v>20936.86</v>
      </c>
      <c r="Y84" s="380">
        <v>44200</v>
      </c>
      <c r="Z84" s="380">
        <v>20707.02</v>
      </c>
      <c r="AA84" s="376" t="s">
        <v>456</v>
      </c>
      <c r="AB84" s="376" t="s">
        <v>457</v>
      </c>
      <c r="AC84" s="376" t="s">
        <v>458</v>
      </c>
      <c r="AD84" s="376" t="s">
        <v>459</v>
      </c>
      <c r="AE84" s="376" t="s">
        <v>455</v>
      </c>
      <c r="AF84" s="376" t="s">
        <v>177</v>
      </c>
      <c r="AG84" s="376" t="s">
        <v>178</v>
      </c>
      <c r="AH84" s="381">
        <v>21.25</v>
      </c>
      <c r="AI84" s="379">
        <v>816</v>
      </c>
      <c r="AJ84" s="376" t="s">
        <v>179</v>
      </c>
      <c r="AK84" s="376" t="s">
        <v>180</v>
      </c>
      <c r="AL84" s="376" t="s">
        <v>170</v>
      </c>
      <c r="AM84" s="376" t="s">
        <v>181</v>
      </c>
      <c r="AN84" s="376" t="s">
        <v>68</v>
      </c>
      <c r="AO84" s="379">
        <v>80</v>
      </c>
      <c r="AP84" s="384">
        <v>1</v>
      </c>
      <c r="AQ84" s="384">
        <v>1</v>
      </c>
      <c r="AR84" s="382" t="s">
        <v>182</v>
      </c>
      <c r="AS84" s="386">
        <f t="shared" si="98"/>
        <v>1</v>
      </c>
      <c r="AT84">
        <f t="shared" si="99"/>
        <v>1</v>
      </c>
      <c r="AU84" s="386">
        <f>IF(AT84=0,"",IF(AND(AT84=1,M84="F",SUMIF(C2:C167,C84,AS2:AS167)&lt;=1),SUMIF(C2:C167,C84,AS2:AS167),IF(AND(AT84=1,M84="F",SUMIF(C2:C167,C84,AS2:AS167)&gt;1),1,"")))</f>
        <v>1</v>
      </c>
      <c r="AV84" s="386" t="str">
        <f>IF(AT84=0,"",IF(AND(AT84=3,M84="F",SUMIF(C2:C167,C84,AS2:AS167)&lt;=1),SUMIF(C2:C167,C84,AS2:AS167),IF(AND(AT84=3,M84="F",SUMIF(C2:C167,C84,AS2:AS167)&gt;1),1,"")))</f>
        <v/>
      </c>
      <c r="AW84" s="386">
        <f>SUMIF(C2:C167,C84,O2:O167)</f>
        <v>2</v>
      </c>
      <c r="AX84" s="386">
        <f>IF(AND(M84="F",AS84&lt;&gt;0),SUMIF(C2:C167,C84,W2:W167),0)</f>
        <v>44200</v>
      </c>
      <c r="AY84" s="386">
        <f t="shared" si="100"/>
        <v>44200</v>
      </c>
      <c r="AZ84" s="386" t="str">
        <f t="shared" si="101"/>
        <v/>
      </c>
      <c r="BA84" s="386">
        <f t="shared" si="102"/>
        <v>0</v>
      </c>
      <c r="BB84" s="386">
        <f t="shared" si="71"/>
        <v>11650</v>
      </c>
      <c r="BC84" s="386">
        <f t="shared" si="72"/>
        <v>0</v>
      </c>
      <c r="BD84" s="386">
        <f t="shared" si="73"/>
        <v>2740.4</v>
      </c>
      <c r="BE84" s="386">
        <f t="shared" si="74"/>
        <v>640.9</v>
      </c>
      <c r="BF84" s="386">
        <f t="shared" si="75"/>
        <v>5277.4800000000005</v>
      </c>
      <c r="BG84" s="386">
        <f t="shared" si="76"/>
        <v>318.68200000000002</v>
      </c>
      <c r="BH84" s="386">
        <f t="shared" si="77"/>
        <v>216.57999999999998</v>
      </c>
      <c r="BI84" s="386">
        <f t="shared" si="78"/>
        <v>0</v>
      </c>
      <c r="BJ84" s="386">
        <f t="shared" si="79"/>
        <v>92.82</v>
      </c>
      <c r="BK84" s="386">
        <f t="shared" si="80"/>
        <v>0</v>
      </c>
      <c r="BL84" s="386">
        <f t="shared" si="103"/>
        <v>9286.862000000001</v>
      </c>
      <c r="BM84" s="386">
        <f t="shared" si="104"/>
        <v>0</v>
      </c>
      <c r="BN84" s="386">
        <f t="shared" si="81"/>
        <v>11650</v>
      </c>
      <c r="BO84" s="386">
        <f t="shared" si="82"/>
        <v>0</v>
      </c>
      <c r="BP84" s="386">
        <f t="shared" si="83"/>
        <v>2740.4</v>
      </c>
      <c r="BQ84" s="386">
        <f t="shared" si="84"/>
        <v>640.9</v>
      </c>
      <c r="BR84" s="386">
        <f t="shared" si="85"/>
        <v>5277.4800000000005</v>
      </c>
      <c r="BS84" s="386">
        <f t="shared" si="86"/>
        <v>318.68200000000002</v>
      </c>
      <c r="BT84" s="386">
        <f t="shared" si="87"/>
        <v>0</v>
      </c>
      <c r="BU84" s="386">
        <f t="shared" si="88"/>
        <v>0</v>
      </c>
      <c r="BV84" s="386">
        <f t="shared" si="89"/>
        <v>79.56</v>
      </c>
      <c r="BW84" s="386">
        <f t="shared" si="90"/>
        <v>0</v>
      </c>
      <c r="BX84" s="386">
        <f t="shared" si="105"/>
        <v>9057.0220000000008</v>
      </c>
      <c r="BY84" s="386">
        <f t="shared" si="106"/>
        <v>0</v>
      </c>
      <c r="BZ84" s="386">
        <f t="shared" si="107"/>
        <v>0</v>
      </c>
      <c r="CA84" s="386">
        <f t="shared" si="108"/>
        <v>0</v>
      </c>
      <c r="CB84" s="386">
        <f t="shared" si="109"/>
        <v>0</v>
      </c>
      <c r="CC84" s="386">
        <f t="shared" si="91"/>
        <v>0</v>
      </c>
      <c r="CD84" s="386">
        <f t="shared" si="92"/>
        <v>0</v>
      </c>
      <c r="CE84" s="386">
        <f t="shared" si="93"/>
        <v>0</v>
      </c>
      <c r="CF84" s="386">
        <f t="shared" si="94"/>
        <v>-216.57999999999998</v>
      </c>
      <c r="CG84" s="386">
        <f t="shared" si="95"/>
        <v>0</v>
      </c>
      <c r="CH84" s="386">
        <f t="shared" si="96"/>
        <v>-13.259999999999996</v>
      </c>
      <c r="CI84" s="386">
        <f t="shared" si="97"/>
        <v>0</v>
      </c>
      <c r="CJ84" s="386">
        <f t="shared" si="110"/>
        <v>-229.83999999999997</v>
      </c>
      <c r="CK84" s="386" t="str">
        <f t="shared" si="111"/>
        <v/>
      </c>
      <c r="CL84" s="386" t="str">
        <f t="shared" si="112"/>
        <v/>
      </c>
      <c r="CM84" s="386" t="str">
        <f t="shared" si="113"/>
        <v/>
      </c>
      <c r="CN84" s="386" t="str">
        <f t="shared" si="114"/>
        <v>0001-00</v>
      </c>
    </row>
    <row r="85" spans="1:92" ht="15.75" thickBot="1" x14ac:dyDescent="0.3">
      <c r="A85" s="376" t="s">
        <v>161</v>
      </c>
      <c r="B85" s="376" t="s">
        <v>162</v>
      </c>
      <c r="C85" s="376" t="s">
        <v>225</v>
      </c>
      <c r="D85" s="376" t="s">
        <v>226</v>
      </c>
      <c r="E85" s="376" t="s">
        <v>165</v>
      </c>
      <c r="F85" s="377" t="s">
        <v>166</v>
      </c>
      <c r="G85" s="376" t="s">
        <v>460</v>
      </c>
      <c r="H85" s="378"/>
      <c r="I85" s="378"/>
      <c r="J85" s="376" t="s">
        <v>185</v>
      </c>
      <c r="K85" s="376" t="s">
        <v>227</v>
      </c>
      <c r="L85" s="376" t="s">
        <v>166</v>
      </c>
      <c r="M85" s="376" t="s">
        <v>171</v>
      </c>
      <c r="N85" s="376" t="s">
        <v>172</v>
      </c>
      <c r="O85" s="379">
        <v>1</v>
      </c>
      <c r="P85" s="384">
        <v>0.05</v>
      </c>
      <c r="Q85" s="384">
        <v>0.05</v>
      </c>
      <c r="R85" s="380">
        <v>80</v>
      </c>
      <c r="S85" s="384">
        <v>0.05</v>
      </c>
      <c r="T85" s="380">
        <v>6122.77</v>
      </c>
      <c r="U85" s="380">
        <v>0</v>
      </c>
      <c r="V85" s="380">
        <v>1825.74</v>
      </c>
      <c r="W85" s="380">
        <v>6272.24</v>
      </c>
      <c r="X85" s="380">
        <v>1900.35</v>
      </c>
      <c r="Y85" s="380">
        <v>6272.24</v>
      </c>
      <c r="Z85" s="380">
        <v>1867.74</v>
      </c>
      <c r="AA85" s="376" t="s">
        <v>228</v>
      </c>
      <c r="AB85" s="376" t="s">
        <v>229</v>
      </c>
      <c r="AC85" s="376" t="s">
        <v>230</v>
      </c>
      <c r="AD85" s="376" t="s">
        <v>231</v>
      </c>
      <c r="AE85" s="376" t="s">
        <v>227</v>
      </c>
      <c r="AF85" s="376" t="s">
        <v>177</v>
      </c>
      <c r="AG85" s="376" t="s">
        <v>178</v>
      </c>
      <c r="AH85" s="381">
        <v>60.31</v>
      </c>
      <c r="AI85" s="381">
        <v>41188.5</v>
      </c>
      <c r="AJ85" s="376" t="s">
        <v>179</v>
      </c>
      <c r="AK85" s="376" t="s">
        <v>180</v>
      </c>
      <c r="AL85" s="376" t="s">
        <v>170</v>
      </c>
      <c r="AM85" s="376" t="s">
        <v>181</v>
      </c>
      <c r="AN85" s="376" t="s">
        <v>68</v>
      </c>
      <c r="AO85" s="379">
        <v>80</v>
      </c>
      <c r="AP85" s="384">
        <v>1</v>
      </c>
      <c r="AQ85" s="384">
        <v>0.05</v>
      </c>
      <c r="AR85" s="382" t="s">
        <v>182</v>
      </c>
      <c r="AS85" s="386">
        <f t="shared" si="98"/>
        <v>0.05</v>
      </c>
      <c r="AT85">
        <f t="shared" si="99"/>
        <v>1</v>
      </c>
      <c r="AU85" s="386">
        <f>IF(AT85=0,"",IF(AND(AT85=1,M85="F",SUMIF(C2:C167,C85,AS2:AS167)&lt;=1),SUMIF(C2:C167,C85,AS2:AS167),IF(AND(AT85=1,M85="F",SUMIF(C2:C167,C85,AS2:AS167)&gt;1),1,"")))</f>
        <v>1</v>
      </c>
      <c r="AV85" s="386" t="str">
        <f>IF(AT85=0,"",IF(AND(AT85=3,M85="F",SUMIF(C2:C167,C85,AS2:AS167)&lt;=1),SUMIF(C2:C167,C85,AS2:AS167),IF(AND(AT85=3,M85="F",SUMIF(C2:C167,C85,AS2:AS167)&gt;1),1,"")))</f>
        <v/>
      </c>
      <c r="AW85" s="386">
        <f>SUMIF(C2:C167,C85,O2:O167)</f>
        <v>4</v>
      </c>
      <c r="AX85" s="386">
        <f>IF(AND(M85="F",AS85&lt;&gt;0),SUMIF(C2:C167,C85,W2:W167),0)</f>
        <v>125444.79999999999</v>
      </c>
      <c r="AY85" s="386">
        <f t="shared" si="100"/>
        <v>6272.24</v>
      </c>
      <c r="AZ85" s="386" t="str">
        <f t="shared" si="101"/>
        <v/>
      </c>
      <c r="BA85" s="386">
        <f t="shared" si="102"/>
        <v>0</v>
      </c>
      <c r="BB85" s="386">
        <f t="shared" si="71"/>
        <v>582.5</v>
      </c>
      <c r="BC85" s="386">
        <f t="shared" si="72"/>
        <v>0</v>
      </c>
      <c r="BD85" s="386">
        <f t="shared" si="73"/>
        <v>388.87887999999998</v>
      </c>
      <c r="BE85" s="386">
        <f t="shared" si="74"/>
        <v>90.947479999999999</v>
      </c>
      <c r="BF85" s="386">
        <f t="shared" si="75"/>
        <v>748.90545599999996</v>
      </c>
      <c r="BG85" s="386">
        <f t="shared" si="76"/>
        <v>45.222850399999999</v>
      </c>
      <c r="BH85" s="386">
        <f t="shared" si="77"/>
        <v>30.733975999999998</v>
      </c>
      <c r="BI85" s="386">
        <f t="shared" si="78"/>
        <v>0</v>
      </c>
      <c r="BJ85" s="386">
        <f t="shared" si="79"/>
        <v>13.171703999999998</v>
      </c>
      <c r="BK85" s="386">
        <f t="shared" si="80"/>
        <v>0</v>
      </c>
      <c r="BL85" s="386">
        <f t="shared" si="103"/>
        <v>1317.8603464</v>
      </c>
      <c r="BM85" s="386">
        <f t="shared" si="104"/>
        <v>0</v>
      </c>
      <c r="BN85" s="386">
        <f t="shared" si="81"/>
        <v>582.5</v>
      </c>
      <c r="BO85" s="386">
        <f t="shared" si="82"/>
        <v>0</v>
      </c>
      <c r="BP85" s="386">
        <f t="shared" si="83"/>
        <v>388.87887999999998</v>
      </c>
      <c r="BQ85" s="386">
        <f t="shared" si="84"/>
        <v>90.947479999999999</v>
      </c>
      <c r="BR85" s="386">
        <f t="shared" si="85"/>
        <v>748.90545599999996</v>
      </c>
      <c r="BS85" s="386">
        <f t="shared" si="86"/>
        <v>45.222850399999999</v>
      </c>
      <c r="BT85" s="386">
        <f t="shared" si="87"/>
        <v>0</v>
      </c>
      <c r="BU85" s="386">
        <f t="shared" si="88"/>
        <v>0</v>
      </c>
      <c r="BV85" s="386">
        <f t="shared" si="89"/>
        <v>11.290032</v>
      </c>
      <c r="BW85" s="386">
        <f t="shared" si="90"/>
        <v>0</v>
      </c>
      <c r="BX85" s="386">
        <f t="shared" si="105"/>
        <v>1285.2446984000001</v>
      </c>
      <c r="BY85" s="386">
        <f t="shared" si="106"/>
        <v>0</v>
      </c>
      <c r="BZ85" s="386">
        <f t="shared" si="107"/>
        <v>0</v>
      </c>
      <c r="CA85" s="386">
        <f t="shared" si="108"/>
        <v>0</v>
      </c>
      <c r="CB85" s="386">
        <f t="shared" si="109"/>
        <v>0</v>
      </c>
      <c r="CC85" s="386">
        <f t="shared" si="91"/>
        <v>0</v>
      </c>
      <c r="CD85" s="386">
        <f t="shared" si="92"/>
        <v>0</v>
      </c>
      <c r="CE85" s="386">
        <f t="shared" si="93"/>
        <v>0</v>
      </c>
      <c r="CF85" s="386">
        <f t="shared" si="94"/>
        <v>-30.733975999999998</v>
      </c>
      <c r="CG85" s="386">
        <f t="shared" si="95"/>
        <v>0</v>
      </c>
      <c r="CH85" s="386">
        <f t="shared" si="96"/>
        <v>-1.8816719999999993</v>
      </c>
      <c r="CI85" s="386">
        <f t="shared" si="97"/>
        <v>0</v>
      </c>
      <c r="CJ85" s="386">
        <f t="shared" si="110"/>
        <v>-32.615648</v>
      </c>
      <c r="CK85" s="386" t="str">
        <f t="shared" si="111"/>
        <v/>
      </c>
      <c r="CL85" s="386" t="str">
        <f t="shared" si="112"/>
        <v/>
      </c>
      <c r="CM85" s="386" t="str">
        <f t="shared" si="113"/>
        <v/>
      </c>
      <c r="CN85" s="386" t="str">
        <f t="shared" si="114"/>
        <v>0001-00</v>
      </c>
    </row>
    <row r="86" spans="1:92" ht="15.75" thickBot="1" x14ac:dyDescent="0.3">
      <c r="A86" s="376" t="s">
        <v>161</v>
      </c>
      <c r="B86" s="376" t="s">
        <v>162</v>
      </c>
      <c r="C86" s="376" t="s">
        <v>461</v>
      </c>
      <c r="D86" s="376" t="s">
        <v>462</v>
      </c>
      <c r="E86" s="376" t="s">
        <v>165</v>
      </c>
      <c r="F86" s="377" t="s">
        <v>166</v>
      </c>
      <c r="G86" s="376" t="s">
        <v>460</v>
      </c>
      <c r="H86" s="378"/>
      <c r="I86" s="378"/>
      <c r="J86" s="376" t="s">
        <v>168</v>
      </c>
      <c r="K86" s="376" t="s">
        <v>463</v>
      </c>
      <c r="L86" s="376" t="s">
        <v>166</v>
      </c>
      <c r="M86" s="376" t="s">
        <v>171</v>
      </c>
      <c r="N86" s="376" t="s">
        <v>172</v>
      </c>
      <c r="O86" s="379">
        <v>1</v>
      </c>
      <c r="P86" s="384">
        <v>1</v>
      </c>
      <c r="Q86" s="384">
        <v>1</v>
      </c>
      <c r="R86" s="380">
        <v>80</v>
      </c>
      <c r="S86" s="384">
        <v>1</v>
      </c>
      <c r="T86" s="380">
        <v>46018.23</v>
      </c>
      <c r="U86" s="380">
        <v>0</v>
      </c>
      <c r="V86" s="380">
        <v>20993.97</v>
      </c>
      <c r="W86" s="380">
        <v>47299.199999999997</v>
      </c>
      <c r="X86" s="380">
        <v>21588</v>
      </c>
      <c r="Y86" s="380">
        <v>47299.199999999997</v>
      </c>
      <c r="Z86" s="380">
        <v>21342.05</v>
      </c>
      <c r="AA86" s="376" t="s">
        <v>464</v>
      </c>
      <c r="AB86" s="376" t="s">
        <v>465</v>
      </c>
      <c r="AC86" s="376" t="s">
        <v>466</v>
      </c>
      <c r="AD86" s="376" t="s">
        <v>178</v>
      </c>
      <c r="AE86" s="376" t="s">
        <v>463</v>
      </c>
      <c r="AF86" s="376" t="s">
        <v>177</v>
      </c>
      <c r="AG86" s="376" t="s">
        <v>178</v>
      </c>
      <c r="AH86" s="381">
        <v>22.74</v>
      </c>
      <c r="AI86" s="381">
        <v>7359.5</v>
      </c>
      <c r="AJ86" s="376" t="s">
        <v>179</v>
      </c>
      <c r="AK86" s="376" t="s">
        <v>180</v>
      </c>
      <c r="AL86" s="376" t="s">
        <v>170</v>
      </c>
      <c r="AM86" s="376" t="s">
        <v>181</v>
      </c>
      <c r="AN86" s="376" t="s">
        <v>68</v>
      </c>
      <c r="AO86" s="379">
        <v>80</v>
      </c>
      <c r="AP86" s="384">
        <v>1</v>
      </c>
      <c r="AQ86" s="384">
        <v>1</v>
      </c>
      <c r="AR86" s="382" t="s">
        <v>182</v>
      </c>
      <c r="AS86" s="386">
        <f t="shared" si="98"/>
        <v>1</v>
      </c>
      <c r="AT86">
        <f t="shared" si="99"/>
        <v>1</v>
      </c>
      <c r="AU86" s="386">
        <f>IF(AT86=0,"",IF(AND(AT86=1,M86="F",SUMIF(C2:C167,C86,AS2:AS167)&lt;=1),SUMIF(C2:C167,C86,AS2:AS167),IF(AND(AT86=1,M86="F",SUMIF(C2:C167,C86,AS2:AS167)&gt;1),1,"")))</f>
        <v>1</v>
      </c>
      <c r="AV86" s="386" t="str">
        <f>IF(AT86=0,"",IF(AND(AT86=3,M86="F",SUMIF(C2:C167,C86,AS2:AS167)&lt;=1),SUMIF(C2:C167,C86,AS2:AS167),IF(AND(AT86=3,M86="F",SUMIF(C2:C167,C86,AS2:AS167)&gt;1),1,"")))</f>
        <v/>
      </c>
      <c r="AW86" s="386">
        <f>SUMIF(C2:C167,C86,O2:O167)</f>
        <v>1</v>
      </c>
      <c r="AX86" s="386">
        <f>IF(AND(M86="F",AS86&lt;&gt;0),SUMIF(C2:C167,C86,W2:W167),0)</f>
        <v>47299.199999999997</v>
      </c>
      <c r="AY86" s="386">
        <f t="shared" si="100"/>
        <v>47299.199999999997</v>
      </c>
      <c r="AZ86" s="386" t="str">
        <f t="shared" si="101"/>
        <v/>
      </c>
      <c r="BA86" s="386">
        <f t="shared" si="102"/>
        <v>0</v>
      </c>
      <c r="BB86" s="386">
        <f t="shared" si="71"/>
        <v>11650</v>
      </c>
      <c r="BC86" s="386">
        <f t="shared" si="72"/>
        <v>0</v>
      </c>
      <c r="BD86" s="386">
        <f t="shared" si="73"/>
        <v>2932.5503999999996</v>
      </c>
      <c r="BE86" s="386">
        <f t="shared" si="74"/>
        <v>685.83839999999998</v>
      </c>
      <c r="BF86" s="386">
        <f t="shared" si="75"/>
        <v>5647.52448</v>
      </c>
      <c r="BG86" s="386">
        <f t="shared" si="76"/>
        <v>341.02723199999997</v>
      </c>
      <c r="BH86" s="386">
        <f t="shared" si="77"/>
        <v>231.76607999999999</v>
      </c>
      <c r="BI86" s="386">
        <f t="shared" si="78"/>
        <v>0</v>
      </c>
      <c r="BJ86" s="386">
        <f t="shared" si="79"/>
        <v>99.328319999999991</v>
      </c>
      <c r="BK86" s="386">
        <f t="shared" si="80"/>
        <v>0</v>
      </c>
      <c r="BL86" s="386">
        <f t="shared" si="103"/>
        <v>9938.034912000001</v>
      </c>
      <c r="BM86" s="386">
        <f t="shared" si="104"/>
        <v>0</v>
      </c>
      <c r="BN86" s="386">
        <f t="shared" si="81"/>
        <v>11650</v>
      </c>
      <c r="BO86" s="386">
        <f t="shared" si="82"/>
        <v>0</v>
      </c>
      <c r="BP86" s="386">
        <f t="shared" si="83"/>
        <v>2932.5503999999996</v>
      </c>
      <c r="BQ86" s="386">
        <f t="shared" si="84"/>
        <v>685.83839999999998</v>
      </c>
      <c r="BR86" s="386">
        <f t="shared" si="85"/>
        <v>5647.52448</v>
      </c>
      <c r="BS86" s="386">
        <f t="shared" si="86"/>
        <v>341.02723199999997</v>
      </c>
      <c r="BT86" s="386">
        <f t="shared" si="87"/>
        <v>0</v>
      </c>
      <c r="BU86" s="386">
        <f t="shared" si="88"/>
        <v>0</v>
      </c>
      <c r="BV86" s="386">
        <f t="shared" si="89"/>
        <v>85.138559999999998</v>
      </c>
      <c r="BW86" s="386">
        <f t="shared" si="90"/>
        <v>0</v>
      </c>
      <c r="BX86" s="386">
        <f t="shared" si="105"/>
        <v>9692.0790720000005</v>
      </c>
      <c r="BY86" s="386">
        <f t="shared" si="106"/>
        <v>0</v>
      </c>
      <c r="BZ86" s="386">
        <f t="shared" si="107"/>
        <v>0</v>
      </c>
      <c r="CA86" s="386">
        <f t="shared" si="108"/>
        <v>0</v>
      </c>
      <c r="CB86" s="386">
        <f t="shared" si="109"/>
        <v>0</v>
      </c>
      <c r="CC86" s="386">
        <f t="shared" si="91"/>
        <v>0</v>
      </c>
      <c r="CD86" s="386">
        <f t="shared" si="92"/>
        <v>0</v>
      </c>
      <c r="CE86" s="386">
        <f t="shared" si="93"/>
        <v>0</v>
      </c>
      <c r="CF86" s="386">
        <f t="shared" si="94"/>
        <v>-231.76607999999999</v>
      </c>
      <c r="CG86" s="386">
        <f t="shared" si="95"/>
        <v>0</v>
      </c>
      <c r="CH86" s="386">
        <f t="shared" si="96"/>
        <v>-14.189759999999996</v>
      </c>
      <c r="CI86" s="386">
        <f t="shared" si="97"/>
        <v>0</v>
      </c>
      <c r="CJ86" s="386">
        <f t="shared" si="110"/>
        <v>-245.95583999999999</v>
      </c>
      <c r="CK86" s="386" t="str">
        <f t="shared" si="111"/>
        <v/>
      </c>
      <c r="CL86" s="386" t="str">
        <f t="shared" si="112"/>
        <v/>
      </c>
      <c r="CM86" s="386" t="str">
        <f t="shared" si="113"/>
        <v/>
      </c>
      <c r="CN86" s="386" t="str">
        <f t="shared" si="114"/>
        <v>0001-00</v>
      </c>
    </row>
    <row r="87" spans="1:92" ht="15.75" thickBot="1" x14ac:dyDescent="0.3">
      <c r="A87" s="376" t="s">
        <v>161</v>
      </c>
      <c r="B87" s="376" t="s">
        <v>162</v>
      </c>
      <c r="C87" s="376" t="s">
        <v>376</v>
      </c>
      <c r="D87" s="376" t="s">
        <v>377</v>
      </c>
      <c r="E87" s="376" t="s">
        <v>165</v>
      </c>
      <c r="F87" s="377" t="s">
        <v>166</v>
      </c>
      <c r="G87" s="376" t="s">
        <v>460</v>
      </c>
      <c r="H87" s="378"/>
      <c r="I87" s="378"/>
      <c r="J87" s="376" t="s">
        <v>168</v>
      </c>
      <c r="K87" s="376" t="s">
        <v>378</v>
      </c>
      <c r="L87" s="376" t="s">
        <v>166</v>
      </c>
      <c r="M87" s="376" t="s">
        <v>171</v>
      </c>
      <c r="N87" s="376" t="s">
        <v>172</v>
      </c>
      <c r="O87" s="379">
        <v>1</v>
      </c>
      <c r="P87" s="384">
        <v>1</v>
      </c>
      <c r="Q87" s="384">
        <v>1</v>
      </c>
      <c r="R87" s="380">
        <v>80</v>
      </c>
      <c r="S87" s="384">
        <v>1</v>
      </c>
      <c r="T87" s="380">
        <v>71352.42</v>
      </c>
      <c r="U87" s="380">
        <v>0</v>
      </c>
      <c r="V87" s="380">
        <v>25404.97</v>
      </c>
      <c r="W87" s="380">
        <v>73028.800000000003</v>
      </c>
      <c r="X87" s="380">
        <v>26994.05</v>
      </c>
      <c r="Y87" s="380">
        <v>73028.800000000003</v>
      </c>
      <c r="Z87" s="380">
        <v>26614.3</v>
      </c>
      <c r="AA87" s="376" t="s">
        <v>379</v>
      </c>
      <c r="AB87" s="376" t="s">
        <v>380</v>
      </c>
      <c r="AC87" s="376" t="s">
        <v>381</v>
      </c>
      <c r="AD87" s="376" t="s">
        <v>382</v>
      </c>
      <c r="AE87" s="376" t="s">
        <v>378</v>
      </c>
      <c r="AF87" s="376" t="s">
        <v>177</v>
      </c>
      <c r="AG87" s="376" t="s">
        <v>178</v>
      </c>
      <c r="AH87" s="381">
        <v>35.11</v>
      </c>
      <c r="AI87" s="379">
        <v>28879</v>
      </c>
      <c r="AJ87" s="376" t="s">
        <v>179</v>
      </c>
      <c r="AK87" s="376" t="s">
        <v>180</v>
      </c>
      <c r="AL87" s="376" t="s">
        <v>170</v>
      </c>
      <c r="AM87" s="376" t="s">
        <v>181</v>
      </c>
      <c r="AN87" s="376" t="s">
        <v>68</v>
      </c>
      <c r="AO87" s="379">
        <v>80</v>
      </c>
      <c r="AP87" s="384">
        <v>1</v>
      </c>
      <c r="AQ87" s="384">
        <v>1</v>
      </c>
      <c r="AR87" s="382" t="s">
        <v>182</v>
      </c>
      <c r="AS87" s="386">
        <f t="shared" si="98"/>
        <v>1</v>
      </c>
      <c r="AT87">
        <f t="shared" si="99"/>
        <v>1</v>
      </c>
      <c r="AU87" s="386">
        <f>IF(AT87=0,"",IF(AND(AT87=1,M87="F",SUMIF(C2:C167,C87,AS2:AS167)&lt;=1),SUMIF(C2:C167,C87,AS2:AS167),IF(AND(AT87=1,M87="F",SUMIF(C2:C167,C87,AS2:AS167)&gt;1),1,"")))</f>
        <v>1</v>
      </c>
      <c r="AV87" s="386" t="str">
        <f>IF(AT87=0,"",IF(AND(AT87=3,M87="F",SUMIF(C2:C167,C87,AS2:AS167)&lt;=1),SUMIF(C2:C167,C87,AS2:AS167),IF(AND(AT87=3,M87="F",SUMIF(C2:C167,C87,AS2:AS167)&gt;1),1,"")))</f>
        <v/>
      </c>
      <c r="AW87" s="386">
        <f>SUMIF(C2:C167,C87,O2:O167)</f>
        <v>2</v>
      </c>
      <c r="AX87" s="386">
        <f>IF(AND(M87="F",AS87&lt;&gt;0),SUMIF(C2:C167,C87,W2:W167),0)</f>
        <v>73028.800000000003</v>
      </c>
      <c r="AY87" s="386">
        <f t="shared" si="100"/>
        <v>73028.800000000003</v>
      </c>
      <c r="AZ87" s="386" t="str">
        <f t="shared" si="101"/>
        <v/>
      </c>
      <c r="BA87" s="386">
        <f t="shared" si="102"/>
        <v>0</v>
      </c>
      <c r="BB87" s="386">
        <f t="shared" si="71"/>
        <v>11650</v>
      </c>
      <c r="BC87" s="386">
        <f t="shared" si="72"/>
        <v>0</v>
      </c>
      <c r="BD87" s="386">
        <f t="shared" si="73"/>
        <v>4527.7856000000002</v>
      </c>
      <c r="BE87" s="386">
        <f t="shared" si="74"/>
        <v>1058.9176</v>
      </c>
      <c r="BF87" s="386">
        <f t="shared" si="75"/>
        <v>8719.6387200000008</v>
      </c>
      <c r="BG87" s="386">
        <f t="shared" si="76"/>
        <v>526.53764799999999</v>
      </c>
      <c r="BH87" s="386">
        <f t="shared" si="77"/>
        <v>357.84111999999999</v>
      </c>
      <c r="BI87" s="386">
        <f t="shared" si="78"/>
        <v>0</v>
      </c>
      <c r="BJ87" s="386">
        <f t="shared" si="79"/>
        <v>153.36048</v>
      </c>
      <c r="BK87" s="386">
        <f t="shared" si="80"/>
        <v>0</v>
      </c>
      <c r="BL87" s="386">
        <f t="shared" si="103"/>
        <v>15344.081167999999</v>
      </c>
      <c r="BM87" s="386">
        <f t="shared" si="104"/>
        <v>0</v>
      </c>
      <c r="BN87" s="386">
        <f t="shared" si="81"/>
        <v>11650</v>
      </c>
      <c r="BO87" s="386">
        <f t="shared" si="82"/>
        <v>0</v>
      </c>
      <c r="BP87" s="386">
        <f t="shared" si="83"/>
        <v>4527.7856000000002</v>
      </c>
      <c r="BQ87" s="386">
        <f t="shared" si="84"/>
        <v>1058.9176</v>
      </c>
      <c r="BR87" s="386">
        <f t="shared" si="85"/>
        <v>8719.6387200000008</v>
      </c>
      <c r="BS87" s="386">
        <f t="shared" si="86"/>
        <v>526.53764799999999</v>
      </c>
      <c r="BT87" s="386">
        <f t="shared" si="87"/>
        <v>0</v>
      </c>
      <c r="BU87" s="386">
        <f t="shared" si="88"/>
        <v>0</v>
      </c>
      <c r="BV87" s="386">
        <f t="shared" si="89"/>
        <v>131.45184</v>
      </c>
      <c r="BW87" s="386">
        <f t="shared" si="90"/>
        <v>0</v>
      </c>
      <c r="BX87" s="386">
        <f t="shared" si="105"/>
        <v>14964.331408</v>
      </c>
      <c r="BY87" s="386">
        <f t="shared" si="106"/>
        <v>0</v>
      </c>
      <c r="BZ87" s="386">
        <f t="shared" si="107"/>
        <v>0</v>
      </c>
      <c r="CA87" s="386">
        <f t="shared" si="108"/>
        <v>0</v>
      </c>
      <c r="CB87" s="386">
        <f t="shared" si="109"/>
        <v>0</v>
      </c>
      <c r="CC87" s="386">
        <f t="shared" si="91"/>
        <v>0</v>
      </c>
      <c r="CD87" s="386">
        <f t="shared" si="92"/>
        <v>0</v>
      </c>
      <c r="CE87" s="386">
        <f t="shared" si="93"/>
        <v>0</v>
      </c>
      <c r="CF87" s="386">
        <f t="shared" si="94"/>
        <v>-357.84111999999999</v>
      </c>
      <c r="CG87" s="386">
        <f t="shared" si="95"/>
        <v>0</v>
      </c>
      <c r="CH87" s="386">
        <f t="shared" si="96"/>
        <v>-21.908639999999995</v>
      </c>
      <c r="CI87" s="386">
        <f t="shared" si="97"/>
        <v>0</v>
      </c>
      <c r="CJ87" s="386">
        <f t="shared" si="110"/>
        <v>-379.74975999999998</v>
      </c>
      <c r="CK87" s="386" t="str">
        <f t="shared" si="111"/>
        <v/>
      </c>
      <c r="CL87" s="386" t="str">
        <f t="shared" si="112"/>
        <v/>
      </c>
      <c r="CM87" s="386" t="str">
        <f t="shared" si="113"/>
        <v/>
      </c>
      <c r="CN87" s="386" t="str">
        <f t="shared" si="114"/>
        <v>0001-00</v>
      </c>
    </row>
    <row r="88" spans="1:92" ht="15.75" thickBot="1" x14ac:dyDescent="0.3">
      <c r="A88" s="376" t="s">
        <v>161</v>
      </c>
      <c r="B88" s="376" t="s">
        <v>162</v>
      </c>
      <c r="C88" s="376" t="s">
        <v>383</v>
      </c>
      <c r="D88" s="376" t="s">
        <v>384</v>
      </c>
      <c r="E88" s="376" t="s">
        <v>165</v>
      </c>
      <c r="F88" s="377" t="s">
        <v>166</v>
      </c>
      <c r="G88" s="376" t="s">
        <v>460</v>
      </c>
      <c r="H88" s="378"/>
      <c r="I88" s="378"/>
      <c r="J88" s="376" t="s">
        <v>168</v>
      </c>
      <c r="K88" s="376" t="s">
        <v>385</v>
      </c>
      <c r="L88" s="376" t="s">
        <v>166</v>
      </c>
      <c r="M88" s="376" t="s">
        <v>171</v>
      </c>
      <c r="N88" s="376" t="s">
        <v>172</v>
      </c>
      <c r="O88" s="379">
        <v>1</v>
      </c>
      <c r="P88" s="384">
        <v>1</v>
      </c>
      <c r="Q88" s="384">
        <v>1</v>
      </c>
      <c r="R88" s="380">
        <v>80</v>
      </c>
      <c r="S88" s="384">
        <v>1</v>
      </c>
      <c r="T88" s="380">
        <v>87294.85</v>
      </c>
      <c r="U88" s="380">
        <v>0</v>
      </c>
      <c r="V88" s="380">
        <v>28210.78</v>
      </c>
      <c r="W88" s="380">
        <v>86902.399999999994</v>
      </c>
      <c r="X88" s="380">
        <v>29909.03</v>
      </c>
      <c r="Y88" s="380">
        <v>86902.399999999994</v>
      </c>
      <c r="Z88" s="380">
        <v>29457.14</v>
      </c>
      <c r="AA88" s="376" t="s">
        <v>386</v>
      </c>
      <c r="AB88" s="376" t="s">
        <v>387</v>
      </c>
      <c r="AC88" s="376" t="s">
        <v>388</v>
      </c>
      <c r="AD88" s="376" t="s">
        <v>289</v>
      </c>
      <c r="AE88" s="376" t="s">
        <v>385</v>
      </c>
      <c r="AF88" s="376" t="s">
        <v>177</v>
      </c>
      <c r="AG88" s="376" t="s">
        <v>178</v>
      </c>
      <c r="AH88" s="381">
        <v>41.78</v>
      </c>
      <c r="AI88" s="381">
        <v>52382.6</v>
      </c>
      <c r="AJ88" s="376" t="s">
        <v>179</v>
      </c>
      <c r="AK88" s="376" t="s">
        <v>180</v>
      </c>
      <c r="AL88" s="376" t="s">
        <v>170</v>
      </c>
      <c r="AM88" s="376" t="s">
        <v>181</v>
      </c>
      <c r="AN88" s="376" t="s">
        <v>68</v>
      </c>
      <c r="AO88" s="379">
        <v>80</v>
      </c>
      <c r="AP88" s="384">
        <v>1</v>
      </c>
      <c r="AQ88" s="384">
        <v>1</v>
      </c>
      <c r="AR88" s="382" t="s">
        <v>182</v>
      </c>
      <c r="AS88" s="386">
        <f t="shared" si="98"/>
        <v>1</v>
      </c>
      <c r="AT88">
        <f t="shared" si="99"/>
        <v>1</v>
      </c>
      <c r="AU88" s="386">
        <f>IF(AT88=0,"",IF(AND(AT88=1,M88="F",SUMIF(C2:C167,C88,AS2:AS167)&lt;=1),SUMIF(C2:C167,C88,AS2:AS167),IF(AND(AT88=1,M88="F",SUMIF(C2:C167,C88,AS2:AS167)&gt;1),1,"")))</f>
        <v>1</v>
      </c>
      <c r="AV88" s="386" t="str">
        <f>IF(AT88=0,"",IF(AND(AT88=3,M88="F",SUMIF(C2:C167,C88,AS2:AS167)&lt;=1),SUMIF(C2:C167,C88,AS2:AS167),IF(AND(AT88=3,M88="F",SUMIF(C2:C167,C88,AS2:AS167)&gt;1),1,"")))</f>
        <v/>
      </c>
      <c r="AW88" s="386">
        <f>SUMIF(C2:C167,C88,O2:O167)</f>
        <v>2</v>
      </c>
      <c r="AX88" s="386">
        <f>IF(AND(M88="F",AS88&lt;&gt;0),SUMIF(C2:C167,C88,W2:W167),0)</f>
        <v>86902.399999999994</v>
      </c>
      <c r="AY88" s="386">
        <f t="shared" si="100"/>
        <v>86902.399999999994</v>
      </c>
      <c r="AZ88" s="386" t="str">
        <f t="shared" si="101"/>
        <v/>
      </c>
      <c r="BA88" s="386">
        <f t="shared" si="102"/>
        <v>0</v>
      </c>
      <c r="BB88" s="386">
        <f t="shared" si="71"/>
        <v>11650</v>
      </c>
      <c r="BC88" s="386">
        <f t="shared" si="72"/>
        <v>0</v>
      </c>
      <c r="BD88" s="386">
        <f t="shared" si="73"/>
        <v>5387.9487999999992</v>
      </c>
      <c r="BE88" s="386">
        <f t="shared" si="74"/>
        <v>1260.0848000000001</v>
      </c>
      <c r="BF88" s="386">
        <f t="shared" si="75"/>
        <v>10376.146559999999</v>
      </c>
      <c r="BG88" s="386">
        <f t="shared" si="76"/>
        <v>626.56630399999995</v>
      </c>
      <c r="BH88" s="386">
        <f t="shared" si="77"/>
        <v>425.82175999999998</v>
      </c>
      <c r="BI88" s="386">
        <f t="shared" si="78"/>
        <v>0</v>
      </c>
      <c r="BJ88" s="386">
        <f t="shared" si="79"/>
        <v>182.49503999999999</v>
      </c>
      <c r="BK88" s="386">
        <f t="shared" si="80"/>
        <v>0</v>
      </c>
      <c r="BL88" s="386">
        <f t="shared" si="103"/>
        <v>18259.063263999997</v>
      </c>
      <c r="BM88" s="386">
        <f t="shared" si="104"/>
        <v>0</v>
      </c>
      <c r="BN88" s="386">
        <f t="shared" si="81"/>
        <v>11650</v>
      </c>
      <c r="BO88" s="386">
        <f t="shared" si="82"/>
        <v>0</v>
      </c>
      <c r="BP88" s="386">
        <f t="shared" si="83"/>
        <v>5387.9487999999992</v>
      </c>
      <c r="BQ88" s="386">
        <f t="shared" si="84"/>
        <v>1260.0848000000001</v>
      </c>
      <c r="BR88" s="386">
        <f t="shared" si="85"/>
        <v>10376.146559999999</v>
      </c>
      <c r="BS88" s="386">
        <f t="shared" si="86"/>
        <v>626.56630399999995</v>
      </c>
      <c r="BT88" s="386">
        <f t="shared" si="87"/>
        <v>0</v>
      </c>
      <c r="BU88" s="386">
        <f t="shared" si="88"/>
        <v>0</v>
      </c>
      <c r="BV88" s="386">
        <f t="shared" si="89"/>
        <v>156.42431999999999</v>
      </c>
      <c r="BW88" s="386">
        <f t="shared" si="90"/>
        <v>0</v>
      </c>
      <c r="BX88" s="386">
        <f t="shared" si="105"/>
        <v>17807.170783999994</v>
      </c>
      <c r="BY88" s="386">
        <f t="shared" si="106"/>
        <v>0</v>
      </c>
      <c r="BZ88" s="386">
        <f t="shared" si="107"/>
        <v>0</v>
      </c>
      <c r="CA88" s="386">
        <f t="shared" si="108"/>
        <v>0</v>
      </c>
      <c r="CB88" s="386">
        <f t="shared" si="109"/>
        <v>0</v>
      </c>
      <c r="CC88" s="386">
        <f t="shared" si="91"/>
        <v>0</v>
      </c>
      <c r="CD88" s="386">
        <f t="shared" si="92"/>
        <v>0</v>
      </c>
      <c r="CE88" s="386">
        <f t="shared" si="93"/>
        <v>0</v>
      </c>
      <c r="CF88" s="386">
        <f t="shared" si="94"/>
        <v>-425.82175999999998</v>
      </c>
      <c r="CG88" s="386">
        <f t="shared" si="95"/>
        <v>0</v>
      </c>
      <c r="CH88" s="386">
        <f t="shared" si="96"/>
        <v>-26.070719999999991</v>
      </c>
      <c r="CI88" s="386">
        <f t="shared" si="97"/>
        <v>0</v>
      </c>
      <c r="CJ88" s="386">
        <f t="shared" si="110"/>
        <v>-451.89247999999998</v>
      </c>
      <c r="CK88" s="386" t="str">
        <f t="shared" si="111"/>
        <v/>
      </c>
      <c r="CL88" s="386" t="str">
        <f t="shared" si="112"/>
        <v/>
      </c>
      <c r="CM88" s="386" t="str">
        <f t="shared" si="113"/>
        <v/>
      </c>
      <c r="CN88" s="386" t="str">
        <f t="shared" si="114"/>
        <v>0001-00</v>
      </c>
    </row>
    <row r="89" spans="1:92" ht="15.75" thickBot="1" x14ac:dyDescent="0.3">
      <c r="A89" s="376" t="s">
        <v>161</v>
      </c>
      <c r="B89" s="376" t="s">
        <v>162</v>
      </c>
      <c r="C89" s="376" t="s">
        <v>232</v>
      </c>
      <c r="D89" s="376" t="s">
        <v>233</v>
      </c>
      <c r="E89" s="376" t="s">
        <v>165</v>
      </c>
      <c r="F89" s="377" t="s">
        <v>166</v>
      </c>
      <c r="G89" s="376" t="s">
        <v>460</v>
      </c>
      <c r="H89" s="378"/>
      <c r="I89" s="378"/>
      <c r="J89" s="376" t="s">
        <v>220</v>
      </c>
      <c r="K89" s="376" t="s">
        <v>234</v>
      </c>
      <c r="L89" s="376" t="s">
        <v>166</v>
      </c>
      <c r="M89" s="376" t="s">
        <v>171</v>
      </c>
      <c r="N89" s="376" t="s">
        <v>172</v>
      </c>
      <c r="O89" s="379">
        <v>1</v>
      </c>
      <c r="P89" s="384">
        <v>0.08</v>
      </c>
      <c r="Q89" s="384">
        <v>0.08</v>
      </c>
      <c r="R89" s="380">
        <v>80</v>
      </c>
      <c r="S89" s="384">
        <v>0.08</v>
      </c>
      <c r="T89" s="380">
        <v>3700.89</v>
      </c>
      <c r="U89" s="380">
        <v>0</v>
      </c>
      <c r="V89" s="380">
        <v>1338.53</v>
      </c>
      <c r="W89" s="380">
        <v>5006.97</v>
      </c>
      <c r="X89" s="380">
        <v>1984.01</v>
      </c>
      <c r="Y89" s="380">
        <v>5006.97</v>
      </c>
      <c r="Z89" s="380">
        <v>1957.97</v>
      </c>
      <c r="AA89" s="376" t="s">
        <v>235</v>
      </c>
      <c r="AB89" s="376" t="s">
        <v>236</v>
      </c>
      <c r="AC89" s="376" t="s">
        <v>237</v>
      </c>
      <c r="AD89" s="376" t="s">
        <v>238</v>
      </c>
      <c r="AE89" s="376" t="s">
        <v>234</v>
      </c>
      <c r="AF89" s="376" t="s">
        <v>177</v>
      </c>
      <c r="AG89" s="376" t="s">
        <v>178</v>
      </c>
      <c r="AH89" s="381">
        <v>30.09</v>
      </c>
      <c r="AI89" s="381">
        <v>4003.5</v>
      </c>
      <c r="AJ89" s="376" t="s">
        <v>179</v>
      </c>
      <c r="AK89" s="376" t="s">
        <v>180</v>
      </c>
      <c r="AL89" s="376" t="s">
        <v>170</v>
      </c>
      <c r="AM89" s="376" t="s">
        <v>181</v>
      </c>
      <c r="AN89" s="376" t="s">
        <v>68</v>
      </c>
      <c r="AO89" s="379">
        <v>80</v>
      </c>
      <c r="AP89" s="384">
        <v>1</v>
      </c>
      <c r="AQ89" s="384">
        <v>0.08</v>
      </c>
      <c r="AR89" s="382" t="s">
        <v>182</v>
      </c>
      <c r="AS89" s="386">
        <f t="shared" si="98"/>
        <v>0.08</v>
      </c>
      <c r="AT89">
        <f t="shared" si="99"/>
        <v>1</v>
      </c>
      <c r="AU89" s="386">
        <f>IF(AT89=0,"",IF(AND(AT89=1,M89="F",SUMIF(C2:C167,C89,AS2:AS167)&lt;=1),SUMIF(C2:C167,C89,AS2:AS167),IF(AND(AT89=1,M89="F",SUMIF(C2:C167,C89,AS2:AS167)&gt;1),1,"")))</f>
        <v>1</v>
      </c>
      <c r="AV89" s="386" t="str">
        <f>IF(AT89=0,"",IF(AND(AT89=3,M89="F",SUMIF(C2:C167,C89,AS2:AS167)&lt;=1),SUMIF(C2:C167,C89,AS2:AS167),IF(AND(AT89=3,M89="F",SUMIF(C2:C167,C89,AS2:AS167)&gt;1),1,"")))</f>
        <v/>
      </c>
      <c r="AW89" s="386">
        <f>SUMIF(C2:C167,C89,O2:O167)</f>
        <v>5</v>
      </c>
      <c r="AX89" s="386">
        <f>IF(AND(M89="F",AS89&lt;&gt;0),SUMIF(C2:C167,C89,W2:W167),0)</f>
        <v>62587.180000000008</v>
      </c>
      <c r="AY89" s="386">
        <f t="shared" si="100"/>
        <v>5006.97</v>
      </c>
      <c r="AZ89" s="386" t="str">
        <f t="shared" si="101"/>
        <v/>
      </c>
      <c r="BA89" s="386">
        <f t="shared" si="102"/>
        <v>0</v>
      </c>
      <c r="BB89" s="386">
        <f t="shared" si="71"/>
        <v>932</v>
      </c>
      <c r="BC89" s="386">
        <f t="shared" si="72"/>
        <v>0</v>
      </c>
      <c r="BD89" s="386">
        <f t="shared" si="73"/>
        <v>310.43214</v>
      </c>
      <c r="BE89" s="386">
        <f t="shared" si="74"/>
        <v>72.601065000000006</v>
      </c>
      <c r="BF89" s="386">
        <f t="shared" si="75"/>
        <v>597.83221800000001</v>
      </c>
      <c r="BG89" s="386">
        <f t="shared" si="76"/>
        <v>36.100253700000003</v>
      </c>
      <c r="BH89" s="386">
        <f t="shared" si="77"/>
        <v>24.534153</v>
      </c>
      <c r="BI89" s="386">
        <f t="shared" si="78"/>
        <v>0</v>
      </c>
      <c r="BJ89" s="386">
        <f t="shared" si="79"/>
        <v>10.514637</v>
      </c>
      <c r="BK89" s="386">
        <f t="shared" si="80"/>
        <v>0</v>
      </c>
      <c r="BL89" s="386">
        <f t="shared" si="103"/>
        <v>1052.0144667</v>
      </c>
      <c r="BM89" s="386">
        <f t="shared" si="104"/>
        <v>0</v>
      </c>
      <c r="BN89" s="386">
        <f t="shared" si="81"/>
        <v>932</v>
      </c>
      <c r="BO89" s="386">
        <f t="shared" si="82"/>
        <v>0</v>
      </c>
      <c r="BP89" s="386">
        <f t="shared" si="83"/>
        <v>310.43214</v>
      </c>
      <c r="BQ89" s="386">
        <f t="shared" si="84"/>
        <v>72.601065000000006</v>
      </c>
      <c r="BR89" s="386">
        <f t="shared" si="85"/>
        <v>597.83221800000001</v>
      </c>
      <c r="BS89" s="386">
        <f t="shared" si="86"/>
        <v>36.100253700000003</v>
      </c>
      <c r="BT89" s="386">
        <f t="shared" si="87"/>
        <v>0</v>
      </c>
      <c r="BU89" s="386">
        <f t="shared" si="88"/>
        <v>0</v>
      </c>
      <c r="BV89" s="386">
        <f t="shared" si="89"/>
        <v>9.0125460000000004</v>
      </c>
      <c r="BW89" s="386">
        <f t="shared" si="90"/>
        <v>0</v>
      </c>
      <c r="BX89" s="386">
        <f t="shared" si="105"/>
        <v>1025.9782227000001</v>
      </c>
      <c r="BY89" s="386">
        <f t="shared" si="106"/>
        <v>0</v>
      </c>
      <c r="BZ89" s="386">
        <f t="shared" si="107"/>
        <v>0</v>
      </c>
      <c r="CA89" s="386">
        <f t="shared" si="108"/>
        <v>0</v>
      </c>
      <c r="CB89" s="386">
        <f t="shared" si="109"/>
        <v>0</v>
      </c>
      <c r="CC89" s="386">
        <f t="shared" si="91"/>
        <v>0</v>
      </c>
      <c r="CD89" s="386">
        <f t="shared" si="92"/>
        <v>0</v>
      </c>
      <c r="CE89" s="386">
        <f t="shared" si="93"/>
        <v>0</v>
      </c>
      <c r="CF89" s="386">
        <f t="shared" si="94"/>
        <v>-24.534153</v>
      </c>
      <c r="CG89" s="386">
        <f t="shared" si="95"/>
        <v>0</v>
      </c>
      <c r="CH89" s="386">
        <f t="shared" si="96"/>
        <v>-1.5020909999999996</v>
      </c>
      <c r="CI89" s="386">
        <f t="shared" si="97"/>
        <v>0</v>
      </c>
      <c r="CJ89" s="386">
        <f t="shared" si="110"/>
        <v>-26.036244</v>
      </c>
      <c r="CK89" s="386" t="str">
        <f t="shared" si="111"/>
        <v/>
      </c>
      <c r="CL89" s="386" t="str">
        <f t="shared" si="112"/>
        <v/>
      </c>
      <c r="CM89" s="386" t="str">
        <f t="shared" si="113"/>
        <v/>
      </c>
      <c r="CN89" s="386" t="str">
        <f t="shared" si="114"/>
        <v>0001-00</v>
      </c>
    </row>
    <row r="90" spans="1:92" ht="15.75" thickBot="1" x14ac:dyDescent="0.3">
      <c r="A90" s="376" t="s">
        <v>161</v>
      </c>
      <c r="B90" s="376" t="s">
        <v>162</v>
      </c>
      <c r="C90" s="376" t="s">
        <v>407</v>
      </c>
      <c r="D90" s="376" t="s">
        <v>268</v>
      </c>
      <c r="E90" s="376" t="s">
        <v>165</v>
      </c>
      <c r="F90" s="377" t="s">
        <v>166</v>
      </c>
      <c r="G90" s="376" t="s">
        <v>460</v>
      </c>
      <c r="H90" s="378"/>
      <c r="I90" s="378"/>
      <c r="J90" s="376" t="s">
        <v>168</v>
      </c>
      <c r="K90" s="376" t="s">
        <v>269</v>
      </c>
      <c r="L90" s="376" t="s">
        <v>166</v>
      </c>
      <c r="M90" s="376" t="s">
        <v>171</v>
      </c>
      <c r="N90" s="376" t="s">
        <v>270</v>
      </c>
      <c r="O90" s="379">
        <v>0</v>
      </c>
      <c r="P90" s="384">
        <v>1</v>
      </c>
      <c r="Q90" s="384">
        <v>0</v>
      </c>
      <c r="R90" s="380">
        <v>0</v>
      </c>
      <c r="S90" s="384">
        <v>0</v>
      </c>
      <c r="T90" s="380">
        <v>0</v>
      </c>
      <c r="U90" s="380">
        <v>0</v>
      </c>
      <c r="V90" s="380">
        <v>0</v>
      </c>
      <c r="W90" s="380">
        <v>147054.39999999999</v>
      </c>
      <c r="X90" s="380">
        <v>62021.25</v>
      </c>
      <c r="Y90" s="380">
        <v>147054.39999999999</v>
      </c>
      <c r="Z90" s="380">
        <v>62021.25</v>
      </c>
      <c r="AA90" s="378"/>
      <c r="AB90" s="376" t="s">
        <v>45</v>
      </c>
      <c r="AC90" s="376" t="s">
        <v>45</v>
      </c>
      <c r="AD90" s="378"/>
      <c r="AE90" s="378"/>
      <c r="AF90" s="378"/>
      <c r="AG90" s="378"/>
      <c r="AH90" s="379">
        <v>0</v>
      </c>
      <c r="AI90" s="379">
        <v>0</v>
      </c>
      <c r="AJ90" s="378"/>
      <c r="AK90" s="378"/>
      <c r="AL90" s="376" t="s">
        <v>170</v>
      </c>
      <c r="AM90" s="378"/>
      <c r="AN90" s="378"/>
      <c r="AO90" s="379">
        <v>0</v>
      </c>
      <c r="AP90" s="384">
        <v>0</v>
      </c>
      <c r="AQ90" s="384">
        <v>0</v>
      </c>
      <c r="AR90" s="383"/>
      <c r="AS90" s="386">
        <f t="shared" si="98"/>
        <v>0</v>
      </c>
      <c r="AT90">
        <f t="shared" si="99"/>
        <v>0</v>
      </c>
      <c r="AU90" s="386" t="str">
        <f>IF(AT90=0,"",IF(AND(AT90=1,M90="F",SUMIF(C2:C167,C90,AS2:AS167)&lt;=1),SUMIF(C2:C167,C90,AS2:AS167),IF(AND(AT90=1,M90="F",SUMIF(C2:C167,C90,AS2:AS167)&gt;1),1,"")))</f>
        <v/>
      </c>
      <c r="AV90" s="386" t="str">
        <f>IF(AT90=0,"",IF(AND(AT90=3,M90="F",SUMIF(C2:C167,C90,AS2:AS167)&lt;=1),SUMIF(C2:C167,C90,AS2:AS167),IF(AND(AT90=3,M90="F",SUMIF(C2:C167,C90,AS2:AS167)&gt;1),1,"")))</f>
        <v/>
      </c>
      <c r="AW90" s="386">
        <f>SUMIF(C2:C167,C90,O2:O167)</f>
        <v>0</v>
      </c>
      <c r="AX90" s="386">
        <f>IF(AND(M90="F",AS90&lt;&gt;0),SUMIF(C2:C167,C90,W2:W167),0)</f>
        <v>0</v>
      </c>
      <c r="AY90" s="386" t="str">
        <f t="shared" si="100"/>
        <v/>
      </c>
      <c r="AZ90" s="386" t="str">
        <f t="shared" si="101"/>
        <v/>
      </c>
      <c r="BA90" s="386">
        <f t="shared" si="102"/>
        <v>0</v>
      </c>
      <c r="BB90" s="386">
        <f t="shared" si="71"/>
        <v>0</v>
      </c>
      <c r="BC90" s="386">
        <f t="shared" si="72"/>
        <v>0</v>
      </c>
      <c r="BD90" s="386">
        <f t="shared" si="73"/>
        <v>0</v>
      </c>
      <c r="BE90" s="386">
        <f t="shared" si="74"/>
        <v>0</v>
      </c>
      <c r="BF90" s="386">
        <f t="shared" si="75"/>
        <v>0</v>
      </c>
      <c r="BG90" s="386">
        <f t="shared" si="76"/>
        <v>0</v>
      </c>
      <c r="BH90" s="386">
        <f t="shared" si="77"/>
        <v>0</v>
      </c>
      <c r="BI90" s="386">
        <f t="shared" si="78"/>
        <v>0</v>
      </c>
      <c r="BJ90" s="386">
        <f t="shared" si="79"/>
        <v>0</v>
      </c>
      <c r="BK90" s="386">
        <f t="shared" si="80"/>
        <v>0</v>
      </c>
      <c r="BL90" s="386">
        <f t="shared" si="103"/>
        <v>0</v>
      </c>
      <c r="BM90" s="386">
        <f t="shared" si="104"/>
        <v>0</v>
      </c>
      <c r="BN90" s="386">
        <f t="shared" si="81"/>
        <v>0</v>
      </c>
      <c r="BO90" s="386">
        <f t="shared" si="82"/>
        <v>0</v>
      </c>
      <c r="BP90" s="386">
        <f t="shared" si="83"/>
        <v>0</v>
      </c>
      <c r="BQ90" s="386">
        <f t="shared" si="84"/>
        <v>0</v>
      </c>
      <c r="BR90" s="386">
        <f t="shared" si="85"/>
        <v>0</v>
      </c>
      <c r="BS90" s="386">
        <f t="shared" si="86"/>
        <v>0</v>
      </c>
      <c r="BT90" s="386">
        <f t="shared" si="87"/>
        <v>0</v>
      </c>
      <c r="BU90" s="386">
        <f t="shared" si="88"/>
        <v>0</v>
      </c>
      <c r="BV90" s="386">
        <f t="shared" si="89"/>
        <v>0</v>
      </c>
      <c r="BW90" s="386">
        <f t="shared" si="90"/>
        <v>0</v>
      </c>
      <c r="BX90" s="386">
        <f t="shared" si="105"/>
        <v>0</v>
      </c>
      <c r="BY90" s="386">
        <f t="shared" si="106"/>
        <v>0</v>
      </c>
      <c r="BZ90" s="386">
        <f t="shared" si="107"/>
        <v>0</v>
      </c>
      <c r="CA90" s="386">
        <f t="shared" si="108"/>
        <v>0</v>
      </c>
      <c r="CB90" s="386">
        <f t="shared" si="109"/>
        <v>0</v>
      </c>
      <c r="CC90" s="386">
        <f t="shared" si="91"/>
        <v>0</v>
      </c>
      <c r="CD90" s="386">
        <f t="shared" si="92"/>
        <v>0</v>
      </c>
      <c r="CE90" s="386">
        <f t="shared" si="93"/>
        <v>0</v>
      </c>
      <c r="CF90" s="386">
        <f t="shared" si="94"/>
        <v>0</v>
      </c>
      <c r="CG90" s="386">
        <f t="shared" si="95"/>
        <v>0</v>
      </c>
      <c r="CH90" s="386">
        <f t="shared" si="96"/>
        <v>0</v>
      </c>
      <c r="CI90" s="386">
        <f t="shared" si="97"/>
        <v>0</v>
      </c>
      <c r="CJ90" s="386">
        <f t="shared" si="110"/>
        <v>0</v>
      </c>
      <c r="CK90" s="386" t="str">
        <f t="shared" si="111"/>
        <v/>
      </c>
      <c r="CL90" s="386">
        <f t="shared" si="112"/>
        <v>0</v>
      </c>
      <c r="CM90" s="386">
        <f t="shared" si="113"/>
        <v>0</v>
      </c>
      <c r="CN90" s="386" t="str">
        <f t="shared" si="114"/>
        <v>0001-00</v>
      </c>
    </row>
    <row r="91" spans="1:92" ht="15.75" thickBot="1" x14ac:dyDescent="0.3">
      <c r="A91" s="376" t="s">
        <v>161</v>
      </c>
      <c r="B91" s="376" t="s">
        <v>162</v>
      </c>
      <c r="C91" s="376" t="s">
        <v>394</v>
      </c>
      <c r="D91" s="376" t="s">
        <v>395</v>
      </c>
      <c r="E91" s="376" t="s">
        <v>165</v>
      </c>
      <c r="F91" s="377" t="s">
        <v>166</v>
      </c>
      <c r="G91" s="376" t="s">
        <v>460</v>
      </c>
      <c r="H91" s="378"/>
      <c r="I91" s="378"/>
      <c r="J91" s="376" t="s">
        <v>168</v>
      </c>
      <c r="K91" s="376" t="s">
        <v>396</v>
      </c>
      <c r="L91" s="376" t="s">
        <v>166</v>
      </c>
      <c r="M91" s="376" t="s">
        <v>171</v>
      </c>
      <c r="N91" s="376" t="s">
        <v>172</v>
      </c>
      <c r="O91" s="379">
        <v>1</v>
      </c>
      <c r="P91" s="384">
        <v>1</v>
      </c>
      <c r="Q91" s="384">
        <v>1</v>
      </c>
      <c r="R91" s="380">
        <v>80</v>
      </c>
      <c r="S91" s="384">
        <v>1</v>
      </c>
      <c r="T91" s="380">
        <v>36679.99</v>
      </c>
      <c r="U91" s="380">
        <v>59.78</v>
      </c>
      <c r="V91" s="380">
        <v>16878.32</v>
      </c>
      <c r="W91" s="380">
        <v>44200</v>
      </c>
      <c r="X91" s="380">
        <v>20936.86</v>
      </c>
      <c r="Y91" s="380">
        <v>44200</v>
      </c>
      <c r="Z91" s="380">
        <v>20707.02</v>
      </c>
      <c r="AA91" s="376" t="s">
        <v>397</v>
      </c>
      <c r="AB91" s="376" t="s">
        <v>398</v>
      </c>
      <c r="AC91" s="376" t="s">
        <v>399</v>
      </c>
      <c r="AD91" s="376" t="s">
        <v>298</v>
      </c>
      <c r="AE91" s="376" t="s">
        <v>396</v>
      </c>
      <c r="AF91" s="376" t="s">
        <v>177</v>
      </c>
      <c r="AG91" s="376" t="s">
        <v>178</v>
      </c>
      <c r="AH91" s="381">
        <v>21.25</v>
      </c>
      <c r="AI91" s="381">
        <v>6584.1</v>
      </c>
      <c r="AJ91" s="376" t="s">
        <v>179</v>
      </c>
      <c r="AK91" s="376" t="s">
        <v>180</v>
      </c>
      <c r="AL91" s="376" t="s">
        <v>170</v>
      </c>
      <c r="AM91" s="376" t="s">
        <v>181</v>
      </c>
      <c r="AN91" s="376" t="s">
        <v>68</v>
      </c>
      <c r="AO91" s="379">
        <v>80</v>
      </c>
      <c r="AP91" s="384">
        <v>1</v>
      </c>
      <c r="AQ91" s="384">
        <v>1</v>
      </c>
      <c r="AR91" s="382" t="s">
        <v>182</v>
      </c>
      <c r="AS91" s="386">
        <f t="shared" si="98"/>
        <v>1</v>
      </c>
      <c r="AT91">
        <f t="shared" si="99"/>
        <v>1</v>
      </c>
      <c r="AU91" s="386">
        <f>IF(AT91=0,"",IF(AND(AT91=1,M91="F",SUMIF(C2:C167,C91,AS2:AS167)&lt;=1),SUMIF(C2:C167,C91,AS2:AS167),IF(AND(AT91=1,M91="F",SUMIF(C2:C167,C91,AS2:AS167)&gt;1),1,"")))</f>
        <v>1</v>
      </c>
      <c r="AV91" s="386" t="str">
        <f>IF(AT91=0,"",IF(AND(AT91=3,M91="F",SUMIF(C2:C167,C91,AS2:AS167)&lt;=1),SUMIF(C2:C167,C91,AS2:AS167),IF(AND(AT91=3,M91="F",SUMIF(C2:C167,C91,AS2:AS167)&gt;1),1,"")))</f>
        <v/>
      </c>
      <c r="AW91" s="386">
        <f>SUMIF(C2:C167,C91,O2:O167)</f>
        <v>2</v>
      </c>
      <c r="AX91" s="386">
        <f>IF(AND(M91="F",AS91&lt;&gt;0),SUMIF(C2:C167,C91,W2:W167),0)</f>
        <v>44200</v>
      </c>
      <c r="AY91" s="386">
        <f t="shared" si="100"/>
        <v>44200</v>
      </c>
      <c r="AZ91" s="386" t="str">
        <f t="shared" si="101"/>
        <v/>
      </c>
      <c r="BA91" s="386">
        <f t="shared" si="102"/>
        <v>0</v>
      </c>
      <c r="BB91" s="386">
        <f t="shared" si="71"/>
        <v>11650</v>
      </c>
      <c r="BC91" s="386">
        <f t="shared" si="72"/>
        <v>0</v>
      </c>
      <c r="BD91" s="386">
        <f t="shared" si="73"/>
        <v>2740.4</v>
      </c>
      <c r="BE91" s="386">
        <f t="shared" si="74"/>
        <v>640.9</v>
      </c>
      <c r="BF91" s="386">
        <f t="shared" si="75"/>
        <v>5277.4800000000005</v>
      </c>
      <c r="BG91" s="386">
        <f t="shared" si="76"/>
        <v>318.68200000000002</v>
      </c>
      <c r="BH91" s="386">
        <f t="shared" si="77"/>
        <v>216.57999999999998</v>
      </c>
      <c r="BI91" s="386">
        <f t="shared" si="78"/>
        <v>0</v>
      </c>
      <c r="BJ91" s="386">
        <f t="shared" si="79"/>
        <v>92.82</v>
      </c>
      <c r="BK91" s="386">
        <f t="shared" si="80"/>
        <v>0</v>
      </c>
      <c r="BL91" s="386">
        <f t="shared" si="103"/>
        <v>9286.862000000001</v>
      </c>
      <c r="BM91" s="386">
        <f t="shared" si="104"/>
        <v>0</v>
      </c>
      <c r="BN91" s="386">
        <f t="shared" si="81"/>
        <v>11650</v>
      </c>
      <c r="BO91" s="386">
        <f t="shared" si="82"/>
        <v>0</v>
      </c>
      <c r="BP91" s="386">
        <f t="shared" si="83"/>
        <v>2740.4</v>
      </c>
      <c r="BQ91" s="386">
        <f t="shared" si="84"/>
        <v>640.9</v>
      </c>
      <c r="BR91" s="386">
        <f t="shared" si="85"/>
        <v>5277.4800000000005</v>
      </c>
      <c r="BS91" s="386">
        <f t="shared" si="86"/>
        <v>318.68200000000002</v>
      </c>
      <c r="BT91" s="386">
        <f t="shared" si="87"/>
        <v>0</v>
      </c>
      <c r="BU91" s="386">
        <f t="shared" si="88"/>
        <v>0</v>
      </c>
      <c r="BV91" s="386">
        <f t="shared" si="89"/>
        <v>79.56</v>
      </c>
      <c r="BW91" s="386">
        <f t="shared" si="90"/>
        <v>0</v>
      </c>
      <c r="BX91" s="386">
        <f t="shared" si="105"/>
        <v>9057.0220000000008</v>
      </c>
      <c r="BY91" s="386">
        <f t="shared" si="106"/>
        <v>0</v>
      </c>
      <c r="BZ91" s="386">
        <f t="shared" si="107"/>
        <v>0</v>
      </c>
      <c r="CA91" s="386">
        <f t="shared" si="108"/>
        <v>0</v>
      </c>
      <c r="CB91" s="386">
        <f t="shared" si="109"/>
        <v>0</v>
      </c>
      <c r="CC91" s="386">
        <f t="shared" si="91"/>
        <v>0</v>
      </c>
      <c r="CD91" s="386">
        <f t="shared" si="92"/>
        <v>0</v>
      </c>
      <c r="CE91" s="386">
        <f t="shared" si="93"/>
        <v>0</v>
      </c>
      <c r="CF91" s="386">
        <f t="shared" si="94"/>
        <v>-216.57999999999998</v>
      </c>
      <c r="CG91" s="386">
        <f t="shared" si="95"/>
        <v>0</v>
      </c>
      <c r="CH91" s="386">
        <f t="shared" si="96"/>
        <v>-13.259999999999996</v>
      </c>
      <c r="CI91" s="386">
        <f t="shared" si="97"/>
        <v>0</v>
      </c>
      <c r="CJ91" s="386">
        <f t="shared" si="110"/>
        <v>-229.83999999999997</v>
      </c>
      <c r="CK91" s="386" t="str">
        <f t="shared" si="111"/>
        <v/>
      </c>
      <c r="CL91" s="386" t="str">
        <f t="shared" si="112"/>
        <v/>
      </c>
      <c r="CM91" s="386" t="str">
        <f t="shared" si="113"/>
        <v/>
      </c>
      <c r="CN91" s="386" t="str">
        <f t="shared" si="114"/>
        <v>0001-00</v>
      </c>
    </row>
    <row r="92" spans="1:92" ht="15.75" thickBot="1" x14ac:dyDescent="0.3">
      <c r="A92" s="376" t="s">
        <v>161</v>
      </c>
      <c r="B92" s="376" t="s">
        <v>162</v>
      </c>
      <c r="C92" s="376" t="s">
        <v>252</v>
      </c>
      <c r="D92" s="376" t="s">
        <v>253</v>
      </c>
      <c r="E92" s="376" t="s">
        <v>165</v>
      </c>
      <c r="F92" s="377" t="s">
        <v>166</v>
      </c>
      <c r="G92" s="376" t="s">
        <v>460</v>
      </c>
      <c r="H92" s="378"/>
      <c r="I92" s="378"/>
      <c r="J92" s="376" t="s">
        <v>185</v>
      </c>
      <c r="K92" s="376" t="s">
        <v>254</v>
      </c>
      <c r="L92" s="376" t="s">
        <v>166</v>
      </c>
      <c r="M92" s="376" t="s">
        <v>171</v>
      </c>
      <c r="N92" s="376" t="s">
        <v>172</v>
      </c>
      <c r="O92" s="379">
        <v>1</v>
      </c>
      <c r="P92" s="384">
        <v>0.05</v>
      </c>
      <c r="Q92" s="384">
        <v>0.05</v>
      </c>
      <c r="R92" s="380">
        <v>80</v>
      </c>
      <c r="S92" s="384">
        <v>0.05</v>
      </c>
      <c r="T92" s="380">
        <v>6618.93</v>
      </c>
      <c r="U92" s="380">
        <v>0</v>
      </c>
      <c r="V92" s="380">
        <v>1920.15</v>
      </c>
      <c r="W92" s="380">
        <v>6674.72</v>
      </c>
      <c r="X92" s="380">
        <v>1984.92</v>
      </c>
      <c r="Y92" s="380">
        <v>6674.72</v>
      </c>
      <c r="Z92" s="380">
        <v>1950.21</v>
      </c>
      <c r="AA92" s="376" t="s">
        <v>255</v>
      </c>
      <c r="AB92" s="376" t="s">
        <v>256</v>
      </c>
      <c r="AC92" s="376" t="s">
        <v>257</v>
      </c>
      <c r="AD92" s="376" t="s">
        <v>211</v>
      </c>
      <c r="AE92" s="376" t="s">
        <v>254</v>
      </c>
      <c r="AF92" s="376" t="s">
        <v>177</v>
      </c>
      <c r="AG92" s="376" t="s">
        <v>178</v>
      </c>
      <c r="AH92" s="381">
        <v>64.180000000000007</v>
      </c>
      <c r="AI92" s="381">
        <v>19898.7</v>
      </c>
      <c r="AJ92" s="376" t="s">
        <v>179</v>
      </c>
      <c r="AK92" s="376" t="s">
        <v>180</v>
      </c>
      <c r="AL92" s="376" t="s">
        <v>170</v>
      </c>
      <c r="AM92" s="376" t="s">
        <v>181</v>
      </c>
      <c r="AN92" s="376" t="s">
        <v>68</v>
      </c>
      <c r="AO92" s="379">
        <v>80</v>
      </c>
      <c r="AP92" s="384">
        <v>1</v>
      </c>
      <c r="AQ92" s="384">
        <v>0.05</v>
      </c>
      <c r="AR92" s="382" t="s">
        <v>182</v>
      </c>
      <c r="AS92" s="386">
        <f t="shared" si="98"/>
        <v>0.05</v>
      </c>
      <c r="AT92">
        <f t="shared" si="99"/>
        <v>1</v>
      </c>
      <c r="AU92" s="386">
        <f>IF(AT92=0,"",IF(AND(AT92=1,M92="F",SUMIF(C2:C167,C92,AS2:AS167)&lt;=1),SUMIF(C2:C167,C92,AS2:AS167),IF(AND(AT92=1,M92="F",SUMIF(C2:C167,C92,AS2:AS167)&gt;1),1,"")))</f>
        <v>1</v>
      </c>
      <c r="AV92" s="386" t="str">
        <f>IF(AT92=0,"",IF(AND(AT92=3,M92="F",SUMIF(C2:C167,C92,AS2:AS167)&lt;=1),SUMIF(C2:C167,C92,AS2:AS167),IF(AND(AT92=3,M92="F",SUMIF(C2:C167,C92,AS2:AS167)&gt;1),1,"")))</f>
        <v/>
      </c>
      <c r="AW92" s="386">
        <f>SUMIF(C2:C167,C92,O2:O167)</f>
        <v>4</v>
      </c>
      <c r="AX92" s="386">
        <f>IF(AND(M92="F",AS92&lt;&gt;0),SUMIF(C2:C167,C92,W2:W167),0)</f>
        <v>133494.39999999999</v>
      </c>
      <c r="AY92" s="386">
        <f t="shared" si="100"/>
        <v>6674.72</v>
      </c>
      <c r="AZ92" s="386" t="str">
        <f t="shared" si="101"/>
        <v/>
      </c>
      <c r="BA92" s="386">
        <f t="shared" si="102"/>
        <v>0</v>
      </c>
      <c r="BB92" s="386">
        <f t="shared" si="71"/>
        <v>582.5</v>
      </c>
      <c r="BC92" s="386">
        <f t="shared" si="72"/>
        <v>0</v>
      </c>
      <c r="BD92" s="386">
        <f t="shared" si="73"/>
        <v>413.83264000000003</v>
      </c>
      <c r="BE92" s="386">
        <f t="shared" si="74"/>
        <v>96.783440000000013</v>
      </c>
      <c r="BF92" s="386">
        <f t="shared" si="75"/>
        <v>796.96156800000006</v>
      </c>
      <c r="BG92" s="386">
        <f t="shared" si="76"/>
        <v>48.124731200000006</v>
      </c>
      <c r="BH92" s="386">
        <f t="shared" si="77"/>
        <v>32.706128</v>
      </c>
      <c r="BI92" s="386">
        <f t="shared" si="78"/>
        <v>0</v>
      </c>
      <c r="BJ92" s="386">
        <f t="shared" si="79"/>
        <v>14.016912</v>
      </c>
      <c r="BK92" s="386">
        <f t="shared" si="80"/>
        <v>0</v>
      </c>
      <c r="BL92" s="386">
        <f t="shared" si="103"/>
        <v>1402.4254192000001</v>
      </c>
      <c r="BM92" s="386">
        <f t="shared" si="104"/>
        <v>0</v>
      </c>
      <c r="BN92" s="386">
        <f t="shared" si="81"/>
        <v>582.5</v>
      </c>
      <c r="BO92" s="386">
        <f t="shared" si="82"/>
        <v>0</v>
      </c>
      <c r="BP92" s="386">
        <f t="shared" si="83"/>
        <v>413.83264000000003</v>
      </c>
      <c r="BQ92" s="386">
        <f t="shared" si="84"/>
        <v>96.783440000000013</v>
      </c>
      <c r="BR92" s="386">
        <f t="shared" si="85"/>
        <v>796.96156800000006</v>
      </c>
      <c r="BS92" s="386">
        <f t="shared" si="86"/>
        <v>48.124731200000006</v>
      </c>
      <c r="BT92" s="386">
        <f t="shared" si="87"/>
        <v>0</v>
      </c>
      <c r="BU92" s="386">
        <f t="shared" si="88"/>
        <v>0</v>
      </c>
      <c r="BV92" s="386">
        <f t="shared" si="89"/>
        <v>12.014495999999999</v>
      </c>
      <c r="BW92" s="386">
        <f t="shared" si="90"/>
        <v>0</v>
      </c>
      <c r="BX92" s="386">
        <f t="shared" si="105"/>
        <v>1367.7168752</v>
      </c>
      <c r="BY92" s="386">
        <f t="shared" si="106"/>
        <v>0</v>
      </c>
      <c r="BZ92" s="386">
        <f t="shared" si="107"/>
        <v>0</v>
      </c>
      <c r="CA92" s="386">
        <f t="shared" si="108"/>
        <v>0</v>
      </c>
      <c r="CB92" s="386">
        <f t="shared" si="109"/>
        <v>0</v>
      </c>
      <c r="CC92" s="386">
        <f t="shared" si="91"/>
        <v>0</v>
      </c>
      <c r="CD92" s="386">
        <f t="shared" si="92"/>
        <v>0</v>
      </c>
      <c r="CE92" s="386">
        <f t="shared" si="93"/>
        <v>0</v>
      </c>
      <c r="CF92" s="386">
        <f t="shared" si="94"/>
        <v>-32.706128</v>
      </c>
      <c r="CG92" s="386">
        <f t="shared" si="95"/>
        <v>0</v>
      </c>
      <c r="CH92" s="386">
        <f t="shared" si="96"/>
        <v>-2.0024159999999998</v>
      </c>
      <c r="CI92" s="386">
        <f t="shared" si="97"/>
        <v>0</v>
      </c>
      <c r="CJ92" s="386">
        <f t="shared" si="110"/>
        <v>-34.708543999999996</v>
      </c>
      <c r="CK92" s="386" t="str">
        <f t="shared" si="111"/>
        <v/>
      </c>
      <c r="CL92" s="386" t="str">
        <f t="shared" si="112"/>
        <v/>
      </c>
      <c r="CM92" s="386" t="str">
        <f t="shared" si="113"/>
        <v/>
      </c>
      <c r="CN92" s="386" t="str">
        <f t="shared" si="114"/>
        <v>0001-00</v>
      </c>
    </row>
    <row r="93" spans="1:92" ht="15.75" thickBot="1" x14ac:dyDescent="0.3">
      <c r="A93" s="376" t="s">
        <v>161</v>
      </c>
      <c r="B93" s="376" t="s">
        <v>162</v>
      </c>
      <c r="C93" s="376" t="s">
        <v>271</v>
      </c>
      <c r="D93" s="376" t="s">
        <v>272</v>
      </c>
      <c r="E93" s="376" t="s">
        <v>165</v>
      </c>
      <c r="F93" s="377" t="s">
        <v>166</v>
      </c>
      <c r="G93" s="376" t="s">
        <v>460</v>
      </c>
      <c r="H93" s="378"/>
      <c r="I93" s="378"/>
      <c r="J93" s="376" t="s">
        <v>185</v>
      </c>
      <c r="K93" s="376" t="s">
        <v>273</v>
      </c>
      <c r="L93" s="376" t="s">
        <v>187</v>
      </c>
      <c r="M93" s="376" t="s">
        <v>171</v>
      </c>
      <c r="N93" s="376" t="s">
        <v>172</v>
      </c>
      <c r="O93" s="379">
        <v>1</v>
      </c>
      <c r="P93" s="384">
        <v>0.05</v>
      </c>
      <c r="Q93" s="384">
        <v>0.05</v>
      </c>
      <c r="R93" s="380">
        <v>80</v>
      </c>
      <c r="S93" s="384">
        <v>0.05</v>
      </c>
      <c r="T93" s="380">
        <v>4646.63</v>
      </c>
      <c r="U93" s="380">
        <v>0</v>
      </c>
      <c r="V93" s="380">
        <v>1471.19</v>
      </c>
      <c r="W93" s="380">
        <v>4791.28</v>
      </c>
      <c r="X93" s="380">
        <v>1589.19</v>
      </c>
      <c r="Y93" s="380">
        <v>4791.28</v>
      </c>
      <c r="Z93" s="380">
        <v>1564.28</v>
      </c>
      <c r="AA93" s="376" t="s">
        <v>274</v>
      </c>
      <c r="AB93" s="376" t="s">
        <v>275</v>
      </c>
      <c r="AC93" s="376" t="s">
        <v>197</v>
      </c>
      <c r="AD93" s="376" t="s">
        <v>198</v>
      </c>
      <c r="AE93" s="376" t="s">
        <v>273</v>
      </c>
      <c r="AF93" s="376" t="s">
        <v>177</v>
      </c>
      <c r="AG93" s="376" t="s">
        <v>178</v>
      </c>
      <c r="AH93" s="381">
        <v>46.07</v>
      </c>
      <c r="AI93" s="381">
        <v>19869.7</v>
      </c>
      <c r="AJ93" s="376" t="s">
        <v>179</v>
      </c>
      <c r="AK93" s="376" t="s">
        <v>180</v>
      </c>
      <c r="AL93" s="376" t="s">
        <v>170</v>
      </c>
      <c r="AM93" s="376" t="s">
        <v>181</v>
      </c>
      <c r="AN93" s="376" t="s">
        <v>68</v>
      </c>
      <c r="AO93" s="379">
        <v>80</v>
      </c>
      <c r="AP93" s="384">
        <v>1</v>
      </c>
      <c r="AQ93" s="384">
        <v>0.05</v>
      </c>
      <c r="AR93" s="382" t="s">
        <v>182</v>
      </c>
      <c r="AS93" s="386">
        <f t="shared" si="98"/>
        <v>0.05</v>
      </c>
      <c r="AT93">
        <f t="shared" si="99"/>
        <v>1</v>
      </c>
      <c r="AU93" s="386">
        <f>IF(AT93=0,"",IF(AND(AT93=1,M93="F",SUMIF(C2:C167,C93,AS2:AS167)&lt;=1),SUMIF(C2:C167,C93,AS2:AS167),IF(AND(AT93=1,M93="F",SUMIF(C2:C167,C93,AS2:AS167)&gt;1),1,"")))</f>
        <v>1</v>
      </c>
      <c r="AV93" s="386" t="str">
        <f>IF(AT93=0,"",IF(AND(AT93=3,M93="F",SUMIF(C2:C167,C93,AS2:AS167)&lt;=1),SUMIF(C2:C167,C93,AS2:AS167),IF(AND(AT93=3,M93="F",SUMIF(C2:C167,C93,AS2:AS167)&gt;1),1,"")))</f>
        <v/>
      </c>
      <c r="AW93" s="386">
        <f>SUMIF(C2:C167,C93,O2:O167)</f>
        <v>5</v>
      </c>
      <c r="AX93" s="386">
        <f>IF(AND(M93="F",AS93&lt;&gt;0),SUMIF(C2:C167,C93,W2:W167),0)</f>
        <v>95825.599999999991</v>
      </c>
      <c r="AY93" s="386">
        <f t="shared" si="100"/>
        <v>4791.28</v>
      </c>
      <c r="AZ93" s="386" t="str">
        <f t="shared" si="101"/>
        <v/>
      </c>
      <c r="BA93" s="386">
        <f t="shared" si="102"/>
        <v>0</v>
      </c>
      <c r="BB93" s="386">
        <f t="shared" si="71"/>
        <v>582.5</v>
      </c>
      <c r="BC93" s="386">
        <f t="shared" si="72"/>
        <v>0</v>
      </c>
      <c r="BD93" s="386">
        <f t="shared" si="73"/>
        <v>297.05935999999997</v>
      </c>
      <c r="BE93" s="386">
        <f t="shared" si="74"/>
        <v>69.473560000000006</v>
      </c>
      <c r="BF93" s="386">
        <f t="shared" si="75"/>
        <v>572.07883200000003</v>
      </c>
      <c r="BG93" s="386">
        <f t="shared" si="76"/>
        <v>34.545128800000001</v>
      </c>
      <c r="BH93" s="386">
        <f t="shared" si="77"/>
        <v>23.477271999999999</v>
      </c>
      <c r="BI93" s="386">
        <f t="shared" si="78"/>
        <v>0</v>
      </c>
      <c r="BJ93" s="386">
        <f t="shared" si="79"/>
        <v>10.061687999999998</v>
      </c>
      <c r="BK93" s="386">
        <f t="shared" si="80"/>
        <v>0</v>
      </c>
      <c r="BL93" s="386">
        <f t="shared" si="103"/>
        <v>1006.6958408</v>
      </c>
      <c r="BM93" s="386">
        <f t="shared" si="104"/>
        <v>0</v>
      </c>
      <c r="BN93" s="386">
        <f t="shared" si="81"/>
        <v>582.5</v>
      </c>
      <c r="BO93" s="386">
        <f t="shared" si="82"/>
        <v>0</v>
      </c>
      <c r="BP93" s="386">
        <f t="shared" si="83"/>
        <v>297.05935999999997</v>
      </c>
      <c r="BQ93" s="386">
        <f t="shared" si="84"/>
        <v>69.473560000000006</v>
      </c>
      <c r="BR93" s="386">
        <f t="shared" si="85"/>
        <v>572.07883200000003</v>
      </c>
      <c r="BS93" s="386">
        <f t="shared" si="86"/>
        <v>34.545128800000001</v>
      </c>
      <c r="BT93" s="386">
        <f t="shared" si="87"/>
        <v>0</v>
      </c>
      <c r="BU93" s="386">
        <f t="shared" si="88"/>
        <v>0</v>
      </c>
      <c r="BV93" s="386">
        <f t="shared" si="89"/>
        <v>8.6243039999999986</v>
      </c>
      <c r="BW93" s="386">
        <f t="shared" si="90"/>
        <v>0</v>
      </c>
      <c r="BX93" s="386">
        <f t="shared" si="105"/>
        <v>981.78118480000012</v>
      </c>
      <c r="BY93" s="386">
        <f t="shared" si="106"/>
        <v>0</v>
      </c>
      <c r="BZ93" s="386">
        <f t="shared" si="107"/>
        <v>0</v>
      </c>
      <c r="CA93" s="386">
        <f t="shared" si="108"/>
        <v>0</v>
      </c>
      <c r="CB93" s="386">
        <f t="shared" si="109"/>
        <v>0</v>
      </c>
      <c r="CC93" s="386">
        <f t="shared" si="91"/>
        <v>0</v>
      </c>
      <c r="CD93" s="386">
        <f t="shared" si="92"/>
        <v>0</v>
      </c>
      <c r="CE93" s="386">
        <f t="shared" si="93"/>
        <v>0</v>
      </c>
      <c r="CF93" s="386">
        <f t="shared" si="94"/>
        <v>-23.477271999999999</v>
      </c>
      <c r="CG93" s="386">
        <f t="shared" si="95"/>
        <v>0</v>
      </c>
      <c r="CH93" s="386">
        <f t="shared" si="96"/>
        <v>-1.4373839999999996</v>
      </c>
      <c r="CI93" s="386">
        <f t="shared" si="97"/>
        <v>0</v>
      </c>
      <c r="CJ93" s="386">
        <f t="shared" si="110"/>
        <v>-24.914655999999997</v>
      </c>
      <c r="CK93" s="386" t="str">
        <f t="shared" si="111"/>
        <v/>
      </c>
      <c r="CL93" s="386" t="str">
        <f t="shared" si="112"/>
        <v/>
      </c>
      <c r="CM93" s="386" t="str">
        <f t="shared" si="113"/>
        <v/>
      </c>
      <c r="CN93" s="386" t="str">
        <f t="shared" si="114"/>
        <v>0001-00</v>
      </c>
    </row>
    <row r="94" spans="1:92" ht="15.75" thickBot="1" x14ac:dyDescent="0.3">
      <c r="A94" s="376" t="s">
        <v>161</v>
      </c>
      <c r="B94" s="376" t="s">
        <v>162</v>
      </c>
      <c r="C94" s="376" t="s">
        <v>267</v>
      </c>
      <c r="D94" s="376" t="s">
        <v>268</v>
      </c>
      <c r="E94" s="376" t="s">
        <v>165</v>
      </c>
      <c r="F94" s="377" t="s">
        <v>166</v>
      </c>
      <c r="G94" s="376" t="s">
        <v>460</v>
      </c>
      <c r="H94" s="378"/>
      <c r="I94" s="378"/>
      <c r="J94" s="376" t="s">
        <v>168</v>
      </c>
      <c r="K94" s="376" t="s">
        <v>269</v>
      </c>
      <c r="L94" s="376" t="s">
        <v>166</v>
      </c>
      <c r="M94" s="376" t="s">
        <v>171</v>
      </c>
      <c r="N94" s="376" t="s">
        <v>270</v>
      </c>
      <c r="O94" s="379">
        <v>0</v>
      </c>
      <c r="P94" s="384">
        <v>0</v>
      </c>
      <c r="Q94" s="384">
        <v>0</v>
      </c>
      <c r="R94" s="380">
        <v>0</v>
      </c>
      <c r="S94" s="384">
        <v>0</v>
      </c>
      <c r="T94" s="380">
        <v>3165.65</v>
      </c>
      <c r="U94" s="380">
        <v>0</v>
      </c>
      <c r="V94" s="380">
        <v>1781.94</v>
      </c>
      <c r="W94" s="380">
        <v>0</v>
      </c>
      <c r="X94" s="380">
        <v>0</v>
      </c>
      <c r="Y94" s="380">
        <v>0</v>
      </c>
      <c r="Z94" s="380">
        <v>0</v>
      </c>
      <c r="AA94" s="378"/>
      <c r="AB94" s="376" t="s">
        <v>45</v>
      </c>
      <c r="AC94" s="376" t="s">
        <v>45</v>
      </c>
      <c r="AD94" s="378"/>
      <c r="AE94" s="378"/>
      <c r="AF94" s="378"/>
      <c r="AG94" s="378"/>
      <c r="AH94" s="379">
        <v>0</v>
      </c>
      <c r="AI94" s="379">
        <v>0</v>
      </c>
      <c r="AJ94" s="378"/>
      <c r="AK94" s="378"/>
      <c r="AL94" s="376" t="s">
        <v>170</v>
      </c>
      <c r="AM94" s="378"/>
      <c r="AN94" s="378"/>
      <c r="AO94" s="379">
        <v>0</v>
      </c>
      <c r="AP94" s="384">
        <v>0</v>
      </c>
      <c r="AQ94" s="384">
        <v>0</v>
      </c>
      <c r="AR94" s="383"/>
      <c r="AS94" s="386">
        <f t="shared" si="98"/>
        <v>0</v>
      </c>
      <c r="AT94">
        <f t="shared" si="99"/>
        <v>0</v>
      </c>
      <c r="AU94" s="386" t="str">
        <f>IF(AT94=0,"",IF(AND(AT94=1,M94="F",SUMIF(C2:C167,C94,AS2:AS167)&lt;=1),SUMIF(C2:C167,C94,AS2:AS167),IF(AND(AT94=1,M94="F",SUMIF(C2:C167,C94,AS2:AS167)&gt;1),1,"")))</f>
        <v/>
      </c>
      <c r="AV94" s="386" t="str">
        <f>IF(AT94=0,"",IF(AND(AT94=3,M94="F",SUMIF(C2:C167,C94,AS2:AS167)&lt;=1),SUMIF(C2:C167,C94,AS2:AS167),IF(AND(AT94=3,M94="F",SUMIF(C2:C167,C94,AS2:AS167)&gt;1),1,"")))</f>
        <v/>
      </c>
      <c r="AW94" s="386">
        <f>SUMIF(C2:C167,C94,O2:O167)</f>
        <v>0</v>
      </c>
      <c r="AX94" s="386">
        <f>IF(AND(M94="F",AS94&lt;&gt;0),SUMIF(C2:C167,C94,W2:W167),0)</f>
        <v>0</v>
      </c>
      <c r="AY94" s="386" t="str">
        <f t="shared" si="100"/>
        <v/>
      </c>
      <c r="AZ94" s="386" t="str">
        <f t="shared" si="101"/>
        <v/>
      </c>
      <c r="BA94" s="386">
        <f t="shared" si="102"/>
        <v>0</v>
      </c>
      <c r="BB94" s="386">
        <f t="shared" si="71"/>
        <v>0</v>
      </c>
      <c r="BC94" s="386">
        <f t="shared" si="72"/>
        <v>0</v>
      </c>
      <c r="BD94" s="386">
        <f t="shared" si="73"/>
        <v>0</v>
      </c>
      <c r="BE94" s="386">
        <f t="shared" si="74"/>
        <v>0</v>
      </c>
      <c r="BF94" s="386">
        <f t="shared" si="75"/>
        <v>0</v>
      </c>
      <c r="BG94" s="386">
        <f t="shared" si="76"/>
        <v>0</v>
      </c>
      <c r="BH94" s="386">
        <f t="shared" si="77"/>
        <v>0</v>
      </c>
      <c r="BI94" s="386">
        <f t="shared" si="78"/>
        <v>0</v>
      </c>
      <c r="BJ94" s="386">
        <f t="shared" si="79"/>
        <v>0</v>
      </c>
      <c r="BK94" s="386">
        <f t="shared" si="80"/>
        <v>0</v>
      </c>
      <c r="BL94" s="386">
        <f t="shared" si="103"/>
        <v>0</v>
      </c>
      <c r="BM94" s="386">
        <f t="shared" si="104"/>
        <v>0</v>
      </c>
      <c r="BN94" s="386">
        <f t="shared" si="81"/>
        <v>0</v>
      </c>
      <c r="BO94" s="386">
        <f t="shared" si="82"/>
        <v>0</v>
      </c>
      <c r="BP94" s="386">
        <f t="shared" si="83"/>
        <v>0</v>
      </c>
      <c r="BQ94" s="386">
        <f t="shared" si="84"/>
        <v>0</v>
      </c>
      <c r="BR94" s="386">
        <f t="shared" si="85"/>
        <v>0</v>
      </c>
      <c r="BS94" s="386">
        <f t="shared" si="86"/>
        <v>0</v>
      </c>
      <c r="BT94" s="386">
        <f t="shared" si="87"/>
        <v>0</v>
      </c>
      <c r="BU94" s="386">
        <f t="shared" si="88"/>
        <v>0</v>
      </c>
      <c r="BV94" s="386">
        <f t="shared" si="89"/>
        <v>0</v>
      </c>
      <c r="BW94" s="386">
        <f t="shared" si="90"/>
        <v>0</v>
      </c>
      <c r="BX94" s="386">
        <f t="shared" si="105"/>
        <v>0</v>
      </c>
      <c r="BY94" s="386">
        <f t="shared" si="106"/>
        <v>0</v>
      </c>
      <c r="BZ94" s="386">
        <f t="shared" si="107"/>
        <v>0</v>
      </c>
      <c r="CA94" s="386">
        <f t="shared" si="108"/>
        <v>0</v>
      </c>
      <c r="CB94" s="386">
        <f t="shared" si="109"/>
        <v>0</v>
      </c>
      <c r="CC94" s="386">
        <f t="shared" si="91"/>
        <v>0</v>
      </c>
      <c r="CD94" s="386">
        <f t="shared" si="92"/>
        <v>0</v>
      </c>
      <c r="CE94" s="386">
        <f t="shared" si="93"/>
        <v>0</v>
      </c>
      <c r="CF94" s="386">
        <f t="shared" si="94"/>
        <v>0</v>
      </c>
      <c r="CG94" s="386">
        <f t="shared" si="95"/>
        <v>0</v>
      </c>
      <c r="CH94" s="386">
        <f t="shared" si="96"/>
        <v>0</v>
      </c>
      <c r="CI94" s="386">
        <f t="shared" si="97"/>
        <v>0</v>
      </c>
      <c r="CJ94" s="386">
        <f t="shared" si="110"/>
        <v>0</v>
      </c>
      <c r="CK94" s="386" t="str">
        <f t="shared" si="111"/>
        <v/>
      </c>
      <c r="CL94" s="386">
        <f t="shared" si="112"/>
        <v>3165.65</v>
      </c>
      <c r="CM94" s="386">
        <f t="shared" si="113"/>
        <v>1781.94</v>
      </c>
      <c r="CN94" s="386" t="str">
        <f t="shared" si="114"/>
        <v>0001-00</v>
      </c>
    </row>
    <row r="95" spans="1:92" ht="15.75" thickBot="1" x14ac:dyDescent="0.3">
      <c r="A95" s="376" t="s">
        <v>161</v>
      </c>
      <c r="B95" s="376" t="s">
        <v>162</v>
      </c>
      <c r="C95" s="376" t="s">
        <v>415</v>
      </c>
      <c r="D95" s="376" t="s">
        <v>395</v>
      </c>
      <c r="E95" s="376" t="s">
        <v>165</v>
      </c>
      <c r="F95" s="377" t="s">
        <v>166</v>
      </c>
      <c r="G95" s="376" t="s">
        <v>460</v>
      </c>
      <c r="H95" s="378"/>
      <c r="I95" s="378"/>
      <c r="J95" s="376" t="s">
        <v>168</v>
      </c>
      <c r="K95" s="376" t="s">
        <v>416</v>
      </c>
      <c r="L95" s="376" t="s">
        <v>166</v>
      </c>
      <c r="M95" s="376" t="s">
        <v>171</v>
      </c>
      <c r="N95" s="376" t="s">
        <v>172</v>
      </c>
      <c r="O95" s="379">
        <v>1</v>
      </c>
      <c r="P95" s="384">
        <v>1</v>
      </c>
      <c r="Q95" s="384">
        <v>1</v>
      </c>
      <c r="R95" s="380">
        <v>80</v>
      </c>
      <c r="S95" s="384">
        <v>1</v>
      </c>
      <c r="T95" s="380">
        <v>52790.45</v>
      </c>
      <c r="U95" s="380">
        <v>0</v>
      </c>
      <c r="V95" s="380">
        <v>22147.040000000001</v>
      </c>
      <c r="W95" s="380">
        <v>54246.400000000001</v>
      </c>
      <c r="X95" s="380">
        <v>23047.68</v>
      </c>
      <c r="Y95" s="380">
        <v>54246.400000000001</v>
      </c>
      <c r="Z95" s="380">
        <v>22765.61</v>
      </c>
      <c r="AA95" s="376" t="s">
        <v>417</v>
      </c>
      <c r="AB95" s="376" t="s">
        <v>418</v>
      </c>
      <c r="AC95" s="376" t="s">
        <v>419</v>
      </c>
      <c r="AD95" s="376" t="s">
        <v>265</v>
      </c>
      <c r="AE95" s="376" t="s">
        <v>416</v>
      </c>
      <c r="AF95" s="376" t="s">
        <v>177</v>
      </c>
      <c r="AG95" s="376" t="s">
        <v>178</v>
      </c>
      <c r="AH95" s="381">
        <v>26.08</v>
      </c>
      <c r="AI95" s="381">
        <v>15621.6</v>
      </c>
      <c r="AJ95" s="376" t="s">
        <v>179</v>
      </c>
      <c r="AK95" s="376" t="s">
        <v>180</v>
      </c>
      <c r="AL95" s="376" t="s">
        <v>170</v>
      </c>
      <c r="AM95" s="376" t="s">
        <v>181</v>
      </c>
      <c r="AN95" s="376" t="s">
        <v>68</v>
      </c>
      <c r="AO95" s="379">
        <v>80</v>
      </c>
      <c r="AP95" s="384">
        <v>1</v>
      </c>
      <c r="AQ95" s="384">
        <v>1</v>
      </c>
      <c r="AR95" s="382" t="s">
        <v>182</v>
      </c>
      <c r="AS95" s="386">
        <f t="shared" si="98"/>
        <v>1</v>
      </c>
      <c r="AT95">
        <f t="shared" si="99"/>
        <v>1</v>
      </c>
      <c r="AU95" s="386">
        <f>IF(AT95=0,"",IF(AND(AT95=1,M95="F",SUMIF(C2:C167,C95,AS2:AS167)&lt;=1),SUMIF(C2:C167,C95,AS2:AS167),IF(AND(AT95=1,M95="F",SUMIF(C2:C167,C95,AS2:AS167)&gt;1),1,"")))</f>
        <v>1</v>
      </c>
      <c r="AV95" s="386" t="str">
        <f>IF(AT95=0,"",IF(AND(AT95=3,M95="F",SUMIF(C2:C167,C95,AS2:AS167)&lt;=1),SUMIF(C2:C167,C95,AS2:AS167),IF(AND(AT95=3,M95="F",SUMIF(C2:C167,C95,AS2:AS167)&gt;1),1,"")))</f>
        <v/>
      </c>
      <c r="AW95" s="386">
        <f>SUMIF(C2:C167,C95,O2:O167)</f>
        <v>2</v>
      </c>
      <c r="AX95" s="386">
        <f>IF(AND(M95="F",AS95&lt;&gt;0),SUMIF(C2:C167,C95,W2:W167),0)</f>
        <v>54246.400000000001</v>
      </c>
      <c r="AY95" s="386">
        <f t="shared" si="100"/>
        <v>54246.400000000001</v>
      </c>
      <c r="AZ95" s="386" t="str">
        <f t="shared" si="101"/>
        <v/>
      </c>
      <c r="BA95" s="386">
        <f t="shared" si="102"/>
        <v>0</v>
      </c>
      <c r="BB95" s="386">
        <f t="shared" si="71"/>
        <v>11650</v>
      </c>
      <c r="BC95" s="386">
        <f t="shared" si="72"/>
        <v>0</v>
      </c>
      <c r="BD95" s="386">
        <f t="shared" si="73"/>
        <v>3363.2768000000001</v>
      </c>
      <c r="BE95" s="386">
        <f t="shared" si="74"/>
        <v>786.57280000000003</v>
      </c>
      <c r="BF95" s="386">
        <f t="shared" si="75"/>
        <v>6477.0201600000009</v>
      </c>
      <c r="BG95" s="386">
        <f t="shared" si="76"/>
        <v>391.11654400000003</v>
      </c>
      <c r="BH95" s="386">
        <f t="shared" si="77"/>
        <v>265.80736000000002</v>
      </c>
      <c r="BI95" s="386">
        <f t="shared" si="78"/>
        <v>0</v>
      </c>
      <c r="BJ95" s="386">
        <f t="shared" si="79"/>
        <v>113.91744</v>
      </c>
      <c r="BK95" s="386">
        <f t="shared" si="80"/>
        <v>0</v>
      </c>
      <c r="BL95" s="386">
        <f t="shared" si="103"/>
        <v>11397.711104000002</v>
      </c>
      <c r="BM95" s="386">
        <f t="shared" si="104"/>
        <v>0</v>
      </c>
      <c r="BN95" s="386">
        <f t="shared" si="81"/>
        <v>11650</v>
      </c>
      <c r="BO95" s="386">
        <f t="shared" si="82"/>
        <v>0</v>
      </c>
      <c r="BP95" s="386">
        <f t="shared" si="83"/>
        <v>3363.2768000000001</v>
      </c>
      <c r="BQ95" s="386">
        <f t="shared" si="84"/>
        <v>786.57280000000003</v>
      </c>
      <c r="BR95" s="386">
        <f t="shared" si="85"/>
        <v>6477.0201600000009</v>
      </c>
      <c r="BS95" s="386">
        <f t="shared" si="86"/>
        <v>391.11654400000003</v>
      </c>
      <c r="BT95" s="386">
        <f t="shared" si="87"/>
        <v>0</v>
      </c>
      <c r="BU95" s="386">
        <f t="shared" si="88"/>
        <v>0</v>
      </c>
      <c r="BV95" s="386">
        <f t="shared" si="89"/>
        <v>97.643519999999995</v>
      </c>
      <c r="BW95" s="386">
        <f t="shared" si="90"/>
        <v>0</v>
      </c>
      <c r="BX95" s="386">
        <f t="shared" si="105"/>
        <v>11115.629824000001</v>
      </c>
      <c r="BY95" s="386">
        <f t="shared" si="106"/>
        <v>0</v>
      </c>
      <c r="BZ95" s="386">
        <f t="shared" si="107"/>
        <v>0</v>
      </c>
      <c r="CA95" s="386">
        <f t="shared" si="108"/>
        <v>0</v>
      </c>
      <c r="CB95" s="386">
        <f t="shared" si="109"/>
        <v>0</v>
      </c>
      <c r="CC95" s="386">
        <f t="shared" si="91"/>
        <v>0</v>
      </c>
      <c r="CD95" s="386">
        <f t="shared" si="92"/>
        <v>0</v>
      </c>
      <c r="CE95" s="386">
        <f t="shared" si="93"/>
        <v>0</v>
      </c>
      <c r="CF95" s="386">
        <f t="shared" si="94"/>
        <v>-265.80736000000002</v>
      </c>
      <c r="CG95" s="386">
        <f t="shared" si="95"/>
        <v>0</v>
      </c>
      <c r="CH95" s="386">
        <f t="shared" si="96"/>
        <v>-16.273919999999997</v>
      </c>
      <c r="CI95" s="386">
        <f t="shared" si="97"/>
        <v>0</v>
      </c>
      <c r="CJ95" s="386">
        <f t="shared" si="110"/>
        <v>-282.08127999999999</v>
      </c>
      <c r="CK95" s="386" t="str">
        <f t="shared" si="111"/>
        <v/>
      </c>
      <c r="CL95" s="386" t="str">
        <f t="shared" si="112"/>
        <v/>
      </c>
      <c r="CM95" s="386" t="str">
        <f t="shared" si="113"/>
        <v/>
      </c>
      <c r="CN95" s="386" t="str">
        <f t="shared" si="114"/>
        <v>0001-00</v>
      </c>
    </row>
    <row r="96" spans="1:92" ht="15.75" thickBot="1" x14ac:dyDescent="0.3">
      <c r="A96" s="376" t="s">
        <v>161</v>
      </c>
      <c r="B96" s="376" t="s">
        <v>162</v>
      </c>
      <c r="C96" s="376" t="s">
        <v>467</v>
      </c>
      <c r="D96" s="376" t="s">
        <v>468</v>
      </c>
      <c r="E96" s="376" t="s">
        <v>165</v>
      </c>
      <c r="F96" s="377" t="s">
        <v>166</v>
      </c>
      <c r="G96" s="376" t="s">
        <v>460</v>
      </c>
      <c r="H96" s="378"/>
      <c r="I96" s="378"/>
      <c r="J96" s="376" t="s">
        <v>168</v>
      </c>
      <c r="K96" s="376" t="s">
        <v>469</v>
      </c>
      <c r="L96" s="376" t="s">
        <v>166</v>
      </c>
      <c r="M96" s="376" t="s">
        <v>171</v>
      </c>
      <c r="N96" s="376" t="s">
        <v>172</v>
      </c>
      <c r="O96" s="379">
        <v>1</v>
      </c>
      <c r="P96" s="384">
        <v>1</v>
      </c>
      <c r="Q96" s="384">
        <v>1</v>
      </c>
      <c r="R96" s="380">
        <v>80</v>
      </c>
      <c r="S96" s="384">
        <v>1</v>
      </c>
      <c r="T96" s="380">
        <v>53614.05</v>
      </c>
      <c r="U96" s="380">
        <v>0</v>
      </c>
      <c r="V96" s="380">
        <v>22535.7</v>
      </c>
      <c r="W96" s="380">
        <v>54870.400000000001</v>
      </c>
      <c r="X96" s="380">
        <v>23178.79</v>
      </c>
      <c r="Y96" s="380">
        <v>54870.400000000001</v>
      </c>
      <c r="Z96" s="380">
        <v>22893.47</v>
      </c>
      <c r="AA96" s="376" t="s">
        <v>470</v>
      </c>
      <c r="AB96" s="376" t="s">
        <v>471</v>
      </c>
      <c r="AC96" s="376" t="s">
        <v>472</v>
      </c>
      <c r="AD96" s="376" t="s">
        <v>382</v>
      </c>
      <c r="AE96" s="376" t="s">
        <v>469</v>
      </c>
      <c r="AF96" s="376" t="s">
        <v>177</v>
      </c>
      <c r="AG96" s="376" t="s">
        <v>178</v>
      </c>
      <c r="AH96" s="381">
        <v>26.38</v>
      </c>
      <c r="AI96" s="381">
        <v>13479.3</v>
      </c>
      <c r="AJ96" s="376" t="s">
        <v>179</v>
      </c>
      <c r="AK96" s="376" t="s">
        <v>180</v>
      </c>
      <c r="AL96" s="376" t="s">
        <v>170</v>
      </c>
      <c r="AM96" s="376" t="s">
        <v>181</v>
      </c>
      <c r="AN96" s="376" t="s">
        <v>68</v>
      </c>
      <c r="AO96" s="379">
        <v>80</v>
      </c>
      <c r="AP96" s="384">
        <v>1</v>
      </c>
      <c r="AQ96" s="384">
        <v>1</v>
      </c>
      <c r="AR96" s="382" t="s">
        <v>182</v>
      </c>
      <c r="AS96" s="386">
        <f t="shared" si="98"/>
        <v>1</v>
      </c>
      <c r="AT96">
        <f t="shared" si="99"/>
        <v>1</v>
      </c>
      <c r="AU96" s="386">
        <f>IF(AT96=0,"",IF(AND(AT96=1,M96="F",SUMIF(C2:C167,C96,AS2:AS167)&lt;=1),SUMIF(C2:C167,C96,AS2:AS167),IF(AND(AT96=1,M96="F",SUMIF(C2:C167,C96,AS2:AS167)&gt;1),1,"")))</f>
        <v>1</v>
      </c>
      <c r="AV96" s="386" t="str">
        <f>IF(AT96=0,"",IF(AND(AT96=3,M96="F",SUMIF(C2:C167,C96,AS2:AS167)&lt;=1),SUMIF(C2:C167,C96,AS2:AS167),IF(AND(AT96=3,M96="F",SUMIF(C2:C167,C96,AS2:AS167)&gt;1),1,"")))</f>
        <v/>
      </c>
      <c r="AW96" s="386">
        <f>SUMIF(C2:C167,C96,O2:O167)</f>
        <v>1</v>
      </c>
      <c r="AX96" s="386">
        <f>IF(AND(M96="F",AS96&lt;&gt;0),SUMIF(C2:C167,C96,W2:W167),0)</f>
        <v>54870.400000000001</v>
      </c>
      <c r="AY96" s="386">
        <f t="shared" si="100"/>
        <v>54870.400000000001</v>
      </c>
      <c r="AZ96" s="386" t="str">
        <f t="shared" si="101"/>
        <v/>
      </c>
      <c r="BA96" s="386">
        <f t="shared" si="102"/>
        <v>0</v>
      </c>
      <c r="BB96" s="386">
        <f t="shared" si="71"/>
        <v>11650</v>
      </c>
      <c r="BC96" s="386">
        <f t="shared" si="72"/>
        <v>0</v>
      </c>
      <c r="BD96" s="386">
        <f t="shared" si="73"/>
        <v>3401.9648000000002</v>
      </c>
      <c r="BE96" s="386">
        <f t="shared" si="74"/>
        <v>795.62080000000003</v>
      </c>
      <c r="BF96" s="386">
        <f t="shared" si="75"/>
        <v>6551.5257600000004</v>
      </c>
      <c r="BG96" s="386">
        <f t="shared" si="76"/>
        <v>395.61558400000001</v>
      </c>
      <c r="BH96" s="386">
        <f t="shared" si="77"/>
        <v>268.86496</v>
      </c>
      <c r="BI96" s="386">
        <f t="shared" si="78"/>
        <v>0</v>
      </c>
      <c r="BJ96" s="386">
        <f t="shared" si="79"/>
        <v>115.22784</v>
      </c>
      <c r="BK96" s="386">
        <f t="shared" si="80"/>
        <v>0</v>
      </c>
      <c r="BL96" s="386">
        <f t="shared" si="103"/>
        <v>11528.819744</v>
      </c>
      <c r="BM96" s="386">
        <f t="shared" si="104"/>
        <v>0</v>
      </c>
      <c r="BN96" s="386">
        <f t="shared" si="81"/>
        <v>11650</v>
      </c>
      <c r="BO96" s="386">
        <f t="shared" si="82"/>
        <v>0</v>
      </c>
      <c r="BP96" s="386">
        <f t="shared" si="83"/>
        <v>3401.9648000000002</v>
      </c>
      <c r="BQ96" s="386">
        <f t="shared" si="84"/>
        <v>795.62080000000003</v>
      </c>
      <c r="BR96" s="386">
        <f t="shared" si="85"/>
        <v>6551.5257600000004</v>
      </c>
      <c r="BS96" s="386">
        <f t="shared" si="86"/>
        <v>395.61558400000001</v>
      </c>
      <c r="BT96" s="386">
        <f t="shared" si="87"/>
        <v>0</v>
      </c>
      <c r="BU96" s="386">
        <f t="shared" si="88"/>
        <v>0</v>
      </c>
      <c r="BV96" s="386">
        <f t="shared" si="89"/>
        <v>98.766720000000007</v>
      </c>
      <c r="BW96" s="386">
        <f t="shared" si="90"/>
        <v>0</v>
      </c>
      <c r="BX96" s="386">
        <f t="shared" si="105"/>
        <v>11243.493664</v>
      </c>
      <c r="BY96" s="386">
        <f t="shared" si="106"/>
        <v>0</v>
      </c>
      <c r="BZ96" s="386">
        <f t="shared" si="107"/>
        <v>0</v>
      </c>
      <c r="CA96" s="386">
        <f t="shared" si="108"/>
        <v>0</v>
      </c>
      <c r="CB96" s="386">
        <f t="shared" si="109"/>
        <v>0</v>
      </c>
      <c r="CC96" s="386">
        <f t="shared" si="91"/>
        <v>0</v>
      </c>
      <c r="CD96" s="386">
        <f t="shared" si="92"/>
        <v>0</v>
      </c>
      <c r="CE96" s="386">
        <f t="shared" si="93"/>
        <v>0</v>
      </c>
      <c r="CF96" s="386">
        <f t="shared" si="94"/>
        <v>-268.86496</v>
      </c>
      <c r="CG96" s="386">
        <f t="shared" si="95"/>
        <v>0</v>
      </c>
      <c r="CH96" s="386">
        <f t="shared" si="96"/>
        <v>-16.461119999999998</v>
      </c>
      <c r="CI96" s="386">
        <f t="shared" si="97"/>
        <v>0</v>
      </c>
      <c r="CJ96" s="386">
        <f t="shared" si="110"/>
        <v>-285.32607999999999</v>
      </c>
      <c r="CK96" s="386" t="str">
        <f t="shared" si="111"/>
        <v/>
      </c>
      <c r="CL96" s="386" t="str">
        <f t="shared" si="112"/>
        <v/>
      </c>
      <c r="CM96" s="386" t="str">
        <f t="shared" si="113"/>
        <v/>
      </c>
      <c r="CN96" s="386" t="str">
        <f t="shared" si="114"/>
        <v>0001-00</v>
      </c>
    </row>
    <row r="97" spans="1:92" ht="15.75" thickBot="1" x14ac:dyDescent="0.3">
      <c r="A97" s="376" t="s">
        <v>161</v>
      </c>
      <c r="B97" s="376" t="s">
        <v>162</v>
      </c>
      <c r="C97" s="376" t="s">
        <v>473</v>
      </c>
      <c r="D97" s="376" t="s">
        <v>474</v>
      </c>
      <c r="E97" s="376" t="s">
        <v>165</v>
      </c>
      <c r="F97" s="377" t="s">
        <v>166</v>
      </c>
      <c r="G97" s="376" t="s">
        <v>460</v>
      </c>
      <c r="H97" s="378"/>
      <c r="I97" s="378"/>
      <c r="J97" s="376" t="s">
        <v>168</v>
      </c>
      <c r="K97" s="376" t="s">
        <v>475</v>
      </c>
      <c r="L97" s="376" t="s">
        <v>289</v>
      </c>
      <c r="M97" s="376" t="s">
        <v>171</v>
      </c>
      <c r="N97" s="376" t="s">
        <v>172</v>
      </c>
      <c r="O97" s="379">
        <v>1</v>
      </c>
      <c r="P97" s="384">
        <v>1</v>
      </c>
      <c r="Q97" s="384">
        <v>1</v>
      </c>
      <c r="R97" s="380">
        <v>80</v>
      </c>
      <c r="S97" s="384">
        <v>1</v>
      </c>
      <c r="T97" s="380">
        <v>31254.82</v>
      </c>
      <c r="U97" s="380">
        <v>0</v>
      </c>
      <c r="V97" s="380">
        <v>14125.42</v>
      </c>
      <c r="W97" s="380">
        <v>47944</v>
      </c>
      <c r="X97" s="380">
        <v>21723.48</v>
      </c>
      <c r="Y97" s="380">
        <v>47944</v>
      </c>
      <c r="Z97" s="380">
        <v>21474.17</v>
      </c>
      <c r="AA97" s="376" t="s">
        <v>476</v>
      </c>
      <c r="AB97" s="376" t="s">
        <v>477</v>
      </c>
      <c r="AC97" s="376" t="s">
        <v>478</v>
      </c>
      <c r="AD97" s="376" t="s">
        <v>217</v>
      </c>
      <c r="AE97" s="376" t="s">
        <v>475</v>
      </c>
      <c r="AF97" s="376" t="s">
        <v>177</v>
      </c>
      <c r="AG97" s="376" t="s">
        <v>178</v>
      </c>
      <c r="AH97" s="381">
        <v>23.05</v>
      </c>
      <c r="AI97" s="381">
        <v>6977.4</v>
      </c>
      <c r="AJ97" s="376" t="s">
        <v>179</v>
      </c>
      <c r="AK97" s="376" t="s">
        <v>180</v>
      </c>
      <c r="AL97" s="376" t="s">
        <v>170</v>
      </c>
      <c r="AM97" s="376" t="s">
        <v>181</v>
      </c>
      <c r="AN97" s="376" t="s">
        <v>68</v>
      </c>
      <c r="AO97" s="379">
        <v>80</v>
      </c>
      <c r="AP97" s="384">
        <v>1</v>
      </c>
      <c r="AQ97" s="384">
        <v>1</v>
      </c>
      <c r="AR97" s="382" t="s">
        <v>182</v>
      </c>
      <c r="AS97" s="386">
        <f t="shared" si="98"/>
        <v>1</v>
      </c>
      <c r="AT97">
        <f t="shared" si="99"/>
        <v>1</v>
      </c>
      <c r="AU97" s="386">
        <f>IF(AT97=0,"",IF(AND(AT97=1,M97="F",SUMIF(C2:C167,C97,AS2:AS167)&lt;=1),SUMIF(C2:C167,C97,AS2:AS167),IF(AND(AT97=1,M97="F",SUMIF(C2:C167,C97,AS2:AS167)&gt;1),1,"")))</f>
        <v>1</v>
      </c>
      <c r="AV97" s="386" t="str">
        <f>IF(AT97=0,"",IF(AND(AT97=3,M97="F",SUMIF(C2:C167,C97,AS2:AS167)&lt;=1),SUMIF(C2:C167,C97,AS2:AS167),IF(AND(AT97=3,M97="F",SUMIF(C2:C167,C97,AS2:AS167)&gt;1),1,"")))</f>
        <v/>
      </c>
      <c r="AW97" s="386">
        <f>SUMIF(C2:C167,C97,O2:O167)</f>
        <v>1</v>
      </c>
      <c r="AX97" s="386">
        <f>IF(AND(M97="F",AS97&lt;&gt;0),SUMIF(C2:C167,C97,W2:W167),0)</f>
        <v>47944</v>
      </c>
      <c r="AY97" s="386">
        <f t="shared" si="100"/>
        <v>47944</v>
      </c>
      <c r="AZ97" s="386" t="str">
        <f t="shared" si="101"/>
        <v/>
      </c>
      <c r="BA97" s="386">
        <f t="shared" si="102"/>
        <v>0</v>
      </c>
      <c r="BB97" s="386">
        <f t="shared" si="71"/>
        <v>11650</v>
      </c>
      <c r="BC97" s="386">
        <f t="shared" si="72"/>
        <v>0</v>
      </c>
      <c r="BD97" s="386">
        <f t="shared" si="73"/>
        <v>2972.5279999999998</v>
      </c>
      <c r="BE97" s="386">
        <f t="shared" si="74"/>
        <v>695.18799999999999</v>
      </c>
      <c r="BF97" s="386">
        <f t="shared" si="75"/>
        <v>5724.5136000000002</v>
      </c>
      <c r="BG97" s="386">
        <f t="shared" si="76"/>
        <v>345.67624000000001</v>
      </c>
      <c r="BH97" s="386">
        <f t="shared" si="77"/>
        <v>234.9256</v>
      </c>
      <c r="BI97" s="386">
        <f t="shared" si="78"/>
        <v>0</v>
      </c>
      <c r="BJ97" s="386">
        <f t="shared" si="79"/>
        <v>100.68239999999999</v>
      </c>
      <c r="BK97" s="386">
        <f t="shared" si="80"/>
        <v>0</v>
      </c>
      <c r="BL97" s="386">
        <f t="shared" si="103"/>
        <v>10073.513840000001</v>
      </c>
      <c r="BM97" s="386">
        <f t="shared" si="104"/>
        <v>0</v>
      </c>
      <c r="BN97" s="386">
        <f t="shared" si="81"/>
        <v>11650</v>
      </c>
      <c r="BO97" s="386">
        <f t="shared" si="82"/>
        <v>0</v>
      </c>
      <c r="BP97" s="386">
        <f t="shared" si="83"/>
        <v>2972.5279999999998</v>
      </c>
      <c r="BQ97" s="386">
        <f t="shared" si="84"/>
        <v>695.18799999999999</v>
      </c>
      <c r="BR97" s="386">
        <f t="shared" si="85"/>
        <v>5724.5136000000002</v>
      </c>
      <c r="BS97" s="386">
        <f t="shared" si="86"/>
        <v>345.67624000000001</v>
      </c>
      <c r="BT97" s="386">
        <f t="shared" si="87"/>
        <v>0</v>
      </c>
      <c r="BU97" s="386">
        <f t="shared" si="88"/>
        <v>0</v>
      </c>
      <c r="BV97" s="386">
        <f t="shared" si="89"/>
        <v>86.299199999999999</v>
      </c>
      <c r="BW97" s="386">
        <f t="shared" si="90"/>
        <v>0</v>
      </c>
      <c r="BX97" s="386">
        <f t="shared" si="105"/>
        <v>9824.2050400000007</v>
      </c>
      <c r="BY97" s="386">
        <f t="shared" si="106"/>
        <v>0</v>
      </c>
      <c r="BZ97" s="386">
        <f t="shared" si="107"/>
        <v>0</v>
      </c>
      <c r="CA97" s="386">
        <f t="shared" si="108"/>
        <v>0</v>
      </c>
      <c r="CB97" s="386">
        <f t="shared" si="109"/>
        <v>0</v>
      </c>
      <c r="CC97" s="386">
        <f t="shared" si="91"/>
        <v>0</v>
      </c>
      <c r="CD97" s="386">
        <f t="shared" si="92"/>
        <v>0</v>
      </c>
      <c r="CE97" s="386">
        <f t="shared" si="93"/>
        <v>0</v>
      </c>
      <c r="CF97" s="386">
        <f t="shared" si="94"/>
        <v>-234.9256</v>
      </c>
      <c r="CG97" s="386">
        <f t="shared" si="95"/>
        <v>0</v>
      </c>
      <c r="CH97" s="386">
        <f t="shared" si="96"/>
        <v>-14.383199999999997</v>
      </c>
      <c r="CI97" s="386">
        <f t="shared" si="97"/>
        <v>0</v>
      </c>
      <c r="CJ97" s="386">
        <f t="shared" si="110"/>
        <v>-249.30879999999999</v>
      </c>
      <c r="CK97" s="386" t="str">
        <f t="shared" si="111"/>
        <v/>
      </c>
      <c r="CL97" s="386" t="str">
        <f t="shared" si="112"/>
        <v/>
      </c>
      <c r="CM97" s="386" t="str">
        <f t="shared" si="113"/>
        <v/>
      </c>
      <c r="CN97" s="386" t="str">
        <f t="shared" si="114"/>
        <v>0001-00</v>
      </c>
    </row>
    <row r="98" spans="1:92" ht="15.75" thickBot="1" x14ac:dyDescent="0.3">
      <c r="A98" s="376" t="s">
        <v>161</v>
      </c>
      <c r="B98" s="376" t="s">
        <v>162</v>
      </c>
      <c r="C98" s="376" t="s">
        <v>420</v>
      </c>
      <c r="D98" s="376" t="s">
        <v>421</v>
      </c>
      <c r="E98" s="376" t="s">
        <v>165</v>
      </c>
      <c r="F98" s="377" t="s">
        <v>166</v>
      </c>
      <c r="G98" s="376" t="s">
        <v>460</v>
      </c>
      <c r="H98" s="378"/>
      <c r="I98" s="378"/>
      <c r="J98" s="376" t="s">
        <v>168</v>
      </c>
      <c r="K98" s="376" t="s">
        <v>422</v>
      </c>
      <c r="L98" s="376" t="s">
        <v>166</v>
      </c>
      <c r="M98" s="376" t="s">
        <v>171</v>
      </c>
      <c r="N98" s="376" t="s">
        <v>172</v>
      </c>
      <c r="O98" s="379">
        <v>1</v>
      </c>
      <c r="P98" s="384">
        <v>1</v>
      </c>
      <c r="Q98" s="384">
        <v>1</v>
      </c>
      <c r="R98" s="380">
        <v>80</v>
      </c>
      <c r="S98" s="384">
        <v>1</v>
      </c>
      <c r="T98" s="380">
        <v>70325.2</v>
      </c>
      <c r="U98" s="380">
        <v>0</v>
      </c>
      <c r="V98" s="380">
        <v>25285.03</v>
      </c>
      <c r="W98" s="380">
        <v>71718.399999999994</v>
      </c>
      <c r="X98" s="380">
        <v>26718.720000000001</v>
      </c>
      <c r="Y98" s="380">
        <v>71718.399999999994</v>
      </c>
      <c r="Z98" s="380">
        <v>26345.79</v>
      </c>
      <c r="AA98" s="376" t="s">
        <v>423</v>
      </c>
      <c r="AB98" s="376" t="s">
        <v>424</v>
      </c>
      <c r="AC98" s="376" t="s">
        <v>425</v>
      </c>
      <c r="AD98" s="376" t="s">
        <v>426</v>
      </c>
      <c r="AE98" s="376" t="s">
        <v>422</v>
      </c>
      <c r="AF98" s="376" t="s">
        <v>177</v>
      </c>
      <c r="AG98" s="376" t="s">
        <v>178</v>
      </c>
      <c r="AH98" s="381">
        <v>34.479999999999997</v>
      </c>
      <c r="AI98" s="381">
        <v>60427.6</v>
      </c>
      <c r="AJ98" s="376" t="s">
        <v>179</v>
      </c>
      <c r="AK98" s="376" t="s">
        <v>180</v>
      </c>
      <c r="AL98" s="376" t="s">
        <v>170</v>
      </c>
      <c r="AM98" s="376" t="s">
        <v>181</v>
      </c>
      <c r="AN98" s="376" t="s">
        <v>68</v>
      </c>
      <c r="AO98" s="379">
        <v>80</v>
      </c>
      <c r="AP98" s="384">
        <v>1</v>
      </c>
      <c r="AQ98" s="384">
        <v>1</v>
      </c>
      <c r="AR98" s="382" t="s">
        <v>182</v>
      </c>
      <c r="AS98" s="386">
        <f t="shared" si="98"/>
        <v>1</v>
      </c>
      <c r="AT98">
        <f t="shared" si="99"/>
        <v>1</v>
      </c>
      <c r="AU98" s="386">
        <f>IF(AT98=0,"",IF(AND(AT98=1,M98="F",SUMIF(C2:C167,C98,AS2:AS167)&lt;=1),SUMIF(C2:C167,C98,AS2:AS167),IF(AND(AT98=1,M98="F",SUMIF(C2:C167,C98,AS2:AS167)&gt;1),1,"")))</f>
        <v>1</v>
      </c>
      <c r="AV98" s="386" t="str">
        <f>IF(AT98=0,"",IF(AND(AT98=3,M98="F",SUMIF(C2:C167,C98,AS2:AS167)&lt;=1),SUMIF(C2:C167,C98,AS2:AS167),IF(AND(AT98=3,M98="F",SUMIF(C2:C167,C98,AS2:AS167)&gt;1),1,"")))</f>
        <v/>
      </c>
      <c r="AW98" s="386">
        <f>SUMIF(C2:C167,C98,O2:O167)</f>
        <v>2</v>
      </c>
      <c r="AX98" s="386">
        <f>IF(AND(M98="F",AS98&lt;&gt;0),SUMIF(C2:C167,C98,W2:W167),0)</f>
        <v>71718.399999999994</v>
      </c>
      <c r="AY98" s="386">
        <f t="shared" si="100"/>
        <v>71718.399999999994</v>
      </c>
      <c r="AZ98" s="386" t="str">
        <f t="shared" si="101"/>
        <v/>
      </c>
      <c r="BA98" s="386">
        <f t="shared" si="102"/>
        <v>0</v>
      </c>
      <c r="BB98" s="386">
        <f t="shared" ref="BB98:BB129" si="115">IF(AND(AT98=1,AK98="E",AU98&gt;=0.75,AW98=1),Health,IF(AND(AT98=1,AK98="E",AU98&gt;=0.75),Health*P98,IF(AND(AT98=1,AK98="E",AU98&gt;=0.5,AW98=1),PTHealth,IF(AND(AT98=1,AK98="E",AU98&gt;=0.5),PTHealth*P98,0))))</f>
        <v>11650</v>
      </c>
      <c r="BC98" s="386">
        <f t="shared" ref="BC98:BC129" si="116">IF(AND(AT98=3,AK98="E",AV98&gt;=0.75,AW98=1),Health,IF(AND(AT98=3,AK98="E",AV98&gt;=0.75),Health*P98,IF(AND(AT98=3,AK98="E",AV98&gt;=0.5,AW98=1),PTHealth,IF(AND(AT98=3,AK98="E",AV98&gt;=0.5),PTHealth*P98,0))))</f>
        <v>0</v>
      </c>
      <c r="BD98" s="386">
        <f t="shared" ref="BD98:BD129" si="117">IF(AND(AT98&lt;&gt;0,AX98&gt;=MAXSSDI),SSDI*MAXSSDI*P98,IF(AT98&lt;&gt;0,SSDI*W98,0))</f>
        <v>4446.5407999999998</v>
      </c>
      <c r="BE98" s="386">
        <f t="shared" ref="BE98:BE129" si="118">IF(AT98&lt;&gt;0,SSHI*W98,0)</f>
        <v>1039.9168</v>
      </c>
      <c r="BF98" s="386">
        <f t="shared" ref="BF98:BF129" si="119">IF(AND(AT98&lt;&gt;0,AN98&lt;&gt;"NE"),VLOOKUP(AN98,Retirement_Rates,3,FALSE)*W98,0)</f>
        <v>8563.1769599999989</v>
      </c>
      <c r="BG98" s="386">
        <f t="shared" ref="BG98:BG129" si="120">IF(AND(AT98&lt;&gt;0,AJ98&lt;&gt;"PF"),Life*W98,0)</f>
        <v>517.08966399999997</v>
      </c>
      <c r="BH98" s="386">
        <f t="shared" ref="BH98:BH129" si="121">IF(AND(AT98&lt;&gt;0,AM98="Y"),UI*W98,0)</f>
        <v>351.42015999999995</v>
      </c>
      <c r="BI98" s="386">
        <f t="shared" ref="BI98:BI129" si="122">IF(AND(AT98&lt;&gt;0,N98&lt;&gt;"NR"),DHR*W98,0)</f>
        <v>0</v>
      </c>
      <c r="BJ98" s="386">
        <f t="shared" ref="BJ98:BJ129" si="123">IF(AT98&lt;&gt;0,WC*W98,0)</f>
        <v>150.60863999999998</v>
      </c>
      <c r="BK98" s="386">
        <f t="shared" ref="BK98:BK129" si="124">IF(OR(AND(AT98&lt;&gt;0,AJ98&lt;&gt;"PF",AN98&lt;&gt;"NE",AG98&lt;&gt;"A"),AND(AL98="E",OR(AT98=1,AT98=3))),Sick*W98,0)</f>
        <v>0</v>
      </c>
      <c r="BL98" s="386">
        <f t="shared" si="103"/>
        <v>15068.753023999998</v>
      </c>
      <c r="BM98" s="386">
        <f t="shared" si="104"/>
        <v>0</v>
      </c>
      <c r="BN98" s="386">
        <f t="shared" ref="BN98:BN129" si="125">IF(AND(AT98=1,AK98="E",AU98&gt;=0.75,AW98=1),HealthBY,IF(AND(AT98=1,AK98="E",AU98&gt;=0.75),HealthBY*P98,IF(AND(AT98=1,AK98="E",AU98&gt;=0.5,AW98=1),PTHealthBY,IF(AND(AT98=1,AK98="E",AU98&gt;=0.5),PTHealthBY*P98,0))))</f>
        <v>11650</v>
      </c>
      <c r="BO98" s="386">
        <f t="shared" ref="BO98:BO129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386">
        <f t="shared" ref="BP98:BP129" si="127">IF(AND(AT98&lt;&gt;0,(AX98+BA98)&gt;=MAXSSDIBY),SSDIBY*MAXSSDIBY*P98,IF(AT98&lt;&gt;0,SSDIBY*W98,0))</f>
        <v>4446.5407999999998</v>
      </c>
      <c r="BQ98" s="386">
        <f t="shared" ref="BQ98:BQ129" si="128">IF(AT98&lt;&gt;0,SSHIBY*W98,0)</f>
        <v>1039.9168</v>
      </c>
      <c r="BR98" s="386">
        <f t="shared" ref="BR98:BR129" si="129">IF(AND(AT98&lt;&gt;0,AN98&lt;&gt;"NE"),VLOOKUP(AN98,Retirement_Rates,4,FALSE)*W98,0)</f>
        <v>8563.1769599999989</v>
      </c>
      <c r="BS98" s="386">
        <f t="shared" ref="BS98:BS129" si="130">IF(AND(AT98&lt;&gt;0,AJ98&lt;&gt;"PF"),LifeBY*W98,0)</f>
        <v>517.08966399999997</v>
      </c>
      <c r="BT98" s="386">
        <f t="shared" ref="BT98:BT129" si="131">IF(AND(AT98&lt;&gt;0,AM98="Y"),UIBY*W98,0)</f>
        <v>0</v>
      </c>
      <c r="BU98" s="386">
        <f t="shared" ref="BU98:BU129" si="132">IF(AND(AT98&lt;&gt;0,N98&lt;&gt;"NR"),DHRBY*W98,0)</f>
        <v>0</v>
      </c>
      <c r="BV98" s="386">
        <f t="shared" ref="BV98:BV129" si="133">IF(AT98&lt;&gt;0,WCBY*W98,0)</f>
        <v>129.09312</v>
      </c>
      <c r="BW98" s="386">
        <f t="shared" ref="BW98:BW129" si="134">IF(OR(AND(AT98&lt;&gt;0,AJ98&lt;&gt;"PF",AN98&lt;&gt;"NE",AG98&lt;&gt;"A"),AND(AL98="E",OR(AT98=1,AT98=3))),SickBY*W98,0)</f>
        <v>0</v>
      </c>
      <c r="BX98" s="386">
        <f t="shared" si="105"/>
        <v>14695.817343999997</v>
      </c>
      <c r="BY98" s="386">
        <f t="shared" si="106"/>
        <v>0</v>
      </c>
      <c r="BZ98" s="386">
        <f t="shared" si="107"/>
        <v>0</v>
      </c>
      <c r="CA98" s="386">
        <f t="shared" si="108"/>
        <v>0</v>
      </c>
      <c r="CB98" s="386">
        <f t="shared" si="109"/>
        <v>0</v>
      </c>
      <c r="CC98" s="386">
        <f t="shared" ref="CC98:CC129" si="135">IF(AT98&lt;&gt;0,SSHICHG*Y98,0)</f>
        <v>0</v>
      </c>
      <c r="CD98" s="386">
        <f t="shared" ref="CD98:CD129" si="136">IF(AND(AT98&lt;&gt;0,AN98&lt;&gt;"NE"),VLOOKUP(AN98,Retirement_Rates,5,FALSE)*Y98,0)</f>
        <v>0</v>
      </c>
      <c r="CE98" s="386">
        <f t="shared" ref="CE98:CE129" si="137">IF(AND(AT98&lt;&gt;0,AJ98&lt;&gt;"PF"),LifeCHG*Y98,0)</f>
        <v>0</v>
      </c>
      <c r="CF98" s="386">
        <f t="shared" ref="CF98:CF129" si="138">IF(AND(AT98&lt;&gt;0,AM98="Y"),UICHG*Y98,0)</f>
        <v>-351.42015999999995</v>
      </c>
      <c r="CG98" s="386">
        <f t="shared" ref="CG98:CG129" si="139">IF(AND(AT98&lt;&gt;0,N98&lt;&gt;"NR"),DHRCHG*Y98,0)</f>
        <v>0</v>
      </c>
      <c r="CH98" s="386">
        <f t="shared" ref="CH98:CH129" si="140">IF(AT98&lt;&gt;0,WCCHG*Y98,0)</f>
        <v>-21.515519999999992</v>
      </c>
      <c r="CI98" s="386">
        <f t="shared" ref="CI98:CI129" si="141">IF(OR(AND(AT98&lt;&gt;0,AJ98&lt;&gt;"PF",AN98&lt;&gt;"NE",AG98&lt;&gt;"A"),AND(AL98="E",OR(AT98=1,AT98=3))),SickCHG*Y98,0)</f>
        <v>0</v>
      </c>
      <c r="CJ98" s="386">
        <f t="shared" si="110"/>
        <v>-372.93567999999993</v>
      </c>
      <c r="CK98" s="386" t="str">
        <f t="shared" si="111"/>
        <v/>
      </c>
      <c r="CL98" s="386" t="str">
        <f t="shared" si="112"/>
        <v/>
      </c>
      <c r="CM98" s="386" t="str">
        <f t="shared" si="113"/>
        <v/>
      </c>
      <c r="CN98" s="386" t="str">
        <f t="shared" si="114"/>
        <v>0001-00</v>
      </c>
    </row>
    <row r="99" spans="1:92" ht="15.75" thickBot="1" x14ac:dyDescent="0.3">
      <c r="A99" s="376" t="s">
        <v>161</v>
      </c>
      <c r="B99" s="376" t="s">
        <v>162</v>
      </c>
      <c r="C99" s="376" t="s">
        <v>479</v>
      </c>
      <c r="D99" s="376" t="s">
        <v>462</v>
      </c>
      <c r="E99" s="376" t="s">
        <v>165</v>
      </c>
      <c r="F99" s="377" t="s">
        <v>166</v>
      </c>
      <c r="G99" s="376" t="s">
        <v>460</v>
      </c>
      <c r="H99" s="378"/>
      <c r="I99" s="378"/>
      <c r="J99" s="376" t="s">
        <v>168</v>
      </c>
      <c r="K99" s="376" t="s">
        <v>463</v>
      </c>
      <c r="L99" s="376" t="s">
        <v>166</v>
      </c>
      <c r="M99" s="376" t="s">
        <v>281</v>
      </c>
      <c r="N99" s="376" t="s">
        <v>172</v>
      </c>
      <c r="O99" s="379">
        <v>0</v>
      </c>
      <c r="P99" s="384">
        <v>1</v>
      </c>
      <c r="Q99" s="384">
        <v>1</v>
      </c>
      <c r="R99" s="380">
        <v>80</v>
      </c>
      <c r="S99" s="384">
        <v>1</v>
      </c>
      <c r="T99" s="380">
        <v>12192.04</v>
      </c>
      <c r="U99" s="380">
        <v>0</v>
      </c>
      <c r="V99" s="380">
        <v>6345.76</v>
      </c>
      <c r="W99" s="380">
        <v>39000</v>
      </c>
      <c r="X99" s="380">
        <v>17082</v>
      </c>
      <c r="Y99" s="380">
        <v>39000</v>
      </c>
      <c r="Z99" s="380">
        <v>16887</v>
      </c>
      <c r="AA99" s="378"/>
      <c r="AB99" s="376" t="s">
        <v>45</v>
      </c>
      <c r="AC99" s="376" t="s">
        <v>45</v>
      </c>
      <c r="AD99" s="378"/>
      <c r="AE99" s="378"/>
      <c r="AF99" s="378"/>
      <c r="AG99" s="378"/>
      <c r="AH99" s="379">
        <v>0</v>
      </c>
      <c r="AI99" s="379">
        <v>0</v>
      </c>
      <c r="AJ99" s="378"/>
      <c r="AK99" s="378"/>
      <c r="AL99" s="376" t="s">
        <v>170</v>
      </c>
      <c r="AM99" s="378"/>
      <c r="AN99" s="378"/>
      <c r="AO99" s="379">
        <v>0</v>
      </c>
      <c r="AP99" s="384">
        <v>0</v>
      </c>
      <c r="AQ99" s="384">
        <v>0</v>
      </c>
      <c r="AR99" s="383"/>
      <c r="AS99" s="386">
        <f t="shared" si="98"/>
        <v>0</v>
      </c>
      <c r="AT99">
        <f t="shared" si="99"/>
        <v>0</v>
      </c>
      <c r="AU99" s="386" t="str">
        <f>IF(AT99=0,"",IF(AND(AT99=1,M99="F",SUMIF(C2:C167,C99,AS2:AS167)&lt;=1),SUMIF(C2:C167,C99,AS2:AS167),IF(AND(AT99=1,M99="F",SUMIF(C2:C167,C99,AS2:AS167)&gt;1),1,"")))</f>
        <v/>
      </c>
      <c r="AV99" s="386" t="str">
        <f>IF(AT99=0,"",IF(AND(AT99=3,M99="F",SUMIF(C2:C167,C99,AS2:AS167)&lt;=1),SUMIF(C2:C167,C99,AS2:AS167),IF(AND(AT99=3,M99="F",SUMIF(C2:C167,C99,AS2:AS167)&gt;1),1,"")))</f>
        <v/>
      </c>
      <c r="AW99" s="386">
        <f>SUMIF(C2:C167,C99,O2:O167)</f>
        <v>0</v>
      </c>
      <c r="AX99" s="386">
        <f>IF(AND(M99="F",AS99&lt;&gt;0),SUMIF(C2:C167,C99,W2:W167),0)</f>
        <v>0</v>
      </c>
      <c r="AY99" s="386" t="str">
        <f t="shared" si="100"/>
        <v/>
      </c>
      <c r="AZ99" s="386" t="str">
        <f t="shared" si="101"/>
        <v/>
      </c>
      <c r="BA99" s="386">
        <f t="shared" si="102"/>
        <v>0</v>
      </c>
      <c r="BB99" s="386">
        <f t="shared" si="115"/>
        <v>0</v>
      </c>
      <c r="BC99" s="386">
        <f t="shared" si="116"/>
        <v>0</v>
      </c>
      <c r="BD99" s="386">
        <f t="shared" si="117"/>
        <v>0</v>
      </c>
      <c r="BE99" s="386">
        <f t="shared" si="118"/>
        <v>0</v>
      </c>
      <c r="BF99" s="386">
        <f t="shared" si="119"/>
        <v>0</v>
      </c>
      <c r="BG99" s="386">
        <f t="shared" si="120"/>
        <v>0</v>
      </c>
      <c r="BH99" s="386">
        <f t="shared" si="121"/>
        <v>0</v>
      </c>
      <c r="BI99" s="386">
        <f t="shared" si="122"/>
        <v>0</v>
      </c>
      <c r="BJ99" s="386">
        <f t="shared" si="123"/>
        <v>0</v>
      </c>
      <c r="BK99" s="386">
        <f t="shared" si="124"/>
        <v>0</v>
      </c>
      <c r="BL99" s="386">
        <f t="shared" si="103"/>
        <v>0</v>
      </c>
      <c r="BM99" s="386">
        <f t="shared" si="104"/>
        <v>0</v>
      </c>
      <c r="BN99" s="386">
        <f t="shared" si="125"/>
        <v>0</v>
      </c>
      <c r="BO99" s="386">
        <f t="shared" si="126"/>
        <v>0</v>
      </c>
      <c r="BP99" s="386">
        <f t="shared" si="127"/>
        <v>0</v>
      </c>
      <c r="BQ99" s="386">
        <f t="shared" si="128"/>
        <v>0</v>
      </c>
      <c r="BR99" s="386">
        <f t="shared" si="129"/>
        <v>0</v>
      </c>
      <c r="BS99" s="386">
        <f t="shared" si="130"/>
        <v>0</v>
      </c>
      <c r="BT99" s="386">
        <f t="shared" si="131"/>
        <v>0</v>
      </c>
      <c r="BU99" s="386">
        <f t="shared" si="132"/>
        <v>0</v>
      </c>
      <c r="BV99" s="386">
        <f t="shared" si="133"/>
        <v>0</v>
      </c>
      <c r="BW99" s="386">
        <f t="shared" si="134"/>
        <v>0</v>
      </c>
      <c r="BX99" s="386">
        <f t="shared" si="105"/>
        <v>0</v>
      </c>
      <c r="BY99" s="386">
        <f t="shared" si="106"/>
        <v>0</v>
      </c>
      <c r="BZ99" s="386">
        <f t="shared" si="107"/>
        <v>0</v>
      </c>
      <c r="CA99" s="386">
        <f t="shared" si="108"/>
        <v>0</v>
      </c>
      <c r="CB99" s="386">
        <f t="shared" si="109"/>
        <v>0</v>
      </c>
      <c r="CC99" s="386">
        <f t="shared" si="135"/>
        <v>0</v>
      </c>
      <c r="CD99" s="386">
        <f t="shared" si="136"/>
        <v>0</v>
      </c>
      <c r="CE99" s="386">
        <f t="shared" si="137"/>
        <v>0</v>
      </c>
      <c r="CF99" s="386">
        <f t="shared" si="138"/>
        <v>0</v>
      </c>
      <c r="CG99" s="386">
        <f t="shared" si="139"/>
        <v>0</v>
      </c>
      <c r="CH99" s="386">
        <f t="shared" si="140"/>
        <v>0</v>
      </c>
      <c r="CI99" s="386">
        <f t="shared" si="141"/>
        <v>0</v>
      </c>
      <c r="CJ99" s="386">
        <f t="shared" si="110"/>
        <v>0</v>
      </c>
      <c r="CK99" s="386" t="str">
        <f t="shared" si="111"/>
        <v/>
      </c>
      <c r="CL99" s="386" t="str">
        <f t="shared" si="112"/>
        <v/>
      </c>
      <c r="CM99" s="386" t="str">
        <f t="shared" si="113"/>
        <v/>
      </c>
      <c r="CN99" s="386" t="str">
        <f t="shared" si="114"/>
        <v>0001-00</v>
      </c>
    </row>
    <row r="100" spans="1:92" ht="15.75" thickBot="1" x14ac:dyDescent="0.3">
      <c r="A100" s="376" t="s">
        <v>161</v>
      </c>
      <c r="B100" s="376" t="s">
        <v>162</v>
      </c>
      <c r="C100" s="376" t="s">
        <v>480</v>
      </c>
      <c r="D100" s="376" t="s">
        <v>481</v>
      </c>
      <c r="E100" s="376" t="s">
        <v>165</v>
      </c>
      <c r="F100" s="377" t="s">
        <v>166</v>
      </c>
      <c r="G100" s="376" t="s">
        <v>460</v>
      </c>
      <c r="H100" s="378"/>
      <c r="I100" s="378"/>
      <c r="J100" s="376" t="s">
        <v>168</v>
      </c>
      <c r="K100" s="376" t="s">
        <v>482</v>
      </c>
      <c r="L100" s="376" t="s">
        <v>166</v>
      </c>
      <c r="M100" s="376" t="s">
        <v>171</v>
      </c>
      <c r="N100" s="376" t="s">
        <v>172</v>
      </c>
      <c r="O100" s="379">
        <v>1</v>
      </c>
      <c r="P100" s="384">
        <v>1</v>
      </c>
      <c r="Q100" s="384">
        <v>1</v>
      </c>
      <c r="R100" s="380">
        <v>80</v>
      </c>
      <c r="S100" s="384">
        <v>1</v>
      </c>
      <c r="T100" s="380">
        <v>19556</v>
      </c>
      <c r="U100" s="380">
        <v>0</v>
      </c>
      <c r="V100" s="380">
        <v>10704.58</v>
      </c>
      <c r="W100" s="380">
        <v>44512</v>
      </c>
      <c r="X100" s="380">
        <v>21002.39</v>
      </c>
      <c r="Y100" s="380">
        <v>44512</v>
      </c>
      <c r="Z100" s="380">
        <v>20770.939999999999</v>
      </c>
      <c r="AA100" s="376" t="s">
        <v>483</v>
      </c>
      <c r="AB100" s="376" t="s">
        <v>484</v>
      </c>
      <c r="AC100" s="376" t="s">
        <v>485</v>
      </c>
      <c r="AD100" s="376" t="s">
        <v>265</v>
      </c>
      <c r="AE100" s="376" t="s">
        <v>482</v>
      </c>
      <c r="AF100" s="376" t="s">
        <v>177</v>
      </c>
      <c r="AG100" s="376" t="s">
        <v>178</v>
      </c>
      <c r="AH100" s="381">
        <v>21.4</v>
      </c>
      <c r="AI100" s="379">
        <v>1080</v>
      </c>
      <c r="AJ100" s="376" t="s">
        <v>179</v>
      </c>
      <c r="AK100" s="376" t="s">
        <v>180</v>
      </c>
      <c r="AL100" s="376" t="s">
        <v>170</v>
      </c>
      <c r="AM100" s="376" t="s">
        <v>181</v>
      </c>
      <c r="AN100" s="376" t="s">
        <v>68</v>
      </c>
      <c r="AO100" s="379">
        <v>80</v>
      </c>
      <c r="AP100" s="384">
        <v>1</v>
      </c>
      <c r="AQ100" s="384">
        <v>1</v>
      </c>
      <c r="AR100" s="382" t="s">
        <v>182</v>
      </c>
      <c r="AS100" s="386">
        <f t="shared" si="98"/>
        <v>1</v>
      </c>
      <c r="AT100">
        <f t="shared" si="99"/>
        <v>1</v>
      </c>
      <c r="AU100" s="386">
        <f>IF(AT100=0,"",IF(AND(AT100=1,M100="F",SUMIF(C2:C167,C100,AS2:AS167)&lt;=1),SUMIF(C2:C167,C100,AS2:AS167),IF(AND(AT100=1,M100="F",SUMIF(C2:C167,C100,AS2:AS167)&gt;1),1,"")))</f>
        <v>1</v>
      </c>
      <c r="AV100" s="386" t="str">
        <f>IF(AT100=0,"",IF(AND(AT100=3,M100="F",SUMIF(C2:C167,C100,AS2:AS167)&lt;=1),SUMIF(C2:C167,C100,AS2:AS167),IF(AND(AT100=3,M100="F",SUMIF(C2:C167,C100,AS2:AS167)&gt;1),1,"")))</f>
        <v/>
      </c>
      <c r="AW100" s="386">
        <f>SUMIF(C2:C167,C100,O2:O167)</f>
        <v>1</v>
      </c>
      <c r="AX100" s="386">
        <f>IF(AND(M100="F",AS100&lt;&gt;0),SUMIF(C2:C167,C100,W2:W167),0)</f>
        <v>44512</v>
      </c>
      <c r="AY100" s="386">
        <f t="shared" si="100"/>
        <v>44512</v>
      </c>
      <c r="AZ100" s="386" t="str">
        <f t="shared" si="101"/>
        <v/>
      </c>
      <c r="BA100" s="386">
        <f t="shared" si="102"/>
        <v>0</v>
      </c>
      <c r="BB100" s="386">
        <f t="shared" si="115"/>
        <v>11650</v>
      </c>
      <c r="BC100" s="386">
        <f t="shared" si="116"/>
        <v>0</v>
      </c>
      <c r="BD100" s="386">
        <f t="shared" si="117"/>
        <v>2759.7440000000001</v>
      </c>
      <c r="BE100" s="386">
        <f t="shared" si="118"/>
        <v>645.42399999999998</v>
      </c>
      <c r="BF100" s="386">
        <f t="shared" si="119"/>
        <v>5314.7328000000007</v>
      </c>
      <c r="BG100" s="386">
        <f t="shared" si="120"/>
        <v>320.93152000000003</v>
      </c>
      <c r="BH100" s="386">
        <f t="shared" si="121"/>
        <v>218.1088</v>
      </c>
      <c r="BI100" s="386">
        <f t="shared" si="122"/>
        <v>0</v>
      </c>
      <c r="BJ100" s="386">
        <f t="shared" si="123"/>
        <v>93.475200000000001</v>
      </c>
      <c r="BK100" s="386">
        <f t="shared" si="124"/>
        <v>0</v>
      </c>
      <c r="BL100" s="386">
        <f t="shared" si="103"/>
        <v>9352.4163200000021</v>
      </c>
      <c r="BM100" s="386">
        <f t="shared" si="104"/>
        <v>0</v>
      </c>
      <c r="BN100" s="386">
        <f t="shared" si="125"/>
        <v>11650</v>
      </c>
      <c r="BO100" s="386">
        <f t="shared" si="126"/>
        <v>0</v>
      </c>
      <c r="BP100" s="386">
        <f t="shared" si="127"/>
        <v>2759.7440000000001</v>
      </c>
      <c r="BQ100" s="386">
        <f t="shared" si="128"/>
        <v>645.42399999999998</v>
      </c>
      <c r="BR100" s="386">
        <f t="shared" si="129"/>
        <v>5314.7328000000007</v>
      </c>
      <c r="BS100" s="386">
        <f t="shared" si="130"/>
        <v>320.93152000000003</v>
      </c>
      <c r="BT100" s="386">
        <f t="shared" si="131"/>
        <v>0</v>
      </c>
      <c r="BU100" s="386">
        <f t="shared" si="132"/>
        <v>0</v>
      </c>
      <c r="BV100" s="386">
        <f t="shared" si="133"/>
        <v>80.121600000000001</v>
      </c>
      <c r="BW100" s="386">
        <f t="shared" si="134"/>
        <v>0</v>
      </c>
      <c r="BX100" s="386">
        <f t="shared" si="105"/>
        <v>9120.9539200000017</v>
      </c>
      <c r="BY100" s="386">
        <f t="shared" si="106"/>
        <v>0</v>
      </c>
      <c r="BZ100" s="386">
        <f t="shared" si="107"/>
        <v>0</v>
      </c>
      <c r="CA100" s="386">
        <f t="shared" si="108"/>
        <v>0</v>
      </c>
      <c r="CB100" s="386">
        <f t="shared" si="109"/>
        <v>0</v>
      </c>
      <c r="CC100" s="386">
        <f t="shared" si="135"/>
        <v>0</v>
      </c>
      <c r="CD100" s="386">
        <f t="shared" si="136"/>
        <v>0</v>
      </c>
      <c r="CE100" s="386">
        <f t="shared" si="137"/>
        <v>0</v>
      </c>
      <c r="CF100" s="386">
        <f t="shared" si="138"/>
        <v>-218.1088</v>
      </c>
      <c r="CG100" s="386">
        <f t="shared" si="139"/>
        <v>0</v>
      </c>
      <c r="CH100" s="386">
        <f t="shared" si="140"/>
        <v>-13.353599999999997</v>
      </c>
      <c r="CI100" s="386">
        <f t="shared" si="141"/>
        <v>0</v>
      </c>
      <c r="CJ100" s="386">
        <f t="shared" si="110"/>
        <v>-231.4624</v>
      </c>
      <c r="CK100" s="386" t="str">
        <f t="shared" si="111"/>
        <v/>
      </c>
      <c r="CL100" s="386" t="str">
        <f t="shared" si="112"/>
        <v/>
      </c>
      <c r="CM100" s="386" t="str">
        <f t="shared" si="113"/>
        <v/>
      </c>
      <c r="CN100" s="386" t="str">
        <f t="shared" si="114"/>
        <v>0001-00</v>
      </c>
    </row>
    <row r="101" spans="1:92" ht="15.75" thickBot="1" x14ac:dyDescent="0.3">
      <c r="A101" s="376" t="s">
        <v>161</v>
      </c>
      <c r="B101" s="376" t="s">
        <v>162</v>
      </c>
      <c r="C101" s="376" t="s">
        <v>486</v>
      </c>
      <c r="D101" s="376" t="s">
        <v>481</v>
      </c>
      <c r="E101" s="376" t="s">
        <v>165</v>
      </c>
      <c r="F101" s="377" t="s">
        <v>166</v>
      </c>
      <c r="G101" s="376" t="s">
        <v>460</v>
      </c>
      <c r="H101" s="378"/>
      <c r="I101" s="378"/>
      <c r="J101" s="376" t="s">
        <v>168</v>
      </c>
      <c r="K101" s="376" t="s">
        <v>482</v>
      </c>
      <c r="L101" s="376" t="s">
        <v>166</v>
      </c>
      <c r="M101" s="376" t="s">
        <v>171</v>
      </c>
      <c r="N101" s="376" t="s">
        <v>172</v>
      </c>
      <c r="O101" s="379">
        <v>1</v>
      </c>
      <c r="P101" s="384">
        <v>1</v>
      </c>
      <c r="Q101" s="384">
        <v>1</v>
      </c>
      <c r="R101" s="380">
        <v>80</v>
      </c>
      <c r="S101" s="384">
        <v>1</v>
      </c>
      <c r="T101" s="380">
        <v>52802.12</v>
      </c>
      <c r="U101" s="380">
        <v>0</v>
      </c>
      <c r="V101" s="380">
        <v>22157.38</v>
      </c>
      <c r="W101" s="380">
        <v>55140.800000000003</v>
      </c>
      <c r="X101" s="380">
        <v>23235.599999999999</v>
      </c>
      <c r="Y101" s="380">
        <v>55140.800000000003</v>
      </c>
      <c r="Z101" s="380">
        <v>22948.880000000001</v>
      </c>
      <c r="AA101" s="376" t="s">
        <v>487</v>
      </c>
      <c r="AB101" s="376" t="s">
        <v>488</v>
      </c>
      <c r="AC101" s="376" t="s">
        <v>489</v>
      </c>
      <c r="AD101" s="376" t="s">
        <v>490</v>
      </c>
      <c r="AE101" s="376" t="s">
        <v>482</v>
      </c>
      <c r="AF101" s="376" t="s">
        <v>177</v>
      </c>
      <c r="AG101" s="376" t="s">
        <v>178</v>
      </c>
      <c r="AH101" s="381">
        <v>26.51</v>
      </c>
      <c r="AI101" s="381">
        <v>12645.3</v>
      </c>
      <c r="AJ101" s="376" t="s">
        <v>179</v>
      </c>
      <c r="AK101" s="376" t="s">
        <v>180</v>
      </c>
      <c r="AL101" s="376" t="s">
        <v>170</v>
      </c>
      <c r="AM101" s="376" t="s">
        <v>181</v>
      </c>
      <c r="AN101" s="376" t="s">
        <v>68</v>
      </c>
      <c r="AO101" s="379">
        <v>80</v>
      </c>
      <c r="AP101" s="384">
        <v>1</v>
      </c>
      <c r="AQ101" s="384">
        <v>1</v>
      </c>
      <c r="AR101" s="382" t="s">
        <v>182</v>
      </c>
      <c r="AS101" s="386">
        <f t="shared" si="98"/>
        <v>1</v>
      </c>
      <c r="AT101">
        <f t="shared" si="99"/>
        <v>1</v>
      </c>
      <c r="AU101" s="386">
        <f>IF(AT101=0,"",IF(AND(AT101=1,M101="F",SUMIF(C2:C167,C101,AS2:AS167)&lt;=1),SUMIF(C2:C167,C101,AS2:AS167),IF(AND(AT101=1,M101="F",SUMIF(C2:C167,C101,AS2:AS167)&gt;1),1,"")))</f>
        <v>1</v>
      </c>
      <c r="AV101" s="386" t="str">
        <f>IF(AT101=0,"",IF(AND(AT101=3,M101="F",SUMIF(C2:C167,C101,AS2:AS167)&lt;=1),SUMIF(C2:C167,C101,AS2:AS167),IF(AND(AT101=3,M101="F",SUMIF(C2:C167,C101,AS2:AS167)&gt;1),1,"")))</f>
        <v/>
      </c>
      <c r="AW101" s="386">
        <f>SUMIF(C2:C167,C101,O2:O167)</f>
        <v>1</v>
      </c>
      <c r="AX101" s="386">
        <f>IF(AND(M101="F",AS101&lt;&gt;0),SUMIF(C2:C167,C101,W2:W167),0)</f>
        <v>55140.800000000003</v>
      </c>
      <c r="AY101" s="386">
        <f t="shared" si="100"/>
        <v>55140.800000000003</v>
      </c>
      <c r="AZ101" s="386" t="str">
        <f t="shared" si="101"/>
        <v/>
      </c>
      <c r="BA101" s="386">
        <f t="shared" si="102"/>
        <v>0</v>
      </c>
      <c r="BB101" s="386">
        <f t="shared" si="115"/>
        <v>11650</v>
      </c>
      <c r="BC101" s="386">
        <f t="shared" si="116"/>
        <v>0</v>
      </c>
      <c r="BD101" s="386">
        <f t="shared" si="117"/>
        <v>3418.7296000000001</v>
      </c>
      <c r="BE101" s="386">
        <f t="shared" si="118"/>
        <v>799.54160000000013</v>
      </c>
      <c r="BF101" s="386">
        <f t="shared" si="119"/>
        <v>6583.8115200000011</v>
      </c>
      <c r="BG101" s="386">
        <f t="shared" si="120"/>
        <v>397.56516800000003</v>
      </c>
      <c r="BH101" s="386">
        <f t="shared" si="121"/>
        <v>270.18992000000003</v>
      </c>
      <c r="BI101" s="386">
        <f t="shared" si="122"/>
        <v>0</v>
      </c>
      <c r="BJ101" s="386">
        <f t="shared" si="123"/>
        <v>115.79568</v>
      </c>
      <c r="BK101" s="386">
        <f t="shared" si="124"/>
        <v>0</v>
      </c>
      <c r="BL101" s="386">
        <f t="shared" si="103"/>
        <v>11585.633488000001</v>
      </c>
      <c r="BM101" s="386">
        <f t="shared" si="104"/>
        <v>0</v>
      </c>
      <c r="BN101" s="386">
        <f t="shared" si="125"/>
        <v>11650</v>
      </c>
      <c r="BO101" s="386">
        <f t="shared" si="126"/>
        <v>0</v>
      </c>
      <c r="BP101" s="386">
        <f t="shared" si="127"/>
        <v>3418.7296000000001</v>
      </c>
      <c r="BQ101" s="386">
        <f t="shared" si="128"/>
        <v>799.54160000000013</v>
      </c>
      <c r="BR101" s="386">
        <f t="shared" si="129"/>
        <v>6583.8115200000011</v>
      </c>
      <c r="BS101" s="386">
        <f t="shared" si="130"/>
        <v>397.56516800000003</v>
      </c>
      <c r="BT101" s="386">
        <f t="shared" si="131"/>
        <v>0</v>
      </c>
      <c r="BU101" s="386">
        <f t="shared" si="132"/>
        <v>0</v>
      </c>
      <c r="BV101" s="386">
        <f t="shared" si="133"/>
        <v>99.253439999999998</v>
      </c>
      <c r="BW101" s="386">
        <f t="shared" si="134"/>
        <v>0</v>
      </c>
      <c r="BX101" s="386">
        <f t="shared" si="105"/>
        <v>11298.901328000002</v>
      </c>
      <c r="BY101" s="386">
        <f t="shared" si="106"/>
        <v>0</v>
      </c>
      <c r="BZ101" s="386">
        <f t="shared" si="107"/>
        <v>0</v>
      </c>
      <c r="CA101" s="386">
        <f t="shared" si="108"/>
        <v>0</v>
      </c>
      <c r="CB101" s="386">
        <f t="shared" si="109"/>
        <v>0</v>
      </c>
      <c r="CC101" s="386">
        <f t="shared" si="135"/>
        <v>0</v>
      </c>
      <c r="CD101" s="386">
        <f t="shared" si="136"/>
        <v>0</v>
      </c>
      <c r="CE101" s="386">
        <f t="shared" si="137"/>
        <v>0</v>
      </c>
      <c r="CF101" s="386">
        <f t="shared" si="138"/>
        <v>-270.18992000000003</v>
      </c>
      <c r="CG101" s="386">
        <f t="shared" si="139"/>
        <v>0</v>
      </c>
      <c r="CH101" s="386">
        <f t="shared" si="140"/>
        <v>-16.542239999999996</v>
      </c>
      <c r="CI101" s="386">
        <f t="shared" si="141"/>
        <v>0</v>
      </c>
      <c r="CJ101" s="386">
        <f t="shared" si="110"/>
        <v>-286.73216000000002</v>
      </c>
      <c r="CK101" s="386" t="str">
        <f t="shared" si="111"/>
        <v/>
      </c>
      <c r="CL101" s="386" t="str">
        <f t="shared" si="112"/>
        <v/>
      </c>
      <c r="CM101" s="386" t="str">
        <f t="shared" si="113"/>
        <v/>
      </c>
      <c r="CN101" s="386" t="str">
        <f t="shared" si="114"/>
        <v>0001-00</v>
      </c>
    </row>
    <row r="102" spans="1:92" ht="15.75" thickBot="1" x14ac:dyDescent="0.3">
      <c r="A102" s="376" t="s">
        <v>161</v>
      </c>
      <c r="B102" s="376" t="s">
        <v>162</v>
      </c>
      <c r="C102" s="376" t="s">
        <v>427</v>
      </c>
      <c r="D102" s="376" t="s">
        <v>395</v>
      </c>
      <c r="E102" s="376" t="s">
        <v>165</v>
      </c>
      <c r="F102" s="377" t="s">
        <v>166</v>
      </c>
      <c r="G102" s="376" t="s">
        <v>460</v>
      </c>
      <c r="H102" s="378"/>
      <c r="I102" s="378"/>
      <c r="J102" s="376" t="s">
        <v>168</v>
      </c>
      <c r="K102" s="376" t="s">
        <v>396</v>
      </c>
      <c r="L102" s="376" t="s">
        <v>166</v>
      </c>
      <c r="M102" s="376" t="s">
        <v>171</v>
      </c>
      <c r="N102" s="376" t="s">
        <v>172</v>
      </c>
      <c r="O102" s="379">
        <v>1</v>
      </c>
      <c r="P102" s="384">
        <v>1</v>
      </c>
      <c r="Q102" s="384">
        <v>1</v>
      </c>
      <c r="R102" s="380">
        <v>80</v>
      </c>
      <c r="S102" s="384">
        <v>1</v>
      </c>
      <c r="T102" s="380">
        <v>44909.14</v>
      </c>
      <c r="U102" s="380">
        <v>0</v>
      </c>
      <c r="V102" s="380">
        <v>20298.349999999999</v>
      </c>
      <c r="W102" s="380">
        <v>44512</v>
      </c>
      <c r="X102" s="380">
        <v>21002.39</v>
      </c>
      <c r="Y102" s="380">
        <v>44512</v>
      </c>
      <c r="Z102" s="380">
        <v>20770.939999999999</v>
      </c>
      <c r="AA102" s="376" t="s">
        <v>428</v>
      </c>
      <c r="AB102" s="376" t="s">
        <v>429</v>
      </c>
      <c r="AC102" s="376" t="s">
        <v>430</v>
      </c>
      <c r="AD102" s="376" t="s">
        <v>298</v>
      </c>
      <c r="AE102" s="376" t="s">
        <v>396</v>
      </c>
      <c r="AF102" s="376" t="s">
        <v>177</v>
      </c>
      <c r="AG102" s="376" t="s">
        <v>178</v>
      </c>
      <c r="AH102" s="381">
        <v>21.4</v>
      </c>
      <c r="AI102" s="381">
        <v>4498.3</v>
      </c>
      <c r="AJ102" s="376" t="s">
        <v>179</v>
      </c>
      <c r="AK102" s="376" t="s">
        <v>180</v>
      </c>
      <c r="AL102" s="376" t="s">
        <v>170</v>
      </c>
      <c r="AM102" s="376" t="s">
        <v>181</v>
      </c>
      <c r="AN102" s="376" t="s">
        <v>68</v>
      </c>
      <c r="AO102" s="379">
        <v>80</v>
      </c>
      <c r="AP102" s="384">
        <v>1</v>
      </c>
      <c r="AQ102" s="384">
        <v>1</v>
      </c>
      <c r="AR102" s="382" t="s">
        <v>182</v>
      </c>
      <c r="AS102" s="386">
        <f t="shared" si="98"/>
        <v>1</v>
      </c>
      <c r="AT102">
        <f t="shared" si="99"/>
        <v>1</v>
      </c>
      <c r="AU102" s="386">
        <f>IF(AT102=0,"",IF(AND(AT102=1,M102="F",SUMIF(C2:C167,C102,AS2:AS167)&lt;=1),SUMIF(C2:C167,C102,AS2:AS167),IF(AND(AT102=1,M102="F",SUMIF(C2:C167,C102,AS2:AS167)&gt;1),1,"")))</f>
        <v>1</v>
      </c>
      <c r="AV102" s="386" t="str">
        <f>IF(AT102=0,"",IF(AND(AT102=3,M102="F",SUMIF(C2:C167,C102,AS2:AS167)&lt;=1),SUMIF(C2:C167,C102,AS2:AS167),IF(AND(AT102=3,M102="F",SUMIF(C2:C167,C102,AS2:AS167)&gt;1),1,"")))</f>
        <v/>
      </c>
      <c r="AW102" s="386">
        <f>SUMIF(C2:C167,C102,O2:O167)</f>
        <v>2</v>
      </c>
      <c r="AX102" s="386">
        <f>IF(AND(M102="F",AS102&lt;&gt;0),SUMIF(C2:C167,C102,W2:W167),0)</f>
        <v>44512</v>
      </c>
      <c r="AY102" s="386">
        <f t="shared" si="100"/>
        <v>44512</v>
      </c>
      <c r="AZ102" s="386" t="str">
        <f t="shared" si="101"/>
        <v/>
      </c>
      <c r="BA102" s="386">
        <f t="shared" si="102"/>
        <v>0</v>
      </c>
      <c r="BB102" s="386">
        <f t="shared" si="115"/>
        <v>11650</v>
      </c>
      <c r="BC102" s="386">
        <f t="shared" si="116"/>
        <v>0</v>
      </c>
      <c r="BD102" s="386">
        <f t="shared" si="117"/>
        <v>2759.7440000000001</v>
      </c>
      <c r="BE102" s="386">
        <f t="shared" si="118"/>
        <v>645.42399999999998</v>
      </c>
      <c r="BF102" s="386">
        <f t="shared" si="119"/>
        <v>5314.7328000000007</v>
      </c>
      <c r="BG102" s="386">
        <f t="shared" si="120"/>
        <v>320.93152000000003</v>
      </c>
      <c r="BH102" s="386">
        <f t="shared" si="121"/>
        <v>218.1088</v>
      </c>
      <c r="BI102" s="386">
        <f t="shared" si="122"/>
        <v>0</v>
      </c>
      <c r="BJ102" s="386">
        <f t="shared" si="123"/>
        <v>93.475200000000001</v>
      </c>
      <c r="BK102" s="386">
        <f t="shared" si="124"/>
        <v>0</v>
      </c>
      <c r="BL102" s="386">
        <f t="shared" si="103"/>
        <v>9352.4163200000021</v>
      </c>
      <c r="BM102" s="386">
        <f t="shared" si="104"/>
        <v>0</v>
      </c>
      <c r="BN102" s="386">
        <f t="shared" si="125"/>
        <v>11650</v>
      </c>
      <c r="BO102" s="386">
        <f t="shared" si="126"/>
        <v>0</v>
      </c>
      <c r="BP102" s="386">
        <f t="shared" si="127"/>
        <v>2759.7440000000001</v>
      </c>
      <c r="BQ102" s="386">
        <f t="shared" si="128"/>
        <v>645.42399999999998</v>
      </c>
      <c r="BR102" s="386">
        <f t="shared" si="129"/>
        <v>5314.7328000000007</v>
      </c>
      <c r="BS102" s="386">
        <f t="shared" si="130"/>
        <v>320.93152000000003</v>
      </c>
      <c r="BT102" s="386">
        <f t="shared" si="131"/>
        <v>0</v>
      </c>
      <c r="BU102" s="386">
        <f t="shared" si="132"/>
        <v>0</v>
      </c>
      <c r="BV102" s="386">
        <f t="shared" si="133"/>
        <v>80.121600000000001</v>
      </c>
      <c r="BW102" s="386">
        <f t="shared" si="134"/>
        <v>0</v>
      </c>
      <c r="BX102" s="386">
        <f t="shared" si="105"/>
        <v>9120.9539200000017</v>
      </c>
      <c r="BY102" s="386">
        <f t="shared" si="106"/>
        <v>0</v>
      </c>
      <c r="BZ102" s="386">
        <f t="shared" si="107"/>
        <v>0</v>
      </c>
      <c r="CA102" s="386">
        <f t="shared" si="108"/>
        <v>0</v>
      </c>
      <c r="CB102" s="386">
        <f t="shared" si="109"/>
        <v>0</v>
      </c>
      <c r="CC102" s="386">
        <f t="shared" si="135"/>
        <v>0</v>
      </c>
      <c r="CD102" s="386">
        <f t="shared" si="136"/>
        <v>0</v>
      </c>
      <c r="CE102" s="386">
        <f t="shared" si="137"/>
        <v>0</v>
      </c>
      <c r="CF102" s="386">
        <f t="shared" si="138"/>
        <v>-218.1088</v>
      </c>
      <c r="CG102" s="386">
        <f t="shared" si="139"/>
        <v>0</v>
      </c>
      <c r="CH102" s="386">
        <f t="shared" si="140"/>
        <v>-13.353599999999997</v>
      </c>
      <c r="CI102" s="386">
        <f t="shared" si="141"/>
        <v>0</v>
      </c>
      <c r="CJ102" s="386">
        <f t="shared" si="110"/>
        <v>-231.4624</v>
      </c>
      <c r="CK102" s="386" t="str">
        <f t="shared" si="111"/>
        <v/>
      </c>
      <c r="CL102" s="386" t="str">
        <f t="shared" si="112"/>
        <v/>
      </c>
      <c r="CM102" s="386" t="str">
        <f t="shared" si="113"/>
        <v/>
      </c>
      <c r="CN102" s="386" t="str">
        <f t="shared" si="114"/>
        <v>0001-00</v>
      </c>
    </row>
    <row r="103" spans="1:92" ht="15.75" thickBot="1" x14ac:dyDescent="0.3">
      <c r="A103" s="376" t="s">
        <v>161</v>
      </c>
      <c r="B103" s="376" t="s">
        <v>162</v>
      </c>
      <c r="C103" s="376" t="s">
        <v>183</v>
      </c>
      <c r="D103" s="376" t="s">
        <v>184</v>
      </c>
      <c r="E103" s="376" t="s">
        <v>165</v>
      </c>
      <c r="F103" s="377" t="s">
        <v>166</v>
      </c>
      <c r="G103" s="376" t="s">
        <v>460</v>
      </c>
      <c r="H103" s="378"/>
      <c r="I103" s="378"/>
      <c r="J103" s="376" t="s">
        <v>185</v>
      </c>
      <c r="K103" s="376" t="s">
        <v>186</v>
      </c>
      <c r="L103" s="376" t="s">
        <v>187</v>
      </c>
      <c r="M103" s="376" t="s">
        <v>171</v>
      </c>
      <c r="N103" s="376" t="s">
        <v>172</v>
      </c>
      <c r="O103" s="379">
        <v>1</v>
      </c>
      <c r="P103" s="384">
        <v>0.15</v>
      </c>
      <c r="Q103" s="384">
        <v>0.15</v>
      </c>
      <c r="R103" s="380">
        <v>80</v>
      </c>
      <c r="S103" s="384">
        <v>0.15</v>
      </c>
      <c r="T103" s="380">
        <v>10749.57</v>
      </c>
      <c r="U103" s="380">
        <v>0</v>
      </c>
      <c r="V103" s="380">
        <v>3930.75</v>
      </c>
      <c r="W103" s="380">
        <v>11203.92</v>
      </c>
      <c r="X103" s="380">
        <v>4101.55</v>
      </c>
      <c r="Y103" s="380">
        <v>11203.92</v>
      </c>
      <c r="Z103" s="380">
        <v>4043.29</v>
      </c>
      <c r="AA103" s="376" t="s">
        <v>188</v>
      </c>
      <c r="AB103" s="376" t="s">
        <v>189</v>
      </c>
      <c r="AC103" s="376" t="s">
        <v>190</v>
      </c>
      <c r="AD103" s="376" t="s">
        <v>191</v>
      </c>
      <c r="AE103" s="376" t="s">
        <v>186</v>
      </c>
      <c r="AF103" s="376" t="s">
        <v>177</v>
      </c>
      <c r="AG103" s="376" t="s">
        <v>178</v>
      </c>
      <c r="AH103" s="381">
        <v>35.909999999999997</v>
      </c>
      <c r="AI103" s="381">
        <v>17168.2</v>
      </c>
      <c r="AJ103" s="376" t="s">
        <v>179</v>
      </c>
      <c r="AK103" s="376" t="s">
        <v>180</v>
      </c>
      <c r="AL103" s="376" t="s">
        <v>170</v>
      </c>
      <c r="AM103" s="376" t="s">
        <v>181</v>
      </c>
      <c r="AN103" s="376" t="s">
        <v>68</v>
      </c>
      <c r="AO103" s="379">
        <v>80</v>
      </c>
      <c r="AP103" s="384">
        <v>1</v>
      </c>
      <c r="AQ103" s="384">
        <v>0.15</v>
      </c>
      <c r="AR103" s="382" t="s">
        <v>182</v>
      </c>
      <c r="AS103" s="386">
        <f t="shared" si="98"/>
        <v>0.15</v>
      </c>
      <c r="AT103">
        <f t="shared" si="99"/>
        <v>1</v>
      </c>
      <c r="AU103" s="386">
        <f>IF(AT103=0,"",IF(AND(AT103=1,M103="F",SUMIF(C2:C167,C103,AS2:AS167)&lt;=1),SUMIF(C2:C167,C103,AS2:AS167),IF(AND(AT103=1,M103="F",SUMIF(C2:C167,C103,AS2:AS167)&gt;1),1,"")))</f>
        <v>1</v>
      </c>
      <c r="AV103" s="386" t="str">
        <f>IF(AT103=0,"",IF(AND(AT103=3,M103="F",SUMIF(C2:C167,C103,AS2:AS167)&lt;=1),SUMIF(C2:C167,C103,AS2:AS167),IF(AND(AT103=3,M103="F",SUMIF(C2:C167,C103,AS2:AS167)&gt;1),1,"")))</f>
        <v/>
      </c>
      <c r="AW103" s="386">
        <f>SUMIF(C2:C167,C103,O2:O167)</f>
        <v>4</v>
      </c>
      <c r="AX103" s="386">
        <f>IF(AND(M103="F",AS103&lt;&gt;0),SUMIF(C2:C167,C103,W2:W167),0)</f>
        <v>74692.800000000003</v>
      </c>
      <c r="AY103" s="386">
        <f t="shared" si="100"/>
        <v>11203.92</v>
      </c>
      <c r="AZ103" s="386" t="str">
        <f t="shared" si="101"/>
        <v/>
      </c>
      <c r="BA103" s="386">
        <f t="shared" si="102"/>
        <v>0</v>
      </c>
      <c r="BB103" s="386">
        <f t="shared" si="115"/>
        <v>1747.5</v>
      </c>
      <c r="BC103" s="386">
        <f t="shared" si="116"/>
        <v>0</v>
      </c>
      <c r="BD103" s="386">
        <f t="shared" si="117"/>
        <v>694.64304000000004</v>
      </c>
      <c r="BE103" s="386">
        <f t="shared" si="118"/>
        <v>162.45684</v>
      </c>
      <c r="BF103" s="386">
        <f t="shared" si="119"/>
        <v>1337.7480480000002</v>
      </c>
      <c r="BG103" s="386">
        <f t="shared" si="120"/>
        <v>80.780263200000007</v>
      </c>
      <c r="BH103" s="386">
        <f t="shared" si="121"/>
        <v>54.899208000000002</v>
      </c>
      <c r="BI103" s="386">
        <f t="shared" si="122"/>
        <v>0</v>
      </c>
      <c r="BJ103" s="386">
        <f t="shared" si="123"/>
        <v>23.528231999999999</v>
      </c>
      <c r="BK103" s="386">
        <f t="shared" si="124"/>
        <v>0</v>
      </c>
      <c r="BL103" s="386">
        <f t="shared" si="103"/>
        <v>2354.0556311999999</v>
      </c>
      <c r="BM103" s="386">
        <f t="shared" si="104"/>
        <v>0</v>
      </c>
      <c r="BN103" s="386">
        <f t="shared" si="125"/>
        <v>1747.5</v>
      </c>
      <c r="BO103" s="386">
        <f t="shared" si="126"/>
        <v>0</v>
      </c>
      <c r="BP103" s="386">
        <f t="shared" si="127"/>
        <v>694.64304000000004</v>
      </c>
      <c r="BQ103" s="386">
        <f t="shared" si="128"/>
        <v>162.45684</v>
      </c>
      <c r="BR103" s="386">
        <f t="shared" si="129"/>
        <v>1337.7480480000002</v>
      </c>
      <c r="BS103" s="386">
        <f t="shared" si="130"/>
        <v>80.780263200000007</v>
      </c>
      <c r="BT103" s="386">
        <f t="shared" si="131"/>
        <v>0</v>
      </c>
      <c r="BU103" s="386">
        <f t="shared" si="132"/>
        <v>0</v>
      </c>
      <c r="BV103" s="386">
        <f t="shared" si="133"/>
        <v>20.167055999999999</v>
      </c>
      <c r="BW103" s="386">
        <f t="shared" si="134"/>
        <v>0</v>
      </c>
      <c r="BX103" s="386">
        <f t="shared" si="105"/>
        <v>2295.7952471999997</v>
      </c>
      <c r="BY103" s="386">
        <f t="shared" si="106"/>
        <v>0</v>
      </c>
      <c r="BZ103" s="386">
        <f t="shared" si="107"/>
        <v>0</v>
      </c>
      <c r="CA103" s="386">
        <f t="shared" si="108"/>
        <v>0</v>
      </c>
      <c r="CB103" s="386">
        <f t="shared" si="109"/>
        <v>0</v>
      </c>
      <c r="CC103" s="386">
        <f t="shared" si="135"/>
        <v>0</v>
      </c>
      <c r="CD103" s="386">
        <f t="shared" si="136"/>
        <v>0</v>
      </c>
      <c r="CE103" s="386">
        <f t="shared" si="137"/>
        <v>0</v>
      </c>
      <c r="CF103" s="386">
        <f t="shared" si="138"/>
        <v>-54.899208000000002</v>
      </c>
      <c r="CG103" s="386">
        <f t="shared" si="139"/>
        <v>0</v>
      </c>
      <c r="CH103" s="386">
        <f t="shared" si="140"/>
        <v>-3.3611759999999991</v>
      </c>
      <c r="CI103" s="386">
        <f t="shared" si="141"/>
        <v>0</v>
      </c>
      <c r="CJ103" s="386">
        <f t="shared" si="110"/>
        <v>-58.260384000000002</v>
      </c>
      <c r="CK103" s="386" t="str">
        <f t="shared" si="111"/>
        <v/>
      </c>
      <c r="CL103" s="386" t="str">
        <f t="shared" si="112"/>
        <v/>
      </c>
      <c r="CM103" s="386" t="str">
        <f t="shared" si="113"/>
        <v/>
      </c>
      <c r="CN103" s="386" t="str">
        <f t="shared" si="114"/>
        <v>0001-00</v>
      </c>
    </row>
    <row r="104" spans="1:92" ht="15.75" thickBot="1" x14ac:dyDescent="0.3">
      <c r="A104" s="376" t="s">
        <v>161</v>
      </c>
      <c r="B104" s="376" t="s">
        <v>162</v>
      </c>
      <c r="C104" s="376" t="s">
        <v>192</v>
      </c>
      <c r="D104" s="376" t="s">
        <v>193</v>
      </c>
      <c r="E104" s="376" t="s">
        <v>165</v>
      </c>
      <c r="F104" s="377" t="s">
        <v>166</v>
      </c>
      <c r="G104" s="376" t="s">
        <v>460</v>
      </c>
      <c r="H104" s="378"/>
      <c r="I104" s="378"/>
      <c r="J104" s="376" t="s">
        <v>185</v>
      </c>
      <c r="K104" s="376" t="s">
        <v>194</v>
      </c>
      <c r="L104" s="376" t="s">
        <v>166</v>
      </c>
      <c r="M104" s="376" t="s">
        <v>171</v>
      </c>
      <c r="N104" s="376" t="s">
        <v>172</v>
      </c>
      <c r="O104" s="379">
        <v>1</v>
      </c>
      <c r="P104" s="384">
        <v>0.05</v>
      </c>
      <c r="Q104" s="384">
        <v>0.05</v>
      </c>
      <c r="R104" s="380">
        <v>80</v>
      </c>
      <c r="S104" s="384">
        <v>0.05</v>
      </c>
      <c r="T104" s="380">
        <v>4459.45</v>
      </c>
      <c r="U104" s="380">
        <v>0</v>
      </c>
      <c r="V104" s="380">
        <v>1421.38</v>
      </c>
      <c r="W104" s="380">
        <v>4552.08</v>
      </c>
      <c r="X104" s="380">
        <v>1538.93</v>
      </c>
      <c r="Y104" s="380">
        <v>4552.08</v>
      </c>
      <c r="Z104" s="380">
        <v>1515.26</v>
      </c>
      <c r="AA104" s="376" t="s">
        <v>195</v>
      </c>
      <c r="AB104" s="376" t="s">
        <v>196</v>
      </c>
      <c r="AC104" s="376" t="s">
        <v>197</v>
      </c>
      <c r="AD104" s="376" t="s">
        <v>198</v>
      </c>
      <c r="AE104" s="376" t="s">
        <v>194</v>
      </c>
      <c r="AF104" s="376" t="s">
        <v>177</v>
      </c>
      <c r="AG104" s="376" t="s">
        <v>178</v>
      </c>
      <c r="AH104" s="381">
        <v>43.77</v>
      </c>
      <c r="AI104" s="381">
        <v>6572.5</v>
      </c>
      <c r="AJ104" s="376" t="s">
        <v>179</v>
      </c>
      <c r="AK104" s="376" t="s">
        <v>180</v>
      </c>
      <c r="AL104" s="376" t="s">
        <v>170</v>
      </c>
      <c r="AM104" s="376" t="s">
        <v>181</v>
      </c>
      <c r="AN104" s="376" t="s">
        <v>68</v>
      </c>
      <c r="AO104" s="379">
        <v>80</v>
      </c>
      <c r="AP104" s="384">
        <v>1</v>
      </c>
      <c r="AQ104" s="384">
        <v>0.05</v>
      </c>
      <c r="AR104" s="382" t="s">
        <v>182</v>
      </c>
      <c r="AS104" s="386">
        <f t="shared" si="98"/>
        <v>0.05</v>
      </c>
      <c r="AT104">
        <f t="shared" si="99"/>
        <v>1</v>
      </c>
      <c r="AU104" s="386">
        <f>IF(AT104=0,"",IF(AND(AT104=1,M104="F",SUMIF(C2:C167,C104,AS2:AS167)&lt;=1),SUMIF(C2:C167,C104,AS2:AS167),IF(AND(AT104=1,M104="F",SUMIF(C2:C167,C104,AS2:AS167)&gt;1),1,"")))</f>
        <v>1</v>
      </c>
      <c r="AV104" s="386" t="str">
        <f>IF(AT104=0,"",IF(AND(AT104=3,M104="F",SUMIF(C2:C167,C104,AS2:AS167)&lt;=1),SUMIF(C2:C167,C104,AS2:AS167),IF(AND(AT104=3,M104="F",SUMIF(C2:C167,C104,AS2:AS167)&gt;1),1,"")))</f>
        <v/>
      </c>
      <c r="AW104" s="386">
        <f>SUMIF(C2:C167,C104,O2:O167)</f>
        <v>5</v>
      </c>
      <c r="AX104" s="386">
        <f>IF(AND(M104="F",AS104&lt;&gt;0),SUMIF(C2:C167,C104,W2:W167),0)</f>
        <v>91041.600000000006</v>
      </c>
      <c r="AY104" s="386">
        <f t="shared" si="100"/>
        <v>4552.08</v>
      </c>
      <c r="AZ104" s="386" t="str">
        <f t="shared" si="101"/>
        <v/>
      </c>
      <c r="BA104" s="386">
        <f t="shared" si="102"/>
        <v>0</v>
      </c>
      <c r="BB104" s="386">
        <f t="shared" si="115"/>
        <v>582.5</v>
      </c>
      <c r="BC104" s="386">
        <f t="shared" si="116"/>
        <v>0</v>
      </c>
      <c r="BD104" s="386">
        <f t="shared" si="117"/>
        <v>282.22895999999997</v>
      </c>
      <c r="BE104" s="386">
        <f t="shared" si="118"/>
        <v>66.005160000000004</v>
      </c>
      <c r="BF104" s="386">
        <f t="shared" si="119"/>
        <v>543.51835200000005</v>
      </c>
      <c r="BG104" s="386">
        <f t="shared" si="120"/>
        <v>32.820496800000001</v>
      </c>
      <c r="BH104" s="386">
        <f t="shared" si="121"/>
        <v>22.305191999999998</v>
      </c>
      <c r="BI104" s="386">
        <f t="shared" si="122"/>
        <v>0</v>
      </c>
      <c r="BJ104" s="386">
        <f t="shared" si="123"/>
        <v>9.5593679999999992</v>
      </c>
      <c r="BK104" s="386">
        <f t="shared" si="124"/>
        <v>0</v>
      </c>
      <c r="BL104" s="386">
        <f t="shared" si="103"/>
        <v>956.4375288</v>
      </c>
      <c r="BM104" s="386">
        <f t="shared" si="104"/>
        <v>0</v>
      </c>
      <c r="BN104" s="386">
        <f t="shared" si="125"/>
        <v>582.5</v>
      </c>
      <c r="BO104" s="386">
        <f t="shared" si="126"/>
        <v>0</v>
      </c>
      <c r="BP104" s="386">
        <f t="shared" si="127"/>
        <v>282.22895999999997</v>
      </c>
      <c r="BQ104" s="386">
        <f t="shared" si="128"/>
        <v>66.005160000000004</v>
      </c>
      <c r="BR104" s="386">
        <f t="shared" si="129"/>
        <v>543.51835200000005</v>
      </c>
      <c r="BS104" s="386">
        <f t="shared" si="130"/>
        <v>32.820496800000001</v>
      </c>
      <c r="BT104" s="386">
        <f t="shared" si="131"/>
        <v>0</v>
      </c>
      <c r="BU104" s="386">
        <f t="shared" si="132"/>
        <v>0</v>
      </c>
      <c r="BV104" s="386">
        <f t="shared" si="133"/>
        <v>8.1937439999999988</v>
      </c>
      <c r="BW104" s="386">
        <f t="shared" si="134"/>
        <v>0</v>
      </c>
      <c r="BX104" s="386">
        <f t="shared" si="105"/>
        <v>932.76671280000005</v>
      </c>
      <c r="BY104" s="386">
        <f t="shared" si="106"/>
        <v>0</v>
      </c>
      <c r="BZ104" s="386">
        <f t="shared" si="107"/>
        <v>0</v>
      </c>
      <c r="CA104" s="386">
        <f t="shared" si="108"/>
        <v>0</v>
      </c>
      <c r="CB104" s="386">
        <f t="shared" si="109"/>
        <v>0</v>
      </c>
      <c r="CC104" s="386">
        <f t="shared" si="135"/>
        <v>0</v>
      </c>
      <c r="CD104" s="386">
        <f t="shared" si="136"/>
        <v>0</v>
      </c>
      <c r="CE104" s="386">
        <f t="shared" si="137"/>
        <v>0</v>
      </c>
      <c r="CF104" s="386">
        <f t="shared" si="138"/>
        <v>-22.305191999999998</v>
      </c>
      <c r="CG104" s="386">
        <f t="shared" si="139"/>
        <v>0</v>
      </c>
      <c r="CH104" s="386">
        <f t="shared" si="140"/>
        <v>-1.3656239999999995</v>
      </c>
      <c r="CI104" s="386">
        <f t="shared" si="141"/>
        <v>0</v>
      </c>
      <c r="CJ104" s="386">
        <f t="shared" si="110"/>
        <v>-23.670815999999999</v>
      </c>
      <c r="CK104" s="386" t="str">
        <f t="shared" si="111"/>
        <v/>
      </c>
      <c r="CL104" s="386" t="str">
        <f t="shared" si="112"/>
        <v/>
      </c>
      <c r="CM104" s="386" t="str">
        <f t="shared" si="113"/>
        <v/>
      </c>
      <c r="CN104" s="386" t="str">
        <f t="shared" si="114"/>
        <v>0001-00</v>
      </c>
    </row>
    <row r="105" spans="1:92" ht="15.75" thickBot="1" x14ac:dyDescent="0.3">
      <c r="A105" s="376" t="s">
        <v>161</v>
      </c>
      <c r="B105" s="376" t="s">
        <v>162</v>
      </c>
      <c r="C105" s="376" t="s">
        <v>431</v>
      </c>
      <c r="D105" s="376" t="s">
        <v>432</v>
      </c>
      <c r="E105" s="376" t="s">
        <v>165</v>
      </c>
      <c r="F105" s="377" t="s">
        <v>166</v>
      </c>
      <c r="G105" s="376" t="s">
        <v>460</v>
      </c>
      <c r="H105" s="378"/>
      <c r="I105" s="378"/>
      <c r="J105" s="376" t="s">
        <v>168</v>
      </c>
      <c r="K105" s="376" t="s">
        <v>433</v>
      </c>
      <c r="L105" s="376" t="s">
        <v>166</v>
      </c>
      <c r="M105" s="376" t="s">
        <v>171</v>
      </c>
      <c r="N105" s="376" t="s">
        <v>172</v>
      </c>
      <c r="O105" s="379">
        <v>1</v>
      </c>
      <c r="P105" s="384">
        <v>1</v>
      </c>
      <c r="Q105" s="384">
        <v>1</v>
      </c>
      <c r="R105" s="380">
        <v>80</v>
      </c>
      <c r="S105" s="384">
        <v>1</v>
      </c>
      <c r="T105" s="380">
        <v>79707.17</v>
      </c>
      <c r="U105" s="380">
        <v>0</v>
      </c>
      <c r="V105" s="380">
        <v>26492.29</v>
      </c>
      <c r="W105" s="380">
        <v>83990.399999999994</v>
      </c>
      <c r="X105" s="380">
        <v>29297.200000000001</v>
      </c>
      <c r="Y105" s="380">
        <v>83990.399999999994</v>
      </c>
      <c r="Z105" s="380">
        <v>28860.46</v>
      </c>
      <c r="AA105" s="376" t="s">
        <v>434</v>
      </c>
      <c r="AB105" s="376" t="s">
        <v>435</v>
      </c>
      <c r="AC105" s="376" t="s">
        <v>436</v>
      </c>
      <c r="AD105" s="376" t="s">
        <v>211</v>
      </c>
      <c r="AE105" s="376" t="s">
        <v>433</v>
      </c>
      <c r="AF105" s="376" t="s">
        <v>177</v>
      </c>
      <c r="AG105" s="376" t="s">
        <v>178</v>
      </c>
      <c r="AH105" s="381">
        <v>40.380000000000003</v>
      </c>
      <c r="AI105" s="381">
        <v>51147.6</v>
      </c>
      <c r="AJ105" s="376" t="s">
        <v>179</v>
      </c>
      <c r="AK105" s="376" t="s">
        <v>180</v>
      </c>
      <c r="AL105" s="376" t="s">
        <v>170</v>
      </c>
      <c r="AM105" s="376" t="s">
        <v>181</v>
      </c>
      <c r="AN105" s="376" t="s">
        <v>68</v>
      </c>
      <c r="AO105" s="379">
        <v>80</v>
      </c>
      <c r="AP105" s="384">
        <v>1</v>
      </c>
      <c r="AQ105" s="384">
        <v>1</v>
      </c>
      <c r="AR105" s="382" t="s">
        <v>182</v>
      </c>
      <c r="AS105" s="386">
        <f t="shared" si="98"/>
        <v>1</v>
      </c>
      <c r="AT105">
        <f t="shared" si="99"/>
        <v>1</v>
      </c>
      <c r="AU105" s="386">
        <f>IF(AT105=0,"",IF(AND(AT105=1,M105="F",SUMIF(C2:C167,C105,AS2:AS167)&lt;=1),SUMIF(C2:C167,C105,AS2:AS167),IF(AND(AT105=1,M105="F",SUMIF(C2:C167,C105,AS2:AS167)&gt;1),1,"")))</f>
        <v>1</v>
      </c>
      <c r="AV105" s="386" t="str">
        <f>IF(AT105=0,"",IF(AND(AT105=3,M105="F",SUMIF(C2:C167,C105,AS2:AS167)&lt;=1),SUMIF(C2:C167,C105,AS2:AS167),IF(AND(AT105=3,M105="F",SUMIF(C2:C167,C105,AS2:AS167)&gt;1),1,"")))</f>
        <v/>
      </c>
      <c r="AW105" s="386">
        <f>SUMIF(C2:C167,C105,O2:O167)</f>
        <v>2</v>
      </c>
      <c r="AX105" s="386">
        <f>IF(AND(M105="F",AS105&lt;&gt;0),SUMIF(C2:C167,C105,W2:W167),0)</f>
        <v>83990.399999999994</v>
      </c>
      <c r="AY105" s="386">
        <f t="shared" si="100"/>
        <v>83990.399999999994</v>
      </c>
      <c r="AZ105" s="386" t="str">
        <f t="shared" si="101"/>
        <v/>
      </c>
      <c r="BA105" s="386">
        <f t="shared" si="102"/>
        <v>0</v>
      </c>
      <c r="BB105" s="386">
        <f t="shared" si="115"/>
        <v>11650</v>
      </c>
      <c r="BC105" s="386">
        <f t="shared" si="116"/>
        <v>0</v>
      </c>
      <c r="BD105" s="386">
        <f t="shared" si="117"/>
        <v>5207.4047999999993</v>
      </c>
      <c r="BE105" s="386">
        <f t="shared" si="118"/>
        <v>1217.8607999999999</v>
      </c>
      <c r="BF105" s="386">
        <f t="shared" si="119"/>
        <v>10028.45376</v>
      </c>
      <c r="BG105" s="386">
        <f t="shared" si="120"/>
        <v>605.570784</v>
      </c>
      <c r="BH105" s="386">
        <f t="shared" si="121"/>
        <v>411.55295999999998</v>
      </c>
      <c r="BI105" s="386">
        <f t="shared" si="122"/>
        <v>0</v>
      </c>
      <c r="BJ105" s="386">
        <f t="shared" si="123"/>
        <v>176.37983999999997</v>
      </c>
      <c r="BK105" s="386">
        <f t="shared" si="124"/>
        <v>0</v>
      </c>
      <c r="BL105" s="386">
        <f t="shared" si="103"/>
        <v>17647.222944000001</v>
      </c>
      <c r="BM105" s="386">
        <f t="shared" si="104"/>
        <v>0</v>
      </c>
      <c r="BN105" s="386">
        <f t="shared" si="125"/>
        <v>11650</v>
      </c>
      <c r="BO105" s="386">
        <f t="shared" si="126"/>
        <v>0</v>
      </c>
      <c r="BP105" s="386">
        <f t="shared" si="127"/>
        <v>5207.4047999999993</v>
      </c>
      <c r="BQ105" s="386">
        <f t="shared" si="128"/>
        <v>1217.8607999999999</v>
      </c>
      <c r="BR105" s="386">
        <f t="shared" si="129"/>
        <v>10028.45376</v>
      </c>
      <c r="BS105" s="386">
        <f t="shared" si="130"/>
        <v>605.570784</v>
      </c>
      <c r="BT105" s="386">
        <f t="shared" si="131"/>
        <v>0</v>
      </c>
      <c r="BU105" s="386">
        <f t="shared" si="132"/>
        <v>0</v>
      </c>
      <c r="BV105" s="386">
        <f t="shared" si="133"/>
        <v>151.18271999999999</v>
      </c>
      <c r="BW105" s="386">
        <f t="shared" si="134"/>
        <v>0</v>
      </c>
      <c r="BX105" s="386">
        <f t="shared" si="105"/>
        <v>17210.472863999999</v>
      </c>
      <c r="BY105" s="386">
        <f t="shared" si="106"/>
        <v>0</v>
      </c>
      <c r="BZ105" s="386">
        <f t="shared" si="107"/>
        <v>0</v>
      </c>
      <c r="CA105" s="386">
        <f t="shared" si="108"/>
        <v>0</v>
      </c>
      <c r="CB105" s="386">
        <f t="shared" si="109"/>
        <v>0</v>
      </c>
      <c r="CC105" s="386">
        <f t="shared" si="135"/>
        <v>0</v>
      </c>
      <c r="CD105" s="386">
        <f t="shared" si="136"/>
        <v>0</v>
      </c>
      <c r="CE105" s="386">
        <f t="shared" si="137"/>
        <v>0</v>
      </c>
      <c r="CF105" s="386">
        <f t="shared" si="138"/>
        <v>-411.55295999999998</v>
      </c>
      <c r="CG105" s="386">
        <f t="shared" si="139"/>
        <v>0</v>
      </c>
      <c r="CH105" s="386">
        <f t="shared" si="140"/>
        <v>-25.197119999999991</v>
      </c>
      <c r="CI105" s="386">
        <f t="shared" si="141"/>
        <v>0</v>
      </c>
      <c r="CJ105" s="386">
        <f t="shared" si="110"/>
        <v>-436.75007999999997</v>
      </c>
      <c r="CK105" s="386" t="str">
        <f t="shared" si="111"/>
        <v/>
      </c>
      <c r="CL105" s="386" t="str">
        <f t="shared" si="112"/>
        <v/>
      </c>
      <c r="CM105" s="386" t="str">
        <f t="shared" si="113"/>
        <v/>
      </c>
      <c r="CN105" s="386" t="str">
        <f t="shared" si="114"/>
        <v>0001-00</v>
      </c>
    </row>
    <row r="106" spans="1:92" ht="15.75" thickBot="1" x14ac:dyDescent="0.3">
      <c r="A106" s="376" t="s">
        <v>161</v>
      </c>
      <c r="B106" s="376" t="s">
        <v>162</v>
      </c>
      <c r="C106" s="376" t="s">
        <v>491</v>
      </c>
      <c r="D106" s="376" t="s">
        <v>481</v>
      </c>
      <c r="E106" s="376" t="s">
        <v>165</v>
      </c>
      <c r="F106" s="377" t="s">
        <v>166</v>
      </c>
      <c r="G106" s="376" t="s">
        <v>460</v>
      </c>
      <c r="H106" s="378"/>
      <c r="I106" s="378"/>
      <c r="J106" s="376" t="s">
        <v>168</v>
      </c>
      <c r="K106" s="376" t="s">
        <v>482</v>
      </c>
      <c r="L106" s="376" t="s">
        <v>166</v>
      </c>
      <c r="M106" s="376" t="s">
        <v>171</v>
      </c>
      <c r="N106" s="376" t="s">
        <v>172</v>
      </c>
      <c r="O106" s="379">
        <v>1</v>
      </c>
      <c r="P106" s="384">
        <v>1</v>
      </c>
      <c r="Q106" s="384">
        <v>1</v>
      </c>
      <c r="R106" s="380">
        <v>80</v>
      </c>
      <c r="S106" s="384">
        <v>1</v>
      </c>
      <c r="T106" s="380">
        <v>53478</v>
      </c>
      <c r="U106" s="380">
        <v>0</v>
      </c>
      <c r="V106" s="380">
        <v>22467.759999999998</v>
      </c>
      <c r="W106" s="380">
        <v>54766.400000000001</v>
      </c>
      <c r="X106" s="380">
        <v>23156.93</v>
      </c>
      <c r="Y106" s="380">
        <v>54766.400000000001</v>
      </c>
      <c r="Z106" s="380">
        <v>22872.15</v>
      </c>
      <c r="AA106" s="376" t="s">
        <v>492</v>
      </c>
      <c r="AB106" s="376" t="s">
        <v>493</v>
      </c>
      <c r="AC106" s="376" t="s">
        <v>494</v>
      </c>
      <c r="AD106" s="376" t="s">
        <v>298</v>
      </c>
      <c r="AE106" s="376" t="s">
        <v>482</v>
      </c>
      <c r="AF106" s="376" t="s">
        <v>177</v>
      </c>
      <c r="AG106" s="376" t="s">
        <v>178</v>
      </c>
      <c r="AH106" s="381">
        <v>26.33</v>
      </c>
      <c r="AI106" s="379">
        <v>13602</v>
      </c>
      <c r="AJ106" s="376" t="s">
        <v>179</v>
      </c>
      <c r="AK106" s="376" t="s">
        <v>180</v>
      </c>
      <c r="AL106" s="376" t="s">
        <v>170</v>
      </c>
      <c r="AM106" s="376" t="s">
        <v>181</v>
      </c>
      <c r="AN106" s="376" t="s">
        <v>68</v>
      </c>
      <c r="AO106" s="379">
        <v>80</v>
      </c>
      <c r="AP106" s="384">
        <v>1</v>
      </c>
      <c r="AQ106" s="384">
        <v>1</v>
      </c>
      <c r="AR106" s="382" t="s">
        <v>182</v>
      </c>
      <c r="AS106" s="386">
        <f t="shared" si="98"/>
        <v>1</v>
      </c>
      <c r="AT106">
        <f t="shared" si="99"/>
        <v>1</v>
      </c>
      <c r="AU106" s="386">
        <f>IF(AT106=0,"",IF(AND(AT106=1,M106="F",SUMIF(C2:C167,C106,AS2:AS167)&lt;=1),SUMIF(C2:C167,C106,AS2:AS167),IF(AND(AT106=1,M106="F",SUMIF(C2:C167,C106,AS2:AS167)&gt;1),1,"")))</f>
        <v>1</v>
      </c>
      <c r="AV106" s="386" t="str">
        <f>IF(AT106=0,"",IF(AND(AT106=3,M106="F",SUMIF(C2:C167,C106,AS2:AS167)&lt;=1),SUMIF(C2:C167,C106,AS2:AS167),IF(AND(AT106=3,M106="F",SUMIF(C2:C167,C106,AS2:AS167)&gt;1),1,"")))</f>
        <v/>
      </c>
      <c r="AW106" s="386">
        <f>SUMIF(C2:C167,C106,O2:O167)</f>
        <v>1</v>
      </c>
      <c r="AX106" s="386">
        <f>IF(AND(M106="F",AS106&lt;&gt;0),SUMIF(C2:C167,C106,W2:W167),0)</f>
        <v>54766.400000000001</v>
      </c>
      <c r="AY106" s="386">
        <f t="shared" si="100"/>
        <v>54766.400000000001</v>
      </c>
      <c r="AZ106" s="386" t="str">
        <f t="shared" si="101"/>
        <v/>
      </c>
      <c r="BA106" s="386">
        <f t="shared" si="102"/>
        <v>0</v>
      </c>
      <c r="BB106" s="386">
        <f t="shared" si="115"/>
        <v>11650</v>
      </c>
      <c r="BC106" s="386">
        <f t="shared" si="116"/>
        <v>0</v>
      </c>
      <c r="BD106" s="386">
        <f t="shared" si="117"/>
        <v>3395.5167999999999</v>
      </c>
      <c r="BE106" s="386">
        <f t="shared" si="118"/>
        <v>794.11280000000011</v>
      </c>
      <c r="BF106" s="386">
        <f t="shared" si="119"/>
        <v>6539.1081600000007</v>
      </c>
      <c r="BG106" s="386">
        <f t="shared" si="120"/>
        <v>394.86574400000001</v>
      </c>
      <c r="BH106" s="386">
        <f t="shared" si="121"/>
        <v>268.35536000000002</v>
      </c>
      <c r="BI106" s="386">
        <f t="shared" si="122"/>
        <v>0</v>
      </c>
      <c r="BJ106" s="386">
        <f t="shared" si="123"/>
        <v>115.00944</v>
      </c>
      <c r="BK106" s="386">
        <f t="shared" si="124"/>
        <v>0</v>
      </c>
      <c r="BL106" s="386">
        <f t="shared" si="103"/>
        <v>11506.968304</v>
      </c>
      <c r="BM106" s="386">
        <f t="shared" si="104"/>
        <v>0</v>
      </c>
      <c r="BN106" s="386">
        <f t="shared" si="125"/>
        <v>11650</v>
      </c>
      <c r="BO106" s="386">
        <f t="shared" si="126"/>
        <v>0</v>
      </c>
      <c r="BP106" s="386">
        <f t="shared" si="127"/>
        <v>3395.5167999999999</v>
      </c>
      <c r="BQ106" s="386">
        <f t="shared" si="128"/>
        <v>794.11280000000011</v>
      </c>
      <c r="BR106" s="386">
        <f t="shared" si="129"/>
        <v>6539.1081600000007</v>
      </c>
      <c r="BS106" s="386">
        <f t="shared" si="130"/>
        <v>394.86574400000001</v>
      </c>
      <c r="BT106" s="386">
        <f t="shared" si="131"/>
        <v>0</v>
      </c>
      <c r="BU106" s="386">
        <f t="shared" si="132"/>
        <v>0</v>
      </c>
      <c r="BV106" s="386">
        <f t="shared" si="133"/>
        <v>98.579520000000002</v>
      </c>
      <c r="BW106" s="386">
        <f t="shared" si="134"/>
        <v>0</v>
      </c>
      <c r="BX106" s="386">
        <f t="shared" si="105"/>
        <v>11222.183024</v>
      </c>
      <c r="BY106" s="386">
        <f t="shared" si="106"/>
        <v>0</v>
      </c>
      <c r="BZ106" s="386">
        <f t="shared" si="107"/>
        <v>0</v>
      </c>
      <c r="CA106" s="386">
        <f t="shared" si="108"/>
        <v>0</v>
      </c>
      <c r="CB106" s="386">
        <f t="shared" si="109"/>
        <v>0</v>
      </c>
      <c r="CC106" s="386">
        <f t="shared" si="135"/>
        <v>0</v>
      </c>
      <c r="CD106" s="386">
        <f t="shared" si="136"/>
        <v>0</v>
      </c>
      <c r="CE106" s="386">
        <f t="shared" si="137"/>
        <v>0</v>
      </c>
      <c r="CF106" s="386">
        <f t="shared" si="138"/>
        <v>-268.35536000000002</v>
      </c>
      <c r="CG106" s="386">
        <f t="shared" si="139"/>
        <v>0</v>
      </c>
      <c r="CH106" s="386">
        <f t="shared" si="140"/>
        <v>-16.429919999999996</v>
      </c>
      <c r="CI106" s="386">
        <f t="shared" si="141"/>
        <v>0</v>
      </c>
      <c r="CJ106" s="386">
        <f t="shared" si="110"/>
        <v>-284.78528</v>
      </c>
      <c r="CK106" s="386" t="str">
        <f t="shared" si="111"/>
        <v/>
      </c>
      <c r="CL106" s="386" t="str">
        <f t="shared" si="112"/>
        <v/>
      </c>
      <c r="CM106" s="386" t="str">
        <f t="shared" si="113"/>
        <v/>
      </c>
      <c r="CN106" s="386" t="str">
        <f t="shared" si="114"/>
        <v>0001-00</v>
      </c>
    </row>
    <row r="107" spans="1:92" ht="15.75" thickBot="1" x14ac:dyDescent="0.3">
      <c r="A107" s="376" t="s">
        <v>161</v>
      </c>
      <c r="B107" s="376" t="s">
        <v>162</v>
      </c>
      <c r="C107" s="376" t="s">
        <v>199</v>
      </c>
      <c r="D107" s="376" t="s">
        <v>200</v>
      </c>
      <c r="E107" s="376" t="s">
        <v>165</v>
      </c>
      <c r="F107" s="377" t="s">
        <v>166</v>
      </c>
      <c r="G107" s="376" t="s">
        <v>460</v>
      </c>
      <c r="H107" s="378"/>
      <c r="I107" s="378"/>
      <c r="J107" s="376" t="s">
        <v>185</v>
      </c>
      <c r="K107" s="376" t="s">
        <v>201</v>
      </c>
      <c r="L107" s="376" t="s">
        <v>178</v>
      </c>
      <c r="M107" s="376" t="s">
        <v>171</v>
      </c>
      <c r="N107" s="376" t="s">
        <v>172</v>
      </c>
      <c r="O107" s="379">
        <v>1</v>
      </c>
      <c r="P107" s="384">
        <v>0.1</v>
      </c>
      <c r="Q107" s="384">
        <v>0.1</v>
      </c>
      <c r="R107" s="380">
        <v>80</v>
      </c>
      <c r="S107" s="384">
        <v>0.1</v>
      </c>
      <c r="T107" s="380">
        <v>3038.44</v>
      </c>
      <c r="U107" s="380">
        <v>0</v>
      </c>
      <c r="V107" s="380">
        <v>1520.12</v>
      </c>
      <c r="W107" s="380">
        <v>4160</v>
      </c>
      <c r="X107" s="380">
        <v>2039.05</v>
      </c>
      <c r="Y107" s="380">
        <v>4160</v>
      </c>
      <c r="Z107" s="380">
        <v>2017.42</v>
      </c>
      <c r="AA107" s="376" t="s">
        <v>202</v>
      </c>
      <c r="AB107" s="376" t="s">
        <v>203</v>
      </c>
      <c r="AC107" s="376" t="s">
        <v>204</v>
      </c>
      <c r="AD107" s="376" t="s">
        <v>176</v>
      </c>
      <c r="AE107" s="376" t="s">
        <v>201</v>
      </c>
      <c r="AF107" s="376" t="s">
        <v>177</v>
      </c>
      <c r="AG107" s="376" t="s">
        <v>178</v>
      </c>
      <c r="AH107" s="379">
        <v>20</v>
      </c>
      <c r="AI107" s="379">
        <v>769</v>
      </c>
      <c r="AJ107" s="376" t="s">
        <v>179</v>
      </c>
      <c r="AK107" s="376" t="s">
        <v>180</v>
      </c>
      <c r="AL107" s="376" t="s">
        <v>170</v>
      </c>
      <c r="AM107" s="376" t="s">
        <v>181</v>
      </c>
      <c r="AN107" s="376" t="s">
        <v>68</v>
      </c>
      <c r="AO107" s="379">
        <v>80</v>
      </c>
      <c r="AP107" s="384">
        <v>1</v>
      </c>
      <c r="AQ107" s="384">
        <v>0.1</v>
      </c>
      <c r="AR107" s="382" t="s">
        <v>182</v>
      </c>
      <c r="AS107" s="386">
        <f t="shared" si="98"/>
        <v>0.1</v>
      </c>
      <c r="AT107">
        <f t="shared" si="99"/>
        <v>1</v>
      </c>
      <c r="AU107" s="386">
        <f>IF(AT107=0,"",IF(AND(AT107=1,M107="F",SUMIF(C2:C167,C107,AS2:AS167)&lt;=1),SUMIF(C2:C167,C107,AS2:AS167),IF(AND(AT107=1,M107="F",SUMIF(C2:C167,C107,AS2:AS167)&gt;1),1,"")))</f>
        <v>1</v>
      </c>
      <c r="AV107" s="386" t="str">
        <f>IF(AT107=0,"",IF(AND(AT107=3,M107="F",SUMIF(C2:C167,C107,AS2:AS167)&lt;=1),SUMIF(C2:C167,C107,AS2:AS167),IF(AND(AT107=3,M107="F",SUMIF(C2:C167,C107,AS2:AS167)&gt;1),1,"")))</f>
        <v/>
      </c>
      <c r="AW107" s="386">
        <f>SUMIF(C2:C167,C107,O2:O167)</f>
        <v>4</v>
      </c>
      <c r="AX107" s="386">
        <f>IF(AND(M107="F",AS107&lt;&gt;0),SUMIF(C2:C167,C107,W2:W167),0)</f>
        <v>41600</v>
      </c>
      <c r="AY107" s="386">
        <f t="shared" si="100"/>
        <v>4160</v>
      </c>
      <c r="AZ107" s="386" t="str">
        <f t="shared" si="101"/>
        <v/>
      </c>
      <c r="BA107" s="386">
        <f t="shared" si="102"/>
        <v>0</v>
      </c>
      <c r="BB107" s="386">
        <f t="shared" si="115"/>
        <v>1165</v>
      </c>
      <c r="BC107" s="386">
        <f t="shared" si="116"/>
        <v>0</v>
      </c>
      <c r="BD107" s="386">
        <f t="shared" si="117"/>
        <v>257.92</v>
      </c>
      <c r="BE107" s="386">
        <f t="shared" si="118"/>
        <v>60.32</v>
      </c>
      <c r="BF107" s="386">
        <f t="shared" si="119"/>
        <v>496.70400000000001</v>
      </c>
      <c r="BG107" s="386">
        <f t="shared" si="120"/>
        <v>29.993600000000001</v>
      </c>
      <c r="BH107" s="386">
        <f t="shared" si="121"/>
        <v>20.384</v>
      </c>
      <c r="BI107" s="386">
        <f t="shared" si="122"/>
        <v>0</v>
      </c>
      <c r="BJ107" s="386">
        <f t="shared" si="123"/>
        <v>8.7359999999999989</v>
      </c>
      <c r="BK107" s="386">
        <f t="shared" si="124"/>
        <v>0</v>
      </c>
      <c r="BL107" s="386">
        <f t="shared" si="103"/>
        <v>874.05759999999998</v>
      </c>
      <c r="BM107" s="386">
        <f t="shared" si="104"/>
        <v>0</v>
      </c>
      <c r="BN107" s="386">
        <f t="shared" si="125"/>
        <v>1165</v>
      </c>
      <c r="BO107" s="386">
        <f t="shared" si="126"/>
        <v>0</v>
      </c>
      <c r="BP107" s="386">
        <f t="shared" si="127"/>
        <v>257.92</v>
      </c>
      <c r="BQ107" s="386">
        <f t="shared" si="128"/>
        <v>60.32</v>
      </c>
      <c r="BR107" s="386">
        <f t="shared" si="129"/>
        <v>496.70400000000001</v>
      </c>
      <c r="BS107" s="386">
        <f t="shared" si="130"/>
        <v>29.993600000000001</v>
      </c>
      <c r="BT107" s="386">
        <f t="shared" si="131"/>
        <v>0</v>
      </c>
      <c r="BU107" s="386">
        <f t="shared" si="132"/>
        <v>0</v>
      </c>
      <c r="BV107" s="386">
        <f t="shared" si="133"/>
        <v>7.4879999999999995</v>
      </c>
      <c r="BW107" s="386">
        <f t="shared" si="134"/>
        <v>0</v>
      </c>
      <c r="BX107" s="386">
        <f t="shared" si="105"/>
        <v>852.42560000000003</v>
      </c>
      <c r="BY107" s="386">
        <f t="shared" si="106"/>
        <v>0</v>
      </c>
      <c r="BZ107" s="386">
        <f t="shared" si="107"/>
        <v>0</v>
      </c>
      <c r="CA107" s="386">
        <f t="shared" si="108"/>
        <v>0</v>
      </c>
      <c r="CB107" s="386">
        <f t="shared" si="109"/>
        <v>0</v>
      </c>
      <c r="CC107" s="386">
        <f t="shared" si="135"/>
        <v>0</v>
      </c>
      <c r="CD107" s="386">
        <f t="shared" si="136"/>
        <v>0</v>
      </c>
      <c r="CE107" s="386">
        <f t="shared" si="137"/>
        <v>0</v>
      </c>
      <c r="CF107" s="386">
        <f t="shared" si="138"/>
        <v>-20.384</v>
      </c>
      <c r="CG107" s="386">
        <f t="shared" si="139"/>
        <v>0</v>
      </c>
      <c r="CH107" s="386">
        <f t="shared" si="140"/>
        <v>-1.2479999999999998</v>
      </c>
      <c r="CI107" s="386">
        <f t="shared" si="141"/>
        <v>0</v>
      </c>
      <c r="CJ107" s="386">
        <f t="shared" si="110"/>
        <v>-21.632000000000001</v>
      </c>
      <c r="CK107" s="386" t="str">
        <f t="shared" si="111"/>
        <v/>
      </c>
      <c r="CL107" s="386" t="str">
        <f t="shared" si="112"/>
        <v/>
      </c>
      <c r="CM107" s="386" t="str">
        <f t="shared" si="113"/>
        <v/>
      </c>
      <c r="CN107" s="386" t="str">
        <f t="shared" si="114"/>
        <v>0001-00</v>
      </c>
    </row>
    <row r="108" spans="1:92" ht="15.75" thickBot="1" x14ac:dyDescent="0.3">
      <c r="A108" s="376" t="s">
        <v>161</v>
      </c>
      <c r="B108" s="376" t="s">
        <v>162</v>
      </c>
      <c r="C108" s="376" t="s">
        <v>495</v>
      </c>
      <c r="D108" s="376" t="s">
        <v>213</v>
      </c>
      <c r="E108" s="376" t="s">
        <v>165</v>
      </c>
      <c r="F108" s="377" t="s">
        <v>166</v>
      </c>
      <c r="G108" s="376" t="s">
        <v>460</v>
      </c>
      <c r="H108" s="378"/>
      <c r="I108" s="378"/>
      <c r="J108" s="376" t="s">
        <v>168</v>
      </c>
      <c r="K108" s="376" t="s">
        <v>214</v>
      </c>
      <c r="L108" s="376" t="s">
        <v>166</v>
      </c>
      <c r="M108" s="376" t="s">
        <v>171</v>
      </c>
      <c r="N108" s="376" t="s">
        <v>172</v>
      </c>
      <c r="O108" s="379">
        <v>1</v>
      </c>
      <c r="P108" s="384">
        <v>1</v>
      </c>
      <c r="Q108" s="384">
        <v>1</v>
      </c>
      <c r="R108" s="380">
        <v>80</v>
      </c>
      <c r="S108" s="384">
        <v>1</v>
      </c>
      <c r="T108" s="380">
        <v>121991.2</v>
      </c>
      <c r="U108" s="380">
        <v>0</v>
      </c>
      <c r="V108" s="380">
        <v>36508.18</v>
      </c>
      <c r="W108" s="380">
        <v>123968</v>
      </c>
      <c r="X108" s="380">
        <v>37696.879999999997</v>
      </c>
      <c r="Y108" s="380">
        <v>123968</v>
      </c>
      <c r="Z108" s="380">
        <v>37052.25</v>
      </c>
      <c r="AA108" s="376" t="s">
        <v>496</v>
      </c>
      <c r="AB108" s="376" t="s">
        <v>497</v>
      </c>
      <c r="AC108" s="376" t="s">
        <v>498</v>
      </c>
      <c r="AD108" s="376" t="s">
        <v>180</v>
      </c>
      <c r="AE108" s="376" t="s">
        <v>214</v>
      </c>
      <c r="AF108" s="376" t="s">
        <v>177</v>
      </c>
      <c r="AG108" s="376" t="s">
        <v>178</v>
      </c>
      <c r="AH108" s="381">
        <v>59.6</v>
      </c>
      <c r="AI108" s="379">
        <v>4920</v>
      </c>
      <c r="AJ108" s="376" t="s">
        <v>179</v>
      </c>
      <c r="AK108" s="376" t="s">
        <v>180</v>
      </c>
      <c r="AL108" s="376" t="s">
        <v>170</v>
      </c>
      <c r="AM108" s="376" t="s">
        <v>181</v>
      </c>
      <c r="AN108" s="376" t="s">
        <v>68</v>
      </c>
      <c r="AO108" s="379">
        <v>80</v>
      </c>
      <c r="AP108" s="384">
        <v>1</v>
      </c>
      <c r="AQ108" s="384">
        <v>1</v>
      </c>
      <c r="AR108" s="382" t="s">
        <v>182</v>
      </c>
      <c r="AS108" s="386">
        <f t="shared" si="98"/>
        <v>1</v>
      </c>
      <c r="AT108">
        <f t="shared" si="99"/>
        <v>1</v>
      </c>
      <c r="AU108" s="386">
        <f>IF(AT108=0,"",IF(AND(AT108=1,M108="F",SUMIF(C2:C167,C108,AS2:AS167)&lt;=1),SUMIF(C2:C167,C108,AS2:AS167),IF(AND(AT108=1,M108="F",SUMIF(C2:C167,C108,AS2:AS167)&gt;1),1,"")))</f>
        <v>1</v>
      </c>
      <c r="AV108" s="386" t="str">
        <f>IF(AT108=0,"",IF(AND(AT108=3,M108="F",SUMIF(C2:C167,C108,AS2:AS167)&lt;=1),SUMIF(C2:C167,C108,AS2:AS167),IF(AND(AT108=3,M108="F",SUMIF(C2:C167,C108,AS2:AS167)&gt;1),1,"")))</f>
        <v/>
      </c>
      <c r="AW108" s="386">
        <f>SUMIF(C2:C167,C108,O2:O167)</f>
        <v>1</v>
      </c>
      <c r="AX108" s="386">
        <f>IF(AND(M108="F",AS108&lt;&gt;0),SUMIF(C2:C167,C108,W2:W167),0)</f>
        <v>123968</v>
      </c>
      <c r="AY108" s="386">
        <f t="shared" si="100"/>
        <v>123968</v>
      </c>
      <c r="AZ108" s="386" t="str">
        <f t="shared" si="101"/>
        <v/>
      </c>
      <c r="BA108" s="386">
        <f t="shared" si="102"/>
        <v>0</v>
      </c>
      <c r="BB108" s="386">
        <f t="shared" si="115"/>
        <v>11650</v>
      </c>
      <c r="BC108" s="386">
        <f t="shared" si="116"/>
        <v>0</v>
      </c>
      <c r="BD108" s="386">
        <f t="shared" si="117"/>
        <v>7686.0159999999996</v>
      </c>
      <c r="BE108" s="386">
        <f t="shared" si="118"/>
        <v>1797.5360000000001</v>
      </c>
      <c r="BF108" s="386">
        <f t="shared" si="119"/>
        <v>14801.779200000001</v>
      </c>
      <c r="BG108" s="386">
        <f t="shared" si="120"/>
        <v>893.80928000000006</v>
      </c>
      <c r="BH108" s="386">
        <f t="shared" si="121"/>
        <v>607.44319999999993</v>
      </c>
      <c r="BI108" s="386">
        <f t="shared" si="122"/>
        <v>0</v>
      </c>
      <c r="BJ108" s="386">
        <f t="shared" si="123"/>
        <v>260.33279999999996</v>
      </c>
      <c r="BK108" s="386">
        <f t="shared" si="124"/>
        <v>0</v>
      </c>
      <c r="BL108" s="386">
        <f t="shared" si="103"/>
        <v>26046.916480000004</v>
      </c>
      <c r="BM108" s="386">
        <f t="shared" si="104"/>
        <v>0</v>
      </c>
      <c r="BN108" s="386">
        <f t="shared" si="125"/>
        <v>11650</v>
      </c>
      <c r="BO108" s="386">
        <f t="shared" si="126"/>
        <v>0</v>
      </c>
      <c r="BP108" s="386">
        <f t="shared" si="127"/>
        <v>7686.0159999999996</v>
      </c>
      <c r="BQ108" s="386">
        <f t="shared" si="128"/>
        <v>1797.5360000000001</v>
      </c>
      <c r="BR108" s="386">
        <f t="shared" si="129"/>
        <v>14801.779200000001</v>
      </c>
      <c r="BS108" s="386">
        <f t="shared" si="130"/>
        <v>893.80928000000006</v>
      </c>
      <c r="BT108" s="386">
        <f t="shared" si="131"/>
        <v>0</v>
      </c>
      <c r="BU108" s="386">
        <f t="shared" si="132"/>
        <v>0</v>
      </c>
      <c r="BV108" s="386">
        <f t="shared" si="133"/>
        <v>223.14239999999998</v>
      </c>
      <c r="BW108" s="386">
        <f t="shared" si="134"/>
        <v>0</v>
      </c>
      <c r="BX108" s="386">
        <f t="shared" si="105"/>
        <v>25402.282880000002</v>
      </c>
      <c r="BY108" s="386">
        <f t="shared" si="106"/>
        <v>0</v>
      </c>
      <c r="BZ108" s="386">
        <f t="shared" si="107"/>
        <v>0</v>
      </c>
      <c r="CA108" s="386">
        <f t="shared" si="108"/>
        <v>0</v>
      </c>
      <c r="CB108" s="386">
        <f t="shared" si="109"/>
        <v>0</v>
      </c>
      <c r="CC108" s="386">
        <f t="shared" si="135"/>
        <v>0</v>
      </c>
      <c r="CD108" s="386">
        <f t="shared" si="136"/>
        <v>0</v>
      </c>
      <c r="CE108" s="386">
        <f t="shared" si="137"/>
        <v>0</v>
      </c>
      <c r="CF108" s="386">
        <f t="shared" si="138"/>
        <v>-607.44319999999993</v>
      </c>
      <c r="CG108" s="386">
        <f t="shared" si="139"/>
        <v>0</v>
      </c>
      <c r="CH108" s="386">
        <f t="shared" si="140"/>
        <v>-37.19039999999999</v>
      </c>
      <c r="CI108" s="386">
        <f t="shared" si="141"/>
        <v>0</v>
      </c>
      <c r="CJ108" s="386">
        <f t="shared" si="110"/>
        <v>-644.63359999999989</v>
      </c>
      <c r="CK108" s="386" t="str">
        <f t="shared" si="111"/>
        <v/>
      </c>
      <c r="CL108" s="386" t="str">
        <f t="shared" si="112"/>
        <v/>
      </c>
      <c r="CM108" s="386" t="str">
        <f t="shared" si="113"/>
        <v/>
      </c>
      <c r="CN108" s="386" t="str">
        <f t="shared" si="114"/>
        <v>0001-00</v>
      </c>
    </row>
    <row r="109" spans="1:92" ht="15.75" thickBot="1" x14ac:dyDescent="0.3">
      <c r="A109" s="376" t="s">
        <v>161</v>
      </c>
      <c r="B109" s="376" t="s">
        <v>162</v>
      </c>
      <c r="C109" s="376" t="s">
        <v>212</v>
      </c>
      <c r="D109" s="376" t="s">
        <v>213</v>
      </c>
      <c r="E109" s="376" t="s">
        <v>165</v>
      </c>
      <c r="F109" s="377" t="s">
        <v>166</v>
      </c>
      <c r="G109" s="376" t="s">
        <v>460</v>
      </c>
      <c r="H109" s="378"/>
      <c r="I109" s="378"/>
      <c r="J109" s="376" t="s">
        <v>185</v>
      </c>
      <c r="K109" s="376" t="s">
        <v>214</v>
      </c>
      <c r="L109" s="376" t="s">
        <v>166</v>
      </c>
      <c r="M109" s="376" t="s">
        <v>171</v>
      </c>
      <c r="N109" s="376" t="s">
        <v>172</v>
      </c>
      <c r="O109" s="379">
        <v>1</v>
      </c>
      <c r="P109" s="384">
        <v>0.05</v>
      </c>
      <c r="Q109" s="384">
        <v>0.05</v>
      </c>
      <c r="R109" s="380">
        <v>80</v>
      </c>
      <c r="S109" s="384">
        <v>0.05</v>
      </c>
      <c r="T109" s="380">
        <v>5097.7</v>
      </c>
      <c r="U109" s="380">
        <v>0</v>
      </c>
      <c r="V109" s="380">
        <v>1574.72</v>
      </c>
      <c r="W109" s="380">
        <v>5913.44</v>
      </c>
      <c r="X109" s="380">
        <v>1824.97</v>
      </c>
      <c r="Y109" s="380">
        <v>5913.44</v>
      </c>
      <c r="Z109" s="380">
        <v>1794.22</v>
      </c>
      <c r="AA109" s="376" t="s">
        <v>215</v>
      </c>
      <c r="AB109" s="376" t="s">
        <v>216</v>
      </c>
      <c r="AC109" s="376" t="s">
        <v>217</v>
      </c>
      <c r="AD109" s="376" t="s">
        <v>170</v>
      </c>
      <c r="AE109" s="376" t="s">
        <v>214</v>
      </c>
      <c r="AF109" s="376" t="s">
        <v>177</v>
      </c>
      <c r="AG109" s="376" t="s">
        <v>178</v>
      </c>
      <c r="AH109" s="381">
        <v>56.86</v>
      </c>
      <c r="AI109" s="379">
        <v>2817</v>
      </c>
      <c r="AJ109" s="376" t="s">
        <v>179</v>
      </c>
      <c r="AK109" s="376" t="s">
        <v>180</v>
      </c>
      <c r="AL109" s="376" t="s">
        <v>170</v>
      </c>
      <c r="AM109" s="376" t="s">
        <v>181</v>
      </c>
      <c r="AN109" s="376" t="s">
        <v>68</v>
      </c>
      <c r="AO109" s="379">
        <v>80</v>
      </c>
      <c r="AP109" s="384">
        <v>1</v>
      </c>
      <c r="AQ109" s="384">
        <v>0.05</v>
      </c>
      <c r="AR109" s="382" t="s">
        <v>182</v>
      </c>
      <c r="AS109" s="386">
        <f t="shared" si="98"/>
        <v>0.05</v>
      </c>
      <c r="AT109">
        <f t="shared" si="99"/>
        <v>1</v>
      </c>
      <c r="AU109" s="386">
        <f>IF(AT109=0,"",IF(AND(AT109=1,M109="F",SUMIF(C2:C167,C109,AS2:AS167)&lt;=1),SUMIF(C2:C167,C109,AS2:AS167),IF(AND(AT109=1,M109="F",SUMIF(C2:C167,C109,AS2:AS167)&gt;1),1,"")))</f>
        <v>1</v>
      </c>
      <c r="AV109" s="386" t="str">
        <f>IF(AT109=0,"",IF(AND(AT109=3,M109="F",SUMIF(C2:C167,C109,AS2:AS167)&lt;=1),SUMIF(C2:C167,C109,AS2:AS167),IF(AND(AT109=3,M109="F",SUMIF(C2:C167,C109,AS2:AS167)&gt;1),1,"")))</f>
        <v/>
      </c>
      <c r="AW109" s="386">
        <f>SUMIF(C2:C167,C109,O2:O167)</f>
        <v>5</v>
      </c>
      <c r="AX109" s="386">
        <f>IF(AND(M109="F",AS109&lt;&gt;0),SUMIF(C2:C167,C109,W2:W167),0)</f>
        <v>118268.80000000002</v>
      </c>
      <c r="AY109" s="386">
        <f t="shared" si="100"/>
        <v>5913.44</v>
      </c>
      <c r="AZ109" s="386" t="str">
        <f t="shared" si="101"/>
        <v/>
      </c>
      <c r="BA109" s="386">
        <f t="shared" si="102"/>
        <v>0</v>
      </c>
      <c r="BB109" s="386">
        <f t="shared" si="115"/>
        <v>582.5</v>
      </c>
      <c r="BC109" s="386">
        <f t="shared" si="116"/>
        <v>0</v>
      </c>
      <c r="BD109" s="386">
        <f t="shared" si="117"/>
        <v>366.63327999999996</v>
      </c>
      <c r="BE109" s="386">
        <f t="shared" si="118"/>
        <v>85.744879999999995</v>
      </c>
      <c r="BF109" s="386">
        <f t="shared" si="119"/>
        <v>706.06473600000004</v>
      </c>
      <c r="BG109" s="386">
        <f t="shared" si="120"/>
        <v>42.635902399999999</v>
      </c>
      <c r="BH109" s="386">
        <f t="shared" si="121"/>
        <v>28.975855999999997</v>
      </c>
      <c r="BI109" s="386">
        <f t="shared" si="122"/>
        <v>0</v>
      </c>
      <c r="BJ109" s="386">
        <f t="shared" si="123"/>
        <v>12.418223999999999</v>
      </c>
      <c r="BK109" s="386">
        <f t="shared" si="124"/>
        <v>0</v>
      </c>
      <c r="BL109" s="386">
        <f t="shared" si="103"/>
        <v>1242.4728784000001</v>
      </c>
      <c r="BM109" s="386">
        <f t="shared" si="104"/>
        <v>0</v>
      </c>
      <c r="BN109" s="386">
        <f t="shared" si="125"/>
        <v>582.5</v>
      </c>
      <c r="BO109" s="386">
        <f t="shared" si="126"/>
        <v>0</v>
      </c>
      <c r="BP109" s="386">
        <f t="shared" si="127"/>
        <v>366.63327999999996</v>
      </c>
      <c r="BQ109" s="386">
        <f t="shared" si="128"/>
        <v>85.744879999999995</v>
      </c>
      <c r="BR109" s="386">
        <f t="shared" si="129"/>
        <v>706.06473600000004</v>
      </c>
      <c r="BS109" s="386">
        <f t="shared" si="130"/>
        <v>42.635902399999999</v>
      </c>
      <c r="BT109" s="386">
        <f t="shared" si="131"/>
        <v>0</v>
      </c>
      <c r="BU109" s="386">
        <f t="shared" si="132"/>
        <v>0</v>
      </c>
      <c r="BV109" s="386">
        <f t="shared" si="133"/>
        <v>10.644191999999999</v>
      </c>
      <c r="BW109" s="386">
        <f t="shared" si="134"/>
        <v>0</v>
      </c>
      <c r="BX109" s="386">
        <f t="shared" si="105"/>
        <v>1211.7229904000001</v>
      </c>
      <c r="BY109" s="386">
        <f t="shared" si="106"/>
        <v>0</v>
      </c>
      <c r="BZ109" s="386">
        <f t="shared" si="107"/>
        <v>0</v>
      </c>
      <c r="CA109" s="386">
        <f t="shared" si="108"/>
        <v>0</v>
      </c>
      <c r="CB109" s="386">
        <f t="shared" si="109"/>
        <v>0</v>
      </c>
      <c r="CC109" s="386">
        <f t="shared" si="135"/>
        <v>0</v>
      </c>
      <c r="CD109" s="386">
        <f t="shared" si="136"/>
        <v>0</v>
      </c>
      <c r="CE109" s="386">
        <f t="shared" si="137"/>
        <v>0</v>
      </c>
      <c r="CF109" s="386">
        <f t="shared" si="138"/>
        <v>-28.975855999999997</v>
      </c>
      <c r="CG109" s="386">
        <f t="shared" si="139"/>
        <v>0</v>
      </c>
      <c r="CH109" s="386">
        <f t="shared" si="140"/>
        <v>-1.7740319999999994</v>
      </c>
      <c r="CI109" s="386">
        <f t="shared" si="141"/>
        <v>0</v>
      </c>
      <c r="CJ109" s="386">
        <f t="shared" si="110"/>
        <v>-30.749887999999995</v>
      </c>
      <c r="CK109" s="386" t="str">
        <f t="shared" si="111"/>
        <v/>
      </c>
      <c r="CL109" s="386" t="str">
        <f t="shared" si="112"/>
        <v/>
      </c>
      <c r="CM109" s="386" t="str">
        <f t="shared" si="113"/>
        <v/>
      </c>
      <c r="CN109" s="386" t="str">
        <f t="shared" si="114"/>
        <v>0001-00</v>
      </c>
    </row>
    <row r="110" spans="1:92" ht="15.75" thickBot="1" x14ac:dyDescent="0.3">
      <c r="A110" s="376" t="s">
        <v>161</v>
      </c>
      <c r="B110" s="376" t="s">
        <v>162</v>
      </c>
      <c r="C110" s="376" t="s">
        <v>499</v>
      </c>
      <c r="D110" s="376" t="s">
        <v>500</v>
      </c>
      <c r="E110" s="376" t="s">
        <v>501</v>
      </c>
      <c r="F110" s="377" t="s">
        <v>166</v>
      </c>
      <c r="G110" s="376" t="s">
        <v>502</v>
      </c>
      <c r="H110" s="378"/>
      <c r="I110" s="378"/>
      <c r="J110" s="376" t="s">
        <v>168</v>
      </c>
      <c r="K110" s="376" t="s">
        <v>503</v>
      </c>
      <c r="L110" s="376" t="s">
        <v>166</v>
      </c>
      <c r="M110" s="376" t="s">
        <v>171</v>
      </c>
      <c r="N110" s="376" t="s">
        <v>172</v>
      </c>
      <c r="O110" s="379">
        <v>1</v>
      </c>
      <c r="P110" s="384">
        <v>1</v>
      </c>
      <c r="Q110" s="384">
        <v>1</v>
      </c>
      <c r="R110" s="380">
        <v>80</v>
      </c>
      <c r="S110" s="384">
        <v>1</v>
      </c>
      <c r="T110" s="380">
        <v>37139.360000000001</v>
      </c>
      <c r="U110" s="380">
        <v>831.28</v>
      </c>
      <c r="V110" s="380">
        <v>18814.060000000001</v>
      </c>
      <c r="W110" s="380">
        <v>41496</v>
      </c>
      <c r="X110" s="380">
        <v>20368.71</v>
      </c>
      <c r="Y110" s="380">
        <v>41496</v>
      </c>
      <c r="Z110" s="380">
        <v>20152.93</v>
      </c>
      <c r="AA110" s="376" t="s">
        <v>504</v>
      </c>
      <c r="AB110" s="376" t="s">
        <v>505</v>
      </c>
      <c r="AC110" s="376" t="s">
        <v>506</v>
      </c>
      <c r="AD110" s="376" t="s">
        <v>170</v>
      </c>
      <c r="AE110" s="376" t="s">
        <v>503</v>
      </c>
      <c r="AF110" s="376" t="s">
        <v>177</v>
      </c>
      <c r="AG110" s="376" t="s">
        <v>178</v>
      </c>
      <c r="AH110" s="381">
        <v>19.95</v>
      </c>
      <c r="AI110" s="381">
        <v>7690.8</v>
      </c>
      <c r="AJ110" s="376" t="s">
        <v>179</v>
      </c>
      <c r="AK110" s="376" t="s">
        <v>180</v>
      </c>
      <c r="AL110" s="376" t="s">
        <v>170</v>
      </c>
      <c r="AM110" s="376" t="s">
        <v>181</v>
      </c>
      <c r="AN110" s="376" t="s">
        <v>68</v>
      </c>
      <c r="AO110" s="379">
        <v>80</v>
      </c>
      <c r="AP110" s="384">
        <v>1</v>
      </c>
      <c r="AQ110" s="384">
        <v>1</v>
      </c>
      <c r="AR110" s="382" t="s">
        <v>182</v>
      </c>
      <c r="AS110" s="386">
        <f t="shared" si="98"/>
        <v>1</v>
      </c>
      <c r="AT110">
        <f t="shared" si="99"/>
        <v>1</v>
      </c>
      <c r="AU110" s="386">
        <f>IF(AT110=0,"",IF(AND(AT110=1,M110="F",SUMIF(C2:C167,C110,AS2:AS167)&lt;=1),SUMIF(C2:C167,C110,AS2:AS167),IF(AND(AT110=1,M110="F",SUMIF(C2:C167,C110,AS2:AS167)&gt;1),1,"")))</f>
        <v>1</v>
      </c>
      <c r="AV110" s="386" t="str">
        <f>IF(AT110=0,"",IF(AND(AT110=3,M110="F",SUMIF(C2:C167,C110,AS2:AS167)&lt;=1),SUMIF(C2:C167,C110,AS2:AS167),IF(AND(AT110=3,M110="F",SUMIF(C2:C167,C110,AS2:AS167)&gt;1),1,"")))</f>
        <v/>
      </c>
      <c r="AW110" s="386">
        <f>SUMIF(C2:C167,C110,O2:O167)</f>
        <v>1</v>
      </c>
      <c r="AX110" s="386">
        <f>IF(AND(M110="F",AS110&lt;&gt;0),SUMIF(C2:C167,C110,W2:W167),0)</f>
        <v>41496</v>
      </c>
      <c r="AY110" s="386">
        <f t="shared" si="100"/>
        <v>41496</v>
      </c>
      <c r="AZ110" s="386" t="str">
        <f t="shared" si="101"/>
        <v/>
      </c>
      <c r="BA110" s="386">
        <f t="shared" si="102"/>
        <v>0</v>
      </c>
      <c r="BB110" s="386">
        <f t="shared" si="115"/>
        <v>11650</v>
      </c>
      <c r="BC110" s="386">
        <f t="shared" si="116"/>
        <v>0</v>
      </c>
      <c r="BD110" s="386">
        <f t="shared" si="117"/>
        <v>2572.752</v>
      </c>
      <c r="BE110" s="386">
        <f t="shared" si="118"/>
        <v>601.69200000000001</v>
      </c>
      <c r="BF110" s="386">
        <f t="shared" si="119"/>
        <v>4954.6224000000002</v>
      </c>
      <c r="BG110" s="386">
        <f t="shared" si="120"/>
        <v>299.18616000000003</v>
      </c>
      <c r="BH110" s="386">
        <f t="shared" si="121"/>
        <v>203.3304</v>
      </c>
      <c r="BI110" s="386">
        <f t="shared" si="122"/>
        <v>0</v>
      </c>
      <c r="BJ110" s="386">
        <f t="shared" si="123"/>
        <v>87.141599999999997</v>
      </c>
      <c r="BK110" s="386">
        <f t="shared" si="124"/>
        <v>0</v>
      </c>
      <c r="BL110" s="386">
        <f t="shared" si="103"/>
        <v>8718.7245600000006</v>
      </c>
      <c r="BM110" s="386">
        <f t="shared" si="104"/>
        <v>0</v>
      </c>
      <c r="BN110" s="386">
        <f t="shared" si="125"/>
        <v>11650</v>
      </c>
      <c r="BO110" s="386">
        <f t="shared" si="126"/>
        <v>0</v>
      </c>
      <c r="BP110" s="386">
        <f t="shared" si="127"/>
        <v>2572.752</v>
      </c>
      <c r="BQ110" s="386">
        <f t="shared" si="128"/>
        <v>601.69200000000001</v>
      </c>
      <c r="BR110" s="386">
        <f t="shared" si="129"/>
        <v>4954.6224000000002</v>
      </c>
      <c r="BS110" s="386">
        <f t="shared" si="130"/>
        <v>299.18616000000003</v>
      </c>
      <c r="BT110" s="386">
        <f t="shared" si="131"/>
        <v>0</v>
      </c>
      <c r="BU110" s="386">
        <f t="shared" si="132"/>
        <v>0</v>
      </c>
      <c r="BV110" s="386">
        <f t="shared" si="133"/>
        <v>74.692799999999991</v>
      </c>
      <c r="BW110" s="386">
        <f t="shared" si="134"/>
        <v>0</v>
      </c>
      <c r="BX110" s="386">
        <f t="shared" si="105"/>
        <v>8502.9453599999997</v>
      </c>
      <c r="BY110" s="386">
        <f t="shared" si="106"/>
        <v>0</v>
      </c>
      <c r="BZ110" s="386">
        <f t="shared" si="107"/>
        <v>0</v>
      </c>
      <c r="CA110" s="386">
        <f t="shared" si="108"/>
        <v>0</v>
      </c>
      <c r="CB110" s="386">
        <f t="shared" si="109"/>
        <v>0</v>
      </c>
      <c r="CC110" s="386">
        <f t="shared" si="135"/>
        <v>0</v>
      </c>
      <c r="CD110" s="386">
        <f t="shared" si="136"/>
        <v>0</v>
      </c>
      <c r="CE110" s="386">
        <f t="shared" si="137"/>
        <v>0</v>
      </c>
      <c r="CF110" s="386">
        <f t="shared" si="138"/>
        <v>-203.3304</v>
      </c>
      <c r="CG110" s="386">
        <f t="shared" si="139"/>
        <v>0</v>
      </c>
      <c r="CH110" s="386">
        <f t="shared" si="140"/>
        <v>-12.448799999999997</v>
      </c>
      <c r="CI110" s="386">
        <f t="shared" si="141"/>
        <v>0</v>
      </c>
      <c r="CJ110" s="386">
        <f t="shared" si="110"/>
        <v>-215.7792</v>
      </c>
      <c r="CK110" s="386" t="str">
        <f t="shared" si="111"/>
        <v/>
      </c>
      <c r="CL110" s="386" t="str">
        <f t="shared" si="112"/>
        <v/>
      </c>
      <c r="CM110" s="386" t="str">
        <f t="shared" si="113"/>
        <v/>
      </c>
      <c r="CN110" s="386" t="str">
        <f t="shared" si="114"/>
        <v>0480-00</v>
      </c>
    </row>
    <row r="111" spans="1:92" ht="15.75" thickBot="1" x14ac:dyDescent="0.3">
      <c r="A111" s="376" t="s">
        <v>161</v>
      </c>
      <c r="B111" s="376" t="s">
        <v>162</v>
      </c>
      <c r="C111" s="376" t="s">
        <v>507</v>
      </c>
      <c r="D111" s="376" t="s">
        <v>438</v>
      </c>
      <c r="E111" s="376" t="s">
        <v>501</v>
      </c>
      <c r="F111" s="377" t="s">
        <v>166</v>
      </c>
      <c r="G111" s="376" t="s">
        <v>502</v>
      </c>
      <c r="H111" s="378"/>
      <c r="I111" s="378"/>
      <c r="J111" s="376" t="s">
        <v>168</v>
      </c>
      <c r="K111" s="376" t="s">
        <v>439</v>
      </c>
      <c r="L111" s="376" t="s">
        <v>298</v>
      </c>
      <c r="M111" s="376" t="s">
        <v>171</v>
      </c>
      <c r="N111" s="376" t="s">
        <v>172</v>
      </c>
      <c r="O111" s="379">
        <v>1</v>
      </c>
      <c r="P111" s="384">
        <v>1</v>
      </c>
      <c r="Q111" s="384">
        <v>1</v>
      </c>
      <c r="R111" s="380">
        <v>80</v>
      </c>
      <c r="S111" s="384">
        <v>1</v>
      </c>
      <c r="T111" s="380">
        <v>97768.01</v>
      </c>
      <c r="U111" s="380">
        <v>0</v>
      </c>
      <c r="V111" s="380">
        <v>31448.19</v>
      </c>
      <c r="W111" s="380">
        <v>98196.800000000003</v>
      </c>
      <c r="X111" s="380">
        <v>32282.1</v>
      </c>
      <c r="Y111" s="380">
        <v>98196.800000000003</v>
      </c>
      <c r="Z111" s="380">
        <v>31771.48</v>
      </c>
      <c r="AA111" s="376" t="s">
        <v>508</v>
      </c>
      <c r="AB111" s="376" t="s">
        <v>509</v>
      </c>
      <c r="AC111" s="376" t="s">
        <v>230</v>
      </c>
      <c r="AD111" s="376" t="s">
        <v>178</v>
      </c>
      <c r="AE111" s="376" t="s">
        <v>439</v>
      </c>
      <c r="AF111" s="376" t="s">
        <v>177</v>
      </c>
      <c r="AG111" s="376" t="s">
        <v>178</v>
      </c>
      <c r="AH111" s="381">
        <v>47.21</v>
      </c>
      <c r="AI111" s="379">
        <v>32528</v>
      </c>
      <c r="AJ111" s="376" t="s">
        <v>179</v>
      </c>
      <c r="AK111" s="376" t="s">
        <v>180</v>
      </c>
      <c r="AL111" s="376" t="s">
        <v>170</v>
      </c>
      <c r="AM111" s="376" t="s">
        <v>181</v>
      </c>
      <c r="AN111" s="376" t="s">
        <v>68</v>
      </c>
      <c r="AO111" s="379">
        <v>80</v>
      </c>
      <c r="AP111" s="384">
        <v>1</v>
      </c>
      <c r="AQ111" s="384">
        <v>1</v>
      </c>
      <c r="AR111" s="382" t="s">
        <v>182</v>
      </c>
      <c r="AS111" s="386">
        <f t="shared" si="98"/>
        <v>1</v>
      </c>
      <c r="AT111">
        <f t="shared" si="99"/>
        <v>1</v>
      </c>
      <c r="AU111" s="386">
        <f>IF(AT111=0,"",IF(AND(AT111=1,M111="F",SUMIF(C2:C167,C111,AS2:AS167)&lt;=1),SUMIF(C2:C167,C111,AS2:AS167),IF(AND(AT111=1,M111="F",SUMIF(C2:C167,C111,AS2:AS167)&gt;1),1,"")))</f>
        <v>1</v>
      </c>
      <c r="AV111" s="386" t="str">
        <f>IF(AT111=0,"",IF(AND(AT111=3,M111="F",SUMIF(C2:C167,C111,AS2:AS167)&lt;=1),SUMIF(C2:C167,C111,AS2:AS167),IF(AND(AT111=3,M111="F",SUMIF(C2:C167,C111,AS2:AS167)&gt;1),1,"")))</f>
        <v/>
      </c>
      <c r="AW111" s="386">
        <f>SUMIF(C2:C167,C111,O2:O167)</f>
        <v>1</v>
      </c>
      <c r="AX111" s="386">
        <f>IF(AND(M111="F",AS111&lt;&gt;0),SUMIF(C2:C167,C111,W2:W167),0)</f>
        <v>98196.800000000003</v>
      </c>
      <c r="AY111" s="386">
        <f t="shared" si="100"/>
        <v>98196.800000000003</v>
      </c>
      <c r="AZ111" s="386" t="str">
        <f t="shared" si="101"/>
        <v/>
      </c>
      <c r="BA111" s="386">
        <f t="shared" si="102"/>
        <v>0</v>
      </c>
      <c r="BB111" s="386">
        <f t="shared" si="115"/>
        <v>11650</v>
      </c>
      <c r="BC111" s="386">
        <f t="shared" si="116"/>
        <v>0</v>
      </c>
      <c r="BD111" s="386">
        <f t="shared" si="117"/>
        <v>6088.2016000000003</v>
      </c>
      <c r="BE111" s="386">
        <f t="shared" si="118"/>
        <v>1423.8536000000001</v>
      </c>
      <c r="BF111" s="386">
        <f t="shared" si="119"/>
        <v>11724.697920000001</v>
      </c>
      <c r="BG111" s="386">
        <f t="shared" si="120"/>
        <v>707.99892800000009</v>
      </c>
      <c r="BH111" s="386">
        <f t="shared" si="121"/>
        <v>481.16431999999998</v>
      </c>
      <c r="BI111" s="386">
        <f t="shared" si="122"/>
        <v>0</v>
      </c>
      <c r="BJ111" s="386">
        <f t="shared" si="123"/>
        <v>206.21328</v>
      </c>
      <c r="BK111" s="386">
        <f t="shared" si="124"/>
        <v>0</v>
      </c>
      <c r="BL111" s="386">
        <f t="shared" si="103"/>
        <v>20632.129648000002</v>
      </c>
      <c r="BM111" s="386">
        <f t="shared" si="104"/>
        <v>0</v>
      </c>
      <c r="BN111" s="386">
        <f t="shared" si="125"/>
        <v>11650</v>
      </c>
      <c r="BO111" s="386">
        <f t="shared" si="126"/>
        <v>0</v>
      </c>
      <c r="BP111" s="386">
        <f t="shared" si="127"/>
        <v>6088.2016000000003</v>
      </c>
      <c r="BQ111" s="386">
        <f t="shared" si="128"/>
        <v>1423.8536000000001</v>
      </c>
      <c r="BR111" s="386">
        <f t="shared" si="129"/>
        <v>11724.697920000001</v>
      </c>
      <c r="BS111" s="386">
        <f t="shared" si="130"/>
        <v>707.99892800000009</v>
      </c>
      <c r="BT111" s="386">
        <f t="shared" si="131"/>
        <v>0</v>
      </c>
      <c r="BU111" s="386">
        <f t="shared" si="132"/>
        <v>0</v>
      </c>
      <c r="BV111" s="386">
        <f t="shared" si="133"/>
        <v>176.75424000000001</v>
      </c>
      <c r="BW111" s="386">
        <f t="shared" si="134"/>
        <v>0</v>
      </c>
      <c r="BX111" s="386">
        <f t="shared" si="105"/>
        <v>20121.506288</v>
      </c>
      <c r="BY111" s="386">
        <f t="shared" si="106"/>
        <v>0</v>
      </c>
      <c r="BZ111" s="386">
        <f t="shared" si="107"/>
        <v>0</v>
      </c>
      <c r="CA111" s="386">
        <f t="shared" si="108"/>
        <v>0</v>
      </c>
      <c r="CB111" s="386">
        <f t="shared" si="109"/>
        <v>0</v>
      </c>
      <c r="CC111" s="386">
        <f t="shared" si="135"/>
        <v>0</v>
      </c>
      <c r="CD111" s="386">
        <f t="shared" si="136"/>
        <v>0</v>
      </c>
      <c r="CE111" s="386">
        <f t="shared" si="137"/>
        <v>0</v>
      </c>
      <c r="CF111" s="386">
        <f t="shared" si="138"/>
        <v>-481.16431999999998</v>
      </c>
      <c r="CG111" s="386">
        <f t="shared" si="139"/>
        <v>0</v>
      </c>
      <c r="CH111" s="386">
        <f t="shared" si="140"/>
        <v>-29.459039999999995</v>
      </c>
      <c r="CI111" s="386">
        <f t="shared" si="141"/>
        <v>0</v>
      </c>
      <c r="CJ111" s="386">
        <f t="shared" si="110"/>
        <v>-510.62335999999999</v>
      </c>
      <c r="CK111" s="386" t="str">
        <f t="shared" si="111"/>
        <v/>
      </c>
      <c r="CL111" s="386" t="str">
        <f t="shared" si="112"/>
        <v/>
      </c>
      <c r="CM111" s="386" t="str">
        <f t="shared" si="113"/>
        <v/>
      </c>
      <c r="CN111" s="386" t="str">
        <f t="shared" si="114"/>
        <v>0480-00</v>
      </c>
    </row>
    <row r="112" spans="1:92" ht="15.75" thickBot="1" x14ac:dyDescent="0.3">
      <c r="A112" s="376" t="s">
        <v>161</v>
      </c>
      <c r="B112" s="376" t="s">
        <v>162</v>
      </c>
      <c r="C112" s="376" t="s">
        <v>510</v>
      </c>
      <c r="D112" s="376" t="s">
        <v>511</v>
      </c>
      <c r="E112" s="376" t="s">
        <v>501</v>
      </c>
      <c r="F112" s="377" t="s">
        <v>166</v>
      </c>
      <c r="G112" s="376" t="s">
        <v>502</v>
      </c>
      <c r="H112" s="378"/>
      <c r="I112" s="378"/>
      <c r="J112" s="376" t="s">
        <v>168</v>
      </c>
      <c r="K112" s="376" t="s">
        <v>512</v>
      </c>
      <c r="L112" s="376" t="s">
        <v>298</v>
      </c>
      <c r="M112" s="376" t="s">
        <v>171</v>
      </c>
      <c r="N112" s="376" t="s">
        <v>172</v>
      </c>
      <c r="O112" s="379">
        <v>1</v>
      </c>
      <c r="P112" s="384">
        <v>1</v>
      </c>
      <c r="Q112" s="384">
        <v>1</v>
      </c>
      <c r="R112" s="380">
        <v>80</v>
      </c>
      <c r="S112" s="384">
        <v>1</v>
      </c>
      <c r="T112" s="380">
        <v>60254.14</v>
      </c>
      <c r="U112" s="380">
        <v>0</v>
      </c>
      <c r="V112" s="380">
        <v>23778.44</v>
      </c>
      <c r="W112" s="380">
        <v>61484.800000000003</v>
      </c>
      <c r="X112" s="380">
        <v>24568.53</v>
      </c>
      <c r="Y112" s="380">
        <v>61484.800000000003</v>
      </c>
      <c r="Z112" s="380">
        <v>24248.82</v>
      </c>
      <c r="AA112" s="376" t="s">
        <v>513</v>
      </c>
      <c r="AB112" s="376" t="s">
        <v>514</v>
      </c>
      <c r="AC112" s="376" t="s">
        <v>515</v>
      </c>
      <c r="AD112" s="376" t="s">
        <v>516</v>
      </c>
      <c r="AE112" s="376" t="s">
        <v>512</v>
      </c>
      <c r="AF112" s="376" t="s">
        <v>177</v>
      </c>
      <c r="AG112" s="376" t="s">
        <v>178</v>
      </c>
      <c r="AH112" s="381">
        <v>29.56</v>
      </c>
      <c r="AI112" s="381">
        <v>16127.6</v>
      </c>
      <c r="AJ112" s="376" t="s">
        <v>179</v>
      </c>
      <c r="AK112" s="376" t="s">
        <v>180</v>
      </c>
      <c r="AL112" s="376" t="s">
        <v>170</v>
      </c>
      <c r="AM112" s="376" t="s">
        <v>181</v>
      </c>
      <c r="AN112" s="376" t="s">
        <v>68</v>
      </c>
      <c r="AO112" s="379">
        <v>80</v>
      </c>
      <c r="AP112" s="384">
        <v>1</v>
      </c>
      <c r="AQ112" s="384">
        <v>1</v>
      </c>
      <c r="AR112" s="382" t="s">
        <v>182</v>
      </c>
      <c r="AS112" s="386">
        <f t="shared" si="98"/>
        <v>1</v>
      </c>
      <c r="AT112">
        <f t="shared" si="99"/>
        <v>1</v>
      </c>
      <c r="AU112" s="386">
        <f>IF(AT112=0,"",IF(AND(AT112=1,M112="F",SUMIF(C2:C167,C112,AS2:AS167)&lt;=1),SUMIF(C2:C167,C112,AS2:AS167),IF(AND(AT112=1,M112="F",SUMIF(C2:C167,C112,AS2:AS167)&gt;1),1,"")))</f>
        <v>1</v>
      </c>
      <c r="AV112" s="386" t="str">
        <f>IF(AT112=0,"",IF(AND(AT112=3,M112="F",SUMIF(C2:C167,C112,AS2:AS167)&lt;=1),SUMIF(C2:C167,C112,AS2:AS167),IF(AND(AT112=3,M112="F",SUMIF(C2:C167,C112,AS2:AS167)&gt;1),1,"")))</f>
        <v/>
      </c>
      <c r="AW112" s="386">
        <f>SUMIF(C2:C167,C112,O2:O167)</f>
        <v>1</v>
      </c>
      <c r="AX112" s="386">
        <f>IF(AND(M112="F",AS112&lt;&gt;0),SUMIF(C2:C167,C112,W2:W167),0)</f>
        <v>61484.800000000003</v>
      </c>
      <c r="AY112" s="386">
        <f t="shared" si="100"/>
        <v>61484.800000000003</v>
      </c>
      <c r="AZ112" s="386" t="str">
        <f t="shared" si="101"/>
        <v/>
      </c>
      <c r="BA112" s="386">
        <f t="shared" si="102"/>
        <v>0</v>
      </c>
      <c r="BB112" s="386">
        <f t="shared" si="115"/>
        <v>11650</v>
      </c>
      <c r="BC112" s="386">
        <f t="shared" si="116"/>
        <v>0</v>
      </c>
      <c r="BD112" s="386">
        <f t="shared" si="117"/>
        <v>3812.0576000000001</v>
      </c>
      <c r="BE112" s="386">
        <f t="shared" si="118"/>
        <v>891.52960000000007</v>
      </c>
      <c r="BF112" s="386">
        <f t="shared" si="119"/>
        <v>7341.2851200000005</v>
      </c>
      <c r="BG112" s="386">
        <f t="shared" si="120"/>
        <v>443.30540800000006</v>
      </c>
      <c r="BH112" s="386">
        <f t="shared" si="121"/>
        <v>301.27552000000003</v>
      </c>
      <c r="BI112" s="386">
        <f t="shared" si="122"/>
        <v>0</v>
      </c>
      <c r="BJ112" s="386">
        <f t="shared" si="123"/>
        <v>129.11807999999999</v>
      </c>
      <c r="BK112" s="386">
        <f t="shared" si="124"/>
        <v>0</v>
      </c>
      <c r="BL112" s="386">
        <f t="shared" si="103"/>
        <v>12918.571328</v>
      </c>
      <c r="BM112" s="386">
        <f t="shared" si="104"/>
        <v>0</v>
      </c>
      <c r="BN112" s="386">
        <f t="shared" si="125"/>
        <v>11650</v>
      </c>
      <c r="BO112" s="386">
        <f t="shared" si="126"/>
        <v>0</v>
      </c>
      <c r="BP112" s="386">
        <f t="shared" si="127"/>
        <v>3812.0576000000001</v>
      </c>
      <c r="BQ112" s="386">
        <f t="shared" si="128"/>
        <v>891.52960000000007</v>
      </c>
      <c r="BR112" s="386">
        <f t="shared" si="129"/>
        <v>7341.2851200000005</v>
      </c>
      <c r="BS112" s="386">
        <f t="shared" si="130"/>
        <v>443.30540800000006</v>
      </c>
      <c r="BT112" s="386">
        <f t="shared" si="131"/>
        <v>0</v>
      </c>
      <c r="BU112" s="386">
        <f t="shared" si="132"/>
        <v>0</v>
      </c>
      <c r="BV112" s="386">
        <f t="shared" si="133"/>
        <v>110.67264</v>
      </c>
      <c r="BW112" s="386">
        <f t="shared" si="134"/>
        <v>0</v>
      </c>
      <c r="BX112" s="386">
        <f t="shared" si="105"/>
        <v>12598.850368000001</v>
      </c>
      <c r="BY112" s="386">
        <f t="shared" si="106"/>
        <v>0</v>
      </c>
      <c r="BZ112" s="386">
        <f t="shared" si="107"/>
        <v>0</v>
      </c>
      <c r="CA112" s="386">
        <f t="shared" si="108"/>
        <v>0</v>
      </c>
      <c r="CB112" s="386">
        <f t="shared" si="109"/>
        <v>0</v>
      </c>
      <c r="CC112" s="386">
        <f t="shared" si="135"/>
        <v>0</v>
      </c>
      <c r="CD112" s="386">
        <f t="shared" si="136"/>
        <v>0</v>
      </c>
      <c r="CE112" s="386">
        <f t="shared" si="137"/>
        <v>0</v>
      </c>
      <c r="CF112" s="386">
        <f t="shared" si="138"/>
        <v>-301.27552000000003</v>
      </c>
      <c r="CG112" s="386">
        <f t="shared" si="139"/>
        <v>0</v>
      </c>
      <c r="CH112" s="386">
        <f t="shared" si="140"/>
        <v>-18.445439999999994</v>
      </c>
      <c r="CI112" s="386">
        <f t="shared" si="141"/>
        <v>0</v>
      </c>
      <c r="CJ112" s="386">
        <f t="shared" si="110"/>
        <v>-319.72096000000005</v>
      </c>
      <c r="CK112" s="386" t="str">
        <f t="shared" si="111"/>
        <v/>
      </c>
      <c r="CL112" s="386" t="str">
        <f t="shared" si="112"/>
        <v/>
      </c>
      <c r="CM112" s="386" t="str">
        <f t="shared" si="113"/>
        <v/>
      </c>
      <c r="CN112" s="386" t="str">
        <f t="shared" si="114"/>
        <v>0480-00</v>
      </c>
    </row>
    <row r="113" spans="1:92" ht="15.75" thickBot="1" x14ac:dyDescent="0.3">
      <c r="A113" s="376" t="s">
        <v>161</v>
      </c>
      <c r="B113" s="376" t="s">
        <v>162</v>
      </c>
      <c r="C113" s="376" t="s">
        <v>517</v>
      </c>
      <c r="D113" s="376" t="s">
        <v>438</v>
      </c>
      <c r="E113" s="376" t="s">
        <v>501</v>
      </c>
      <c r="F113" s="377" t="s">
        <v>166</v>
      </c>
      <c r="G113" s="376" t="s">
        <v>502</v>
      </c>
      <c r="H113" s="378"/>
      <c r="I113" s="378"/>
      <c r="J113" s="376" t="s">
        <v>168</v>
      </c>
      <c r="K113" s="376" t="s">
        <v>439</v>
      </c>
      <c r="L113" s="376" t="s">
        <v>298</v>
      </c>
      <c r="M113" s="376" t="s">
        <v>171</v>
      </c>
      <c r="N113" s="376" t="s">
        <v>172</v>
      </c>
      <c r="O113" s="379">
        <v>1</v>
      </c>
      <c r="P113" s="384">
        <v>1</v>
      </c>
      <c r="Q113" s="384">
        <v>1</v>
      </c>
      <c r="R113" s="380">
        <v>80</v>
      </c>
      <c r="S113" s="384">
        <v>1</v>
      </c>
      <c r="T113" s="380">
        <v>66085.61</v>
      </c>
      <c r="U113" s="380">
        <v>0</v>
      </c>
      <c r="V113" s="380">
        <v>24820.73</v>
      </c>
      <c r="W113" s="380">
        <v>69305.600000000006</v>
      </c>
      <c r="X113" s="380">
        <v>26211.77</v>
      </c>
      <c r="Y113" s="380">
        <v>69305.600000000006</v>
      </c>
      <c r="Z113" s="380">
        <v>25851.39</v>
      </c>
      <c r="AA113" s="376" t="s">
        <v>518</v>
      </c>
      <c r="AB113" s="376" t="s">
        <v>519</v>
      </c>
      <c r="AC113" s="376" t="s">
        <v>520</v>
      </c>
      <c r="AD113" s="376" t="s">
        <v>265</v>
      </c>
      <c r="AE113" s="376" t="s">
        <v>439</v>
      </c>
      <c r="AF113" s="376" t="s">
        <v>177</v>
      </c>
      <c r="AG113" s="376" t="s">
        <v>178</v>
      </c>
      <c r="AH113" s="381">
        <v>33.32</v>
      </c>
      <c r="AI113" s="379">
        <v>10211</v>
      </c>
      <c r="AJ113" s="376" t="s">
        <v>179</v>
      </c>
      <c r="AK113" s="376" t="s">
        <v>180</v>
      </c>
      <c r="AL113" s="376" t="s">
        <v>170</v>
      </c>
      <c r="AM113" s="376" t="s">
        <v>181</v>
      </c>
      <c r="AN113" s="376" t="s">
        <v>68</v>
      </c>
      <c r="AO113" s="379">
        <v>80</v>
      </c>
      <c r="AP113" s="384">
        <v>1</v>
      </c>
      <c r="AQ113" s="384">
        <v>1</v>
      </c>
      <c r="AR113" s="382" t="s">
        <v>182</v>
      </c>
      <c r="AS113" s="386">
        <f t="shared" si="98"/>
        <v>1</v>
      </c>
      <c r="AT113">
        <f t="shared" si="99"/>
        <v>1</v>
      </c>
      <c r="AU113" s="386">
        <f>IF(AT113=0,"",IF(AND(AT113=1,M113="F",SUMIF(C2:C167,C113,AS2:AS167)&lt;=1),SUMIF(C2:C167,C113,AS2:AS167),IF(AND(AT113=1,M113="F",SUMIF(C2:C167,C113,AS2:AS167)&gt;1),1,"")))</f>
        <v>1</v>
      </c>
      <c r="AV113" s="386" t="str">
        <f>IF(AT113=0,"",IF(AND(AT113=3,M113="F",SUMIF(C2:C167,C113,AS2:AS167)&lt;=1),SUMIF(C2:C167,C113,AS2:AS167),IF(AND(AT113=3,M113="F",SUMIF(C2:C167,C113,AS2:AS167)&gt;1),1,"")))</f>
        <v/>
      </c>
      <c r="AW113" s="386">
        <f>SUMIF(C2:C167,C113,O2:O167)</f>
        <v>1</v>
      </c>
      <c r="AX113" s="386">
        <f>IF(AND(M113="F",AS113&lt;&gt;0),SUMIF(C2:C167,C113,W2:W167),0)</f>
        <v>69305.600000000006</v>
      </c>
      <c r="AY113" s="386">
        <f t="shared" si="100"/>
        <v>69305.600000000006</v>
      </c>
      <c r="AZ113" s="386" t="str">
        <f t="shared" si="101"/>
        <v/>
      </c>
      <c r="BA113" s="386">
        <f t="shared" si="102"/>
        <v>0</v>
      </c>
      <c r="BB113" s="386">
        <f t="shared" si="115"/>
        <v>11650</v>
      </c>
      <c r="BC113" s="386">
        <f t="shared" si="116"/>
        <v>0</v>
      </c>
      <c r="BD113" s="386">
        <f t="shared" si="117"/>
        <v>4296.9472000000005</v>
      </c>
      <c r="BE113" s="386">
        <f t="shared" si="118"/>
        <v>1004.9312000000001</v>
      </c>
      <c r="BF113" s="386">
        <f t="shared" si="119"/>
        <v>8275.0886400000018</v>
      </c>
      <c r="BG113" s="386">
        <f t="shared" si="120"/>
        <v>499.69337600000006</v>
      </c>
      <c r="BH113" s="386">
        <f t="shared" si="121"/>
        <v>339.59744000000001</v>
      </c>
      <c r="BI113" s="386">
        <f t="shared" si="122"/>
        <v>0</v>
      </c>
      <c r="BJ113" s="386">
        <f t="shared" si="123"/>
        <v>145.54176000000001</v>
      </c>
      <c r="BK113" s="386">
        <f t="shared" si="124"/>
        <v>0</v>
      </c>
      <c r="BL113" s="386">
        <f t="shared" si="103"/>
        <v>14561.799616000002</v>
      </c>
      <c r="BM113" s="386">
        <f t="shared" si="104"/>
        <v>0</v>
      </c>
      <c r="BN113" s="386">
        <f t="shared" si="125"/>
        <v>11650</v>
      </c>
      <c r="BO113" s="386">
        <f t="shared" si="126"/>
        <v>0</v>
      </c>
      <c r="BP113" s="386">
        <f t="shared" si="127"/>
        <v>4296.9472000000005</v>
      </c>
      <c r="BQ113" s="386">
        <f t="shared" si="128"/>
        <v>1004.9312000000001</v>
      </c>
      <c r="BR113" s="386">
        <f t="shared" si="129"/>
        <v>8275.0886400000018</v>
      </c>
      <c r="BS113" s="386">
        <f t="shared" si="130"/>
        <v>499.69337600000006</v>
      </c>
      <c r="BT113" s="386">
        <f t="shared" si="131"/>
        <v>0</v>
      </c>
      <c r="BU113" s="386">
        <f t="shared" si="132"/>
        <v>0</v>
      </c>
      <c r="BV113" s="386">
        <f t="shared" si="133"/>
        <v>124.75008000000001</v>
      </c>
      <c r="BW113" s="386">
        <f t="shared" si="134"/>
        <v>0</v>
      </c>
      <c r="BX113" s="386">
        <f t="shared" si="105"/>
        <v>14201.410496000002</v>
      </c>
      <c r="BY113" s="386">
        <f t="shared" si="106"/>
        <v>0</v>
      </c>
      <c r="BZ113" s="386">
        <f t="shared" si="107"/>
        <v>0</v>
      </c>
      <c r="CA113" s="386">
        <f t="shared" si="108"/>
        <v>0</v>
      </c>
      <c r="CB113" s="386">
        <f t="shared" si="109"/>
        <v>0</v>
      </c>
      <c r="CC113" s="386">
        <f t="shared" si="135"/>
        <v>0</v>
      </c>
      <c r="CD113" s="386">
        <f t="shared" si="136"/>
        <v>0</v>
      </c>
      <c r="CE113" s="386">
        <f t="shared" si="137"/>
        <v>0</v>
      </c>
      <c r="CF113" s="386">
        <f t="shared" si="138"/>
        <v>-339.59744000000001</v>
      </c>
      <c r="CG113" s="386">
        <f t="shared" si="139"/>
        <v>0</v>
      </c>
      <c r="CH113" s="386">
        <f t="shared" si="140"/>
        <v>-20.791679999999996</v>
      </c>
      <c r="CI113" s="386">
        <f t="shared" si="141"/>
        <v>0</v>
      </c>
      <c r="CJ113" s="386">
        <f t="shared" si="110"/>
        <v>-360.38911999999999</v>
      </c>
      <c r="CK113" s="386" t="str">
        <f t="shared" si="111"/>
        <v/>
      </c>
      <c r="CL113" s="386" t="str">
        <f t="shared" si="112"/>
        <v/>
      </c>
      <c r="CM113" s="386" t="str">
        <f t="shared" si="113"/>
        <v/>
      </c>
      <c r="CN113" s="386" t="str">
        <f t="shared" si="114"/>
        <v>0480-00</v>
      </c>
    </row>
    <row r="114" spans="1:92" ht="15.75" thickBot="1" x14ac:dyDescent="0.3">
      <c r="A114" s="376" t="s">
        <v>161</v>
      </c>
      <c r="B114" s="376" t="s">
        <v>162</v>
      </c>
      <c r="C114" s="376" t="s">
        <v>521</v>
      </c>
      <c r="D114" s="376" t="s">
        <v>500</v>
      </c>
      <c r="E114" s="376" t="s">
        <v>501</v>
      </c>
      <c r="F114" s="377" t="s">
        <v>166</v>
      </c>
      <c r="G114" s="376" t="s">
        <v>502</v>
      </c>
      <c r="H114" s="378"/>
      <c r="I114" s="378"/>
      <c r="J114" s="376" t="s">
        <v>168</v>
      </c>
      <c r="K114" s="376" t="s">
        <v>503</v>
      </c>
      <c r="L114" s="376" t="s">
        <v>166</v>
      </c>
      <c r="M114" s="376" t="s">
        <v>171</v>
      </c>
      <c r="N114" s="376" t="s">
        <v>172</v>
      </c>
      <c r="O114" s="379">
        <v>1</v>
      </c>
      <c r="P114" s="384">
        <v>1</v>
      </c>
      <c r="Q114" s="384">
        <v>1</v>
      </c>
      <c r="R114" s="380">
        <v>80</v>
      </c>
      <c r="S114" s="384">
        <v>1</v>
      </c>
      <c r="T114" s="380">
        <v>42569.23</v>
      </c>
      <c r="U114" s="380">
        <v>119.37</v>
      </c>
      <c r="V114" s="380">
        <v>20264.97</v>
      </c>
      <c r="W114" s="380">
        <v>41496</v>
      </c>
      <c r="X114" s="380">
        <v>20368.71</v>
      </c>
      <c r="Y114" s="380">
        <v>41496</v>
      </c>
      <c r="Z114" s="380">
        <v>20152.93</v>
      </c>
      <c r="AA114" s="376" t="s">
        <v>522</v>
      </c>
      <c r="AB114" s="376" t="s">
        <v>523</v>
      </c>
      <c r="AC114" s="376" t="s">
        <v>217</v>
      </c>
      <c r="AD114" s="376" t="s">
        <v>524</v>
      </c>
      <c r="AE114" s="376" t="s">
        <v>503</v>
      </c>
      <c r="AF114" s="376" t="s">
        <v>177</v>
      </c>
      <c r="AG114" s="376" t="s">
        <v>178</v>
      </c>
      <c r="AH114" s="381">
        <v>19.95</v>
      </c>
      <c r="AI114" s="381">
        <v>10827.5</v>
      </c>
      <c r="AJ114" s="376" t="s">
        <v>179</v>
      </c>
      <c r="AK114" s="376" t="s">
        <v>180</v>
      </c>
      <c r="AL114" s="376" t="s">
        <v>170</v>
      </c>
      <c r="AM114" s="376" t="s">
        <v>181</v>
      </c>
      <c r="AN114" s="376" t="s">
        <v>68</v>
      </c>
      <c r="AO114" s="379">
        <v>80</v>
      </c>
      <c r="AP114" s="384">
        <v>1</v>
      </c>
      <c r="AQ114" s="384">
        <v>1</v>
      </c>
      <c r="AR114" s="382" t="s">
        <v>182</v>
      </c>
      <c r="AS114" s="386">
        <f t="shared" si="98"/>
        <v>1</v>
      </c>
      <c r="AT114">
        <f t="shared" si="99"/>
        <v>1</v>
      </c>
      <c r="AU114" s="386">
        <f>IF(AT114=0,"",IF(AND(AT114=1,M114="F",SUMIF(C2:C167,C114,AS2:AS167)&lt;=1),SUMIF(C2:C167,C114,AS2:AS167),IF(AND(AT114=1,M114="F",SUMIF(C2:C167,C114,AS2:AS167)&gt;1),1,"")))</f>
        <v>1</v>
      </c>
      <c r="AV114" s="386" t="str">
        <f>IF(AT114=0,"",IF(AND(AT114=3,M114="F",SUMIF(C2:C167,C114,AS2:AS167)&lt;=1),SUMIF(C2:C167,C114,AS2:AS167),IF(AND(AT114=3,M114="F",SUMIF(C2:C167,C114,AS2:AS167)&gt;1),1,"")))</f>
        <v/>
      </c>
      <c r="AW114" s="386">
        <f>SUMIF(C2:C167,C114,O2:O167)</f>
        <v>1</v>
      </c>
      <c r="AX114" s="386">
        <f>IF(AND(M114="F",AS114&lt;&gt;0),SUMIF(C2:C167,C114,W2:W167),0)</f>
        <v>41496</v>
      </c>
      <c r="AY114" s="386">
        <f t="shared" si="100"/>
        <v>41496</v>
      </c>
      <c r="AZ114" s="386" t="str">
        <f t="shared" si="101"/>
        <v/>
      </c>
      <c r="BA114" s="386">
        <f t="shared" si="102"/>
        <v>0</v>
      </c>
      <c r="BB114" s="386">
        <f t="shared" si="115"/>
        <v>11650</v>
      </c>
      <c r="BC114" s="386">
        <f t="shared" si="116"/>
        <v>0</v>
      </c>
      <c r="BD114" s="386">
        <f t="shared" si="117"/>
        <v>2572.752</v>
      </c>
      <c r="BE114" s="386">
        <f t="shared" si="118"/>
        <v>601.69200000000001</v>
      </c>
      <c r="BF114" s="386">
        <f t="shared" si="119"/>
        <v>4954.6224000000002</v>
      </c>
      <c r="BG114" s="386">
        <f t="shared" si="120"/>
        <v>299.18616000000003</v>
      </c>
      <c r="BH114" s="386">
        <f t="shared" si="121"/>
        <v>203.3304</v>
      </c>
      <c r="BI114" s="386">
        <f t="shared" si="122"/>
        <v>0</v>
      </c>
      <c r="BJ114" s="386">
        <f t="shared" si="123"/>
        <v>87.141599999999997</v>
      </c>
      <c r="BK114" s="386">
        <f t="shared" si="124"/>
        <v>0</v>
      </c>
      <c r="BL114" s="386">
        <f t="shared" si="103"/>
        <v>8718.7245600000006</v>
      </c>
      <c r="BM114" s="386">
        <f t="shared" si="104"/>
        <v>0</v>
      </c>
      <c r="BN114" s="386">
        <f t="shared" si="125"/>
        <v>11650</v>
      </c>
      <c r="BO114" s="386">
        <f t="shared" si="126"/>
        <v>0</v>
      </c>
      <c r="BP114" s="386">
        <f t="shared" si="127"/>
        <v>2572.752</v>
      </c>
      <c r="BQ114" s="386">
        <f t="shared" si="128"/>
        <v>601.69200000000001</v>
      </c>
      <c r="BR114" s="386">
        <f t="shared" si="129"/>
        <v>4954.6224000000002</v>
      </c>
      <c r="BS114" s="386">
        <f t="shared" si="130"/>
        <v>299.18616000000003</v>
      </c>
      <c r="BT114" s="386">
        <f t="shared" si="131"/>
        <v>0</v>
      </c>
      <c r="BU114" s="386">
        <f t="shared" si="132"/>
        <v>0</v>
      </c>
      <c r="BV114" s="386">
        <f t="shared" si="133"/>
        <v>74.692799999999991</v>
      </c>
      <c r="BW114" s="386">
        <f t="shared" si="134"/>
        <v>0</v>
      </c>
      <c r="BX114" s="386">
        <f t="shared" si="105"/>
        <v>8502.9453599999997</v>
      </c>
      <c r="BY114" s="386">
        <f t="shared" si="106"/>
        <v>0</v>
      </c>
      <c r="BZ114" s="386">
        <f t="shared" si="107"/>
        <v>0</v>
      </c>
      <c r="CA114" s="386">
        <f t="shared" si="108"/>
        <v>0</v>
      </c>
      <c r="CB114" s="386">
        <f t="shared" si="109"/>
        <v>0</v>
      </c>
      <c r="CC114" s="386">
        <f t="shared" si="135"/>
        <v>0</v>
      </c>
      <c r="CD114" s="386">
        <f t="shared" si="136"/>
        <v>0</v>
      </c>
      <c r="CE114" s="386">
        <f t="shared" si="137"/>
        <v>0</v>
      </c>
      <c r="CF114" s="386">
        <f t="shared" si="138"/>
        <v>-203.3304</v>
      </c>
      <c r="CG114" s="386">
        <f t="shared" si="139"/>
        <v>0</v>
      </c>
      <c r="CH114" s="386">
        <f t="shared" si="140"/>
        <v>-12.448799999999997</v>
      </c>
      <c r="CI114" s="386">
        <f t="shared" si="141"/>
        <v>0</v>
      </c>
      <c r="CJ114" s="386">
        <f t="shared" si="110"/>
        <v>-215.7792</v>
      </c>
      <c r="CK114" s="386" t="str">
        <f t="shared" si="111"/>
        <v/>
      </c>
      <c r="CL114" s="386" t="str">
        <f t="shared" si="112"/>
        <v/>
      </c>
      <c r="CM114" s="386" t="str">
        <f t="shared" si="113"/>
        <v/>
      </c>
      <c r="CN114" s="386" t="str">
        <f t="shared" si="114"/>
        <v>0480-00</v>
      </c>
    </row>
    <row r="115" spans="1:92" ht="15.75" thickBot="1" x14ac:dyDescent="0.3">
      <c r="A115" s="376" t="s">
        <v>161</v>
      </c>
      <c r="B115" s="376" t="s">
        <v>162</v>
      </c>
      <c r="C115" s="376" t="s">
        <v>525</v>
      </c>
      <c r="D115" s="376" t="s">
        <v>526</v>
      </c>
      <c r="E115" s="376" t="s">
        <v>501</v>
      </c>
      <c r="F115" s="377" t="s">
        <v>166</v>
      </c>
      <c r="G115" s="376" t="s">
        <v>502</v>
      </c>
      <c r="H115" s="378"/>
      <c r="I115" s="378"/>
      <c r="J115" s="376" t="s">
        <v>168</v>
      </c>
      <c r="K115" s="376" t="s">
        <v>527</v>
      </c>
      <c r="L115" s="376" t="s">
        <v>298</v>
      </c>
      <c r="M115" s="376" t="s">
        <v>171</v>
      </c>
      <c r="N115" s="376" t="s">
        <v>172</v>
      </c>
      <c r="O115" s="379">
        <v>1</v>
      </c>
      <c r="P115" s="384">
        <v>1</v>
      </c>
      <c r="Q115" s="384">
        <v>1</v>
      </c>
      <c r="R115" s="380">
        <v>80</v>
      </c>
      <c r="S115" s="384">
        <v>1</v>
      </c>
      <c r="T115" s="380">
        <v>78904.84</v>
      </c>
      <c r="U115" s="380">
        <v>0</v>
      </c>
      <c r="V115" s="380">
        <v>27470.25</v>
      </c>
      <c r="W115" s="380">
        <v>79518.399999999994</v>
      </c>
      <c r="X115" s="380">
        <v>28357.58</v>
      </c>
      <c r="Y115" s="380">
        <v>79518.399999999994</v>
      </c>
      <c r="Z115" s="380">
        <v>27944.09</v>
      </c>
      <c r="AA115" s="376" t="s">
        <v>528</v>
      </c>
      <c r="AB115" s="376" t="s">
        <v>529</v>
      </c>
      <c r="AC115" s="376" t="s">
        <v>392</v>
      </c>
      <c r="AD115" s="376" t="s">
        <v>516</v>
      </c>
      <c r="AE115" s="376" t="s">
        <v>527</v>
      </c>
      <c r="AF115" s="376" t="s">
        <v>177</v>
      </c>
      <c r="AG115" s="376" t="s">
        <v>178</v>
      </c>
      <c r="AH115" s="381">
        <v>38.229999999999997</v>
      </c>
      <c r="AI115" s="381">
        <v>4534.5</v>
      </c>
      <c r="AJ115" s="376" t="s">
        <v>179</v>
      </c>
      <c r="AK115" s="376" t="s">
        <v>180</v>
      </c>
      <c r="AL115" s="376" t="s">
        <v>170</v>
      </c>
      <c r="AM115" s="376" t="s">
        <v>181</v>
      </c>
      <c r="AN115" s="376" t="s">
        <v>68</v>
      </c>
      <c r="AO115" s="379">
        <v>80</v>
      </c>
      <c r="AP115" s="384">
        <v>1</v>
      </c>
      <c r="AQ115" s="384">
        <v>1</v>
      </c>
      <c r="AR115" s="382" t="s">
        <v>182</v>
      </c>
      <c r="AS115" s="386">
        <f t="shared" si="98"/>
        <v>1</v>
      </c>
      <c r="AT115">
        <f t="shared" si="99"/>
        <v>1</v>
      </c>
      <c r="AU115" s="386">
        <f>IF(AT115=0,"",IF(AND(AT115=1,M115="F",SUMIF(C2:C167,C115,AS2:AS167)&lt;=1),SUMIF(C2:C167,C115,AS2:AS167),IF(AND(AT115=1,M115="F",SUMIF(C2:C167,C115,AS2:AS167)&gt;1),1,"")))</f>
        <v>1</v>
      </c>
      <c r="AV115" s="386" t="str">
        <f>IF(AT115=0,"",IF(AND(AT115=3,M115="F",SUMIF(C2:C167,C115,AS2:AS167)&lt;=1),SUMIF(C2:C167,C115,AS2:AS167),IF(AND(AT115=3,M115="F",SUMIF(C2:C167,C115,AS2:AS167)&gt;1),1,"")))</f>
        <v/>
      </c>
      <c r="AW115" s="386">
        <f>SUMIF(C2:C167,C115,O2:O167)</f>
        <v>1</v>
      </c>
      <c r="AX115" s="386">
        <f>IF(AND(M115="F",AS115&lt;&gt;0),SUMIF(C2:C167,C115,W2:W167),0)</f>
        <v>79518.399999999994</v>
      </c>
      <c r="AY115" s="386">
        <f t="shared" si="100"/>
        <v>79518.399999999994</v>
      </c>
      <c r="AZ115" s="386" t="str">
        <f t="shared" si="101"/>
        <v/>
      </c>
      <c r="BA115" s="386">
        <f t="shared" si="102"/>
        <v>0</v>
      </c>
      <c r="BB115" s="386">
        <f t="shared" si="115"/>
        <v>11650</v>
      </c>
      <c r="BC115" s="386">
        <f t="shared" si="116"/>
        <v>0</v>
      </c>
      <c r="BD115" s="386">
        <f t="shared" si="117"/>
        <v>4930.1407999999992</v>
      </c>
      <c r="BE115" s="386">
        <f t="shared" si="118"/>
        <v>1153.0167999999999</v>
      </c>
      <c r="BF115" s="386">
        <f t="shared" si="119"/>
        <v>9494.4969600000004</v>
      </c>
      <c r="BG115" s="386">
        <f t="shared" si="120"/>
        <v>573.32766400000003</v>
      </c>
      <c r="BH115" s="386">
        <f t="shared" si="121"/>
        <v>389.64015999999998</v>
      </c>
      <c r="BI115" s="386">
        <f t="shared" si="122"/>
        <v>0</v>
      </c>
      <c r="BJ115" s="386">
        <f t="shared" si="123"/>
        <v>166.98863999999998</v>
      </c>
      <c r="BK115" s="386">
        <f t="shared" si="124"/>
        <v>0</v>
      </c>
      <c r="BL115" s="386">
        <f t="shared" si="103"/>
        <v>16707.611023999998</v>
      </c>
      <c r="BM115" s="386">
        <f t="shared" si="104"/>
        <v>0</v>
      </c>
      <c r="BN115" s="386">
        <f t="shared" si="125"/>
        <v>11650</v>
      </c>
      <c r="BO115" s="386">
        <f t="shared" si="126"/>
        <v>0</v>
      </c>
      <c r="BP115" s="386">
        <f t="shared" si="127"/>
        <v>4930.1407999999992</v>
      </c>
      <c r="BQ115" s="386">
        <f t="shared" si="128"/>
        <v>1153.0167999999999</v>
      </c>
      <c r="BR115" s="386">
        <f t="shared" si="129"/>
        <v>9494.4969600000004</v>
      </c>
      <c r="BS115" s="386">
        <f t="shared" si="130"/>
        <v>573.32766400000003</v>
      </c>
      <c r="BT115" s="386">
        <f t="shared" si="131"/>
        <v>0</v>
      </c>
      <c r="BU115" s="386">
        <f t="shared" si="132"/>
        <v>0</v>
      </c>
      <c r="BV115" s="386">
        <f t="shared" si="133"/>
        <v>143.13311999999999</v>
      </c>
      <c r="BW115" s="386">
        <f t="shared" si="134"/>
        <v>0</v>
      </c>
      <c r="BX115" s="386">
        <f t="shared" si="105"/>
        <v>16294.115344</v>
      </c>
      <c r="BY115" s="386">
        <f t="shared" si="106"/>
        <v>0</v>
      </c>
      <c r="BZ115" s="386">
        <f t="shared" si="107"/>
        <v>0</v>
      </c>
      <c r="CA115" s="386">
        <f t="shared" si="108"/>
        <v>0</v>
      </c>
      <c r="CB115" s="386">
        <f t="shared" si="109"/>
        <v>0</v>
      </c>
      <c r="CC115" s="386">
        <f t="shared" si="135"/>
        <v>0</v>
      </c>
      <c r="CD115" s="386">
        <f t="shared" si="136"/>
        <v>0</v>
      </c>
      <c r="CE115" s="386">
        <f t="shared" si="137"/>
        <v>0</v>
      </c>
      <c r="CF115" s="386">
        <f t="shared" si="138"/>
        <v>-389.64015999999998</v>
      </c>
      <c r="CG115" s="386">
        <f t="shared" si="139"/>
        <v>0</v>
      </c>
      <c r="CH115" s="386">
        <f t="shared" si="140"/>
        <v>-23.855519999999991</v>
      </c>
      <c r="CI115" s="386">
        <f t="shared" si="141"/>
        <v>0</v>
      </c>
      <c r="CJ115" s="386">
        <f t="shared" si="110"/>
        <v>-413.49567999999999</v>
      </c>
      <c r="CK115" s="386" t="str">
        <f t="shared" si="111"/>
        <v/>
      </c>
      <c r="CL115" s="386" t="str">
        <f t="shared" si="112"/>
        <v/>
      </c>
      <c r="CM115" s="386" t="str">
        <f t="shared" si="113"/>
        <v/>
      </c>
      <c r="CN115" s="386" t="str">
        <f t="shared" si="114"/>
        <v>0480-00</v>
      </c>
    </row>
    <row r="116" spans="1:92" ht="15.75" thickBot="1" x14ac:dyDescent="0.3">
      <c r="A116" s="376" t="s">
        <v>161</v>
      </c>
      <c r="B116" s="376" t="s">
        <v>162</v>
      </c>
      <c r="C116" s="376" t="s">
        <v>530</v>
      </c>
      <c r="D116" s="376" t="s">
        <v>526</v>
      </c>
      <c r="E116" s="376" t="s">
        <v>501</v>
      </c>
      <c r="F116" s="377" t="s">
        <v>166</v>
      </c>
      <c r="G116" s="376" t="s">
        <v>502</v>
      </c>
      <c r="H116" s="378"/>
      <c r="I116" s="378"/>
      <c r="J116" s="376" t="s">
        <v>168</v>
      </c>
      <c r="K116" s="376" t="s">
        <v>531</v>
      </c>
      <c r="L116" s="376" t="s">
        <v>289</v>
      </c>
      <c r="M116" s="376" t="s">
        <v>171</v>
      </c>
      <c r="N116" s="376" t="s">
        <v>172</v>
      </c>
      <c r="O116" s="379">
        <v>1</v>
      </c>
      <c r="P116" s="384">
        <v>1</v>
      </c>
      <c r="Q116" s="384">
        <v>1</v>
      </c>
      <c r="R116" s="380">
        <v>80</v>
      </c>
      <c r="S116" s="384">
        <v>1</v>
      </c>
      <c r="T116" s="380">
        <v>67037.36</v>
      </c>
      <c r="U116" s="380">
        <v>0</v>
      </c>
      <c r="V116" s="380">
        <v>25054.14</v>
      </c>
      <c r="W116" s="380">
        <v>68182.399999999994</v>
      </c>
      <c r="X116" s="380">
        <v>25975.77</v>
      </c>
      <c r="Y116" s="380">
        <v>68182.399999999994</v>
      </c>
      <c r="Z116" s="380">
        <v>25621.22</v>
      </c>
      <c r="AA116" s="376" t="s">
        <v>532</v>
      </c>
      <c r="AB116" s="376" t="s">
        <v>335</v>
      </c>
      <c r="AC116" s="376" t="s">
        <v>533</v>
      </c>
      <c r="AD116" s="376" t="s">
        <v>178</v>
      </c>
      <c r="AE116" s="376" t="s">
        <v>531</v>
      </c>
      <c r="AF116" s="376" t="s">
        <v>177</v>
      </c>
      <c r="AG116" s="376" t="s">
        <v>178</v>
      </c>
      <c r="AH116" s="381">
        <v>32.78</v>
      </c>
      <c r="AI116" s="381">
        <v>11504.2</v>
      </c>
      <c r="AJ116" s="376" t="s">
        <v>179</v>
      </c>
      <c r="AK116" s="376" t="s">
        <v>180</v>
      </c>
      <c r="AL116" s="376" t="s">
        <v>170</v>
      </c>
      <c r="AM116" s="376" t="s">
        <v>181</v>
      </c>
      <c r="AN116" s="376" t="s">
        <v>68</v>
      </c>
      <c r="AO116" s="379">
        <v>80</v>
      </c>
      <c r="AP116" s="384">
        <v>1</v>
      </c>
      <c r="AQ116" s="384">
        <v>1</v>
      </c>
      <c r="AR116" s="382" t="s">
        <v>182</v>
      </c>
      <c r="AS116" s="386">
        <f t="shared" si="98"/>
        <v>1</v>
      </c>
      <c r="AT116">
        <f t="shared" si="99"/>
        <v>1</v>
      </c>
      <c r="AU116" s="386">
        <f>IF(AT116=0,"",IF(AND(AT116=1,M116="F",SUMIF(C2:C167,C116,AS2:AS167)&lt;=1),SUMIF(C2:C167,C116,AS2:AS167),IF(AND(AT116=1,M116="F",SUMIF(C2:C167,C116,AS2:AS167)&gt;1),1,"")))</f>
        <v>1</v>
      </c>
      <c r="AV116" s="386" t="str">
        <f>IF(AT116=0,"",IF(AND(AT116=3,M116="F",SUMIF(C2:C167,C116,AS2:AS167)&lt;=1),SUMIF(C2:C167,C116,AS2:AS167),IF(AND(AT116=3,M116="F",SUMIF(C2:C167,C116,AS2:AS167)&gt;1),1,"")))</f>
        <v/>
      </c>
      <c r="AW116" s="386">
        <f>SUMIF(C2:C167,C116,O2:O167)</f>
        <v>1</v>
      </c>
      <c r="AX116" s="386">
        <f>IF(AND(M116="F",AS116&lt;&gt;0),SUMIF(C2:C167,C116,W2:W167),0)</f>
        <v>68182.399999999994</v>
      </c>
      <c r="AY116" s="386">
        <f t="shared" si="100"/>
        <v>68182.399999999994</v>
      </c>
      <c r="AZ116" s="386" t="str">
        <f t="shared" si="101"/>
        <v/>
      </c>
      <c r="BA116" s="386">
        <f t="shared" si="102"/>
        <v>0</v>
      </c>
      <c r="BB116" s="386">
        <f t="shared" si="115"/>
        <v>11650</v>
      </c>
      <c r="BC116" s="386">
        <f t="shared" si="116"/>
        <v>0</v>
      </c>
      <c r="BD116" s="386">
        <f t="shared" si="117"/>
        <v>4227.3087999999998</v>
      </c>
      <c r="BE116" s="386">
        <f t="shared" si="118"/>
        <v>988.64479999999992</v>
      </c>
      <c r="BF116" s="386">
        <f t="shared" si="119"/>
        <v>8140.9785599999996</v>
      </c>
      <c r="BG116" s="386">
        <f t="shared" si="120"/>
        <v>491.59510399999999</v>
      </c>
      <c r="BH116" s="386">
        <f t="shared" si="121"/>
        <v>334.09375999999997</v>
      </c>
      <c r="BI116" s="386">
        <f t="shared" si="122"/>
        <v>0</v>
      </c>
      <c r="BJ116" s="386">
        <f t="shared" si="123"/>
        <v>143.18303999999998</v>
      </c>
      <c r="BK116" s="386">
        <f t="shared" si="124"/>
        <v>0</v>
      </c>
      <c r="BL116" s="386">
        <f t="shared" si="103"/>
        <v>14325.804064</v>
      </c>
      <c r="BM116" s="386">
        <f t="shared" si="104"/>
        <v>0</v>
      </c>
      <c r="BN116" s="386">
        <f t="shared" si="125"/>
        <v>11650</v>
      </c>
      <c r="BO116" s="386">
        <f t="shared" si="126"/>
        <v>0</v>
      </c>
      <c r="BP116" s="386">
        <f t="shared" si="127"/>
        <v>4227.3087999999998</v>
      </c>
      <c r="BQ116" s="386">
        <f t="shared" si="128"/>
        <v>988.64479999999992</v>
      </c>
      <c r="BR116" s="386">
        <f t="shared" si="129"/>
        <v>8140.9785599999996</v>
      </c>
      <c r="BS116" s="386">
        <f t="shared" si="130"/>
        <v>491.59510399999999</v>
      </c>
      <c r="BT116" s="386">
        <f t="shared" si="131"/>
        <v>0</v>
      </c>
      <c r="BU116" s="386">
        <f t="shared" si="132"/>
        <v>0</v>
      </c>
      <c r="BV116" s="386">
        <f t="shared" si="133"/>
        <v>122.72831999999998</v>
      </c>
      <c r="BW116" s="386">
        <f t="shared" si="134"/>
        <v>0</v>
      </c>
      <c r="BX116" s="386">
        <f t="shared" si="105"/>
        <v>13971.255584</v>
      </c>
      <c r="BY116" s="386">
        <f t="shared" si="106"/>
        <v>0</v>
      </c>
      <c r="BZ116" s="386">
        <f t="shared" si="107"/>
        <v>0</v>
      </c>
      <c r="CA116" s="386">
        <f t="shared" si="108"/>
        <v>0</v>
      </c>
      <c r="CB116" s="386">
        <f t="shared" si="109"/>
        <v>0</v>
      </c>
      <c r="CC116" s="386">
        <f t="shared" si="135"/>
        <v>0</v>
      </c>
      <c r="CD116" s="386">
        <f t="shared" si="136"/>
        <v>0</v>
      </c>
      <c r="CE116" s="386">
        <f t="shared" si="137"/>
        <v>0</v>
      </c>
      <c r="CF116" s="386">
        <f t="shared" si="138"/>
        <v>-334.09375999999997</v>
      </c>
      <c r="CG116" s="386">
        <f t="shared" si="139"/>
        <v>0</v>
      </c>
      <c r="CH116" s="386">
        <f t="shared" si="140"/>
        <v>-20.454719999999991</v>
      </c>
      <c r="CI116" s="386">
        <f t="shared" si="141"/>
        <v>0</v>
      </c>
      <c r="CJ116" s="386">
        <f t="shared" si="110"/>
        <v>-354.54847999999998</v>
      </c>
      <c r="CK116" s="386" t="str">
        <f t="shared" si="111"/>
        <v/>
      </c>
      <c r="CL116" s="386" t="str">
        <f t="shared" si="112"/>
        <v/>
      </c>
      <c r="CM116" s="386" t="str">
        <f t="shared" si="113"/>
        <v/>
      </c>
      <c r="CN116" s="386" t="str">
        <f t="shared" si="114"/>
        <v>0480-00</v>
      </c>
    </row>
    <row r="117" spans="1:92" ht="15.75" thickBot="1" x14ac:dyDescent="0.3">
      <c r="A117" s="376" t="s">
        <v>161</v>
      </c>
      <c r="B117" s="376" t="s">
        <v>162</v>
      </c>
      <c r="C117" s="376" t="s">
        <v>534</v>
      </c>
      <c r="D117" s="376" t="s">
        <v>535</v>
      </c>
      <c r="E117" s="376" t="s">
        <v>501</v>
      </c>
      <c r="F117" s="377" t="s">
        <v>166</v>
      </c>
      <c r="G117" s="376" t="s">
        <v>502</v>
      </c>
      <c r="H117" s="378"/>
      <c r="I117" s="378"/>
      <c r="J117" s="376" t="s">
        <v>168</v>
      </c>
      <c r="K117" s="376" t="s">
        <v>536</v>
      </c>
      <c r="L117" s="376" t="s">
        <v>170</v>
      </c>
      <c r="M117" s="376" t="s">
        <v>171</v>
      </c>
      <c r="N117" s="376" t="s">
        <v>172</v>
      </c>
      <c r="O117" s="379">
        <v>1</v>
      </c>
      <c r="P117" s="384">
        <v>1</v>
      </c>
      <c r="Q117" s="384">
        <v>1</v>
      </c>
      <c r="R117" s="380">
        <v>80</v>
      </c>
      <c r="S117" s="384">
        <v>1</v>
      </c>
      <c r="T117" s="380">
        <v>90863.95</v>
      </c>
      <c r="U117" s="380">
        <v>0</v>
      </c>
      <c r="V117" s="380">
        <v>29644.93</v>
      </c>
      <c r="W117" s="380">
        <v>87755.199999999997</v>
      </c>
      <c r="X117" s="380">
        <v>30088.23</v>
      </c>
      <c r="Y117" s="380">
        <v>87755.199999999997</v>
      </c>
      <c r="Z117" s="380">
        <v>29631.9</v>
      </c>
      <c r="AA117" s="376" t="s">
        <v>537</v>
      </c>
      <c r="AB117" s="376" t="s">
        <v>538</v>
      </c>
      <c r="AC117" s="376" t="s">
        <v>478</v>
      </c>
      <c r="AD117" s="376" t="s">
        <v>516</v>
      </c>
      <c r="AE117" s="376" t="s">
        <v>536</v>
      </c>
      <c r="AF117" s="376" t="s">
        <v>177</v>
      </c>
      <c r="AG117" s="376" t="s">
        <v>178</v>
      </c>
      <c r="AH117" s="381">
        <v>42.19</v>
      </c>
      <c r="AI117" s="381">
        <v>15308.7</v>
      </c>
      <c r="AJ117" s="376" t="s">
        <v>179</v>
      </c>
      <c r="AK117" s="376" t="s">
        <v>180</v>
      </c>
      <c r="AL117" s="376" t="s">
        <v>170</v>
      </c>
      <c r="AM117" s="376" t="s">
        <v>181</v>
      </c>
      <c r="AN117" s="376" t="s">
        <v>68</v>
      </c>
      <c r="AO117" s="379">
        <v>80</v>
      </c>
      <c r="AP117" s="384">
        <v>1</v>
      </c>
      <c r="AQ117" s="384">
        <v>1</v>
      </c>
      <c r="AR117" s="382" t="s">
        <v>182</v>
      </c>
      <c r="AS117" s="386">
        <f t="shared" si="98"/>
        <v>1</v>
      </c>
      <c r="AT117">
        <f t="shared" si="99"/>
        <v>1</v>
      </c>
      <c r="AU117" s="386">
        <f>IF(AT117=0,"",IF(AND(AT117=1,M117="F",SUMIF(C2:C167,C117,AS2:AS167)&lt;=1),SUMIF(C2:C167,C117,AS2:AS167),IF(AND(AT117=1,M117="F",SUMIF(C2:C167,C117,AS2:AS167)&gt;1),1,"")))</f>
        <v>1</v>
      </c>
      <c r="AV117" s="386" t="str">
        <f>IF(AT117=0,"",IF(AND(AT117=3,M117="F",SUMIF(C2:C167,C117,AS2:AS167)&lt;=1),SUMIF(C2:C167,C117,AS2:AS167),IF(AND(AT117=3,M117="F",SUMIF(C2:C167,C117,AS2:AS167)&gt;1),1,"")))</f>
        <v/>
      </c>
      <c r="AW117" s="386">
        <f>SUMIF(C2:C167,C117,O2:O167)</f>
        <v>1</v>
      </c>
      <c r="AX117" s="386">
        <f>IF(AND(M117="F",AS117&lt;&gt;0),SUMIF(C2:C167,C117,W2:W167),0)</f>
        <v>87755.199999999997</v>
      </c>
      <c r="AY117" s="386">
        <f t="shared" si="100"/>
        <v>87755.199999999997</v>
      </c>
      <c r="AZ117" s="386" t="str">
        <f t="shared" si="101"/>
        <v/>
      </c>
      <c r="BA117" s="386">
        <f t="shared" si="102"/>
        <v>0</v>
      </c>
      <c r="BB117" s="386">
        <f t="shared" si="115"/>
        <v>11650</v>
      </c>
      <c r="BC117" s="386">
        <f t="shared" si="116"/>
        <v>0</v>
      </c>
      <c r="BD117" s="386">
        <f t="shared" si="117"/>
        <v>5440.8224</v>
      </c>
      <c r="BE117" s="386">
        <f t="shared" si="118"/>
        <v>1272.4503999999999</v>
      </c>
      <c r="BF117" s="386">
        <f t="shared" si="119"/>
        <v>10477.970880000001</v>
      </c>
      <c r="BG117" s="386">
        <f t="shared" si="120"/>
        <v>632.71499200000005</v>
      </c>
      <c r="BH117" s="386">
        <f t="shared" si="121"/>
        <v>430.00047999999998</v>
      </c>
      <c r="BI117" s="386">
        <f t="shared" si="122"/>
        <v>0</v>
      </c>
      <c r="BJ117" s="386">
        <f t="shared" si="123"/>
        <v>184.28591999999998</v>
      </c>
      <c r="BK117" s="386">
        <f t="shared" si="124"/>
        <v>0</v>
      </c>
      <c r="BL117" s="386">
        <f t="shared" si="103"/>
        <v>18438.245071999998</v>
      </c>
      <c r="BM117" s="386">
        <f t="shared" si="104"/>
        <v>0</v>
      </c>
      <c r="BN117" s="386">
        <f t="shared" si="125"/>
        <v>11650</v>
      </c>
      <c r="BO117" s="386">
        <f t="shared" si="126"/>
        <v>0</v>
      </c>
      <c r="BP117" s="386">
        <f t="shared" si="127"/>
        <v>5440.8224</v>
      </c>
      <c r="BQ117" s="386">
        <f t="shared" si="128"/>
        <v>1272.4503999999999</v>
      </c>
      <c r="BR117" s="386">
        <f t="shared" si="129"/>
        <v>10477.970880000001</v>
      </c>
      <c r="BS117" s="386">
        <f t="shared" si="130"/>
        <v>632.71499200000005</v>
      </c>
      <c r="BT117" s="386">
        <f t="shared" si="131"/>
        <v>0</v>
      </c>
      <c r="BU117" s="386">
        <f t="shared" si="132"/>
        <v>0</v>
      </c>
      <c r="BV117" s="386">
        <f t="shared" si="133"/>
        <v>157.95936</v>
      </c>
      <c r="BW117" s="386">
        <f t="shared" si="134"/>
        <v>0</v>
      </c>
      <c r="BX117" s="386">
        <f t="shared" si="105"/>
        <v>17981.918032000001</v>
      </c>
      <c r="BY117" s="386">
        <f t="shared" si="106"/>
        <v>0</v>
      </c>
      <c r="BZ117" s="386">
        <f t="shared" si="107"/>
        <v>0</v>
      </c>
      <c r="CA117" s="386">
        <f t="shared" si="108"/>
        <v>0</v>
      </c>
      <c r="CB117" s="386">
        <f t="shared" si="109"/>
        <v>0</v>
      </c>
      <c r="CC117" s="386">
        <f t="shared" si="135"/>
        <v>0</v>
      </c>
      <c r="CD117" s="386">
        <f t="shared" si="136"/>
        <v>0</v>
      </c>
      <c r="CE117" s="386">
        <f t="shared" si="137"/>
        <v>0</v>
      </c>
      <c r="CF117" s="386">
        <f t="shared" si="138"/>
        <v>-430.00047999999998</v>
      </c>
      <c r="CG117" s="386">
        <f t="shared" si="139"/>
        <v>0</v>
      </c>
      <c r="CH117" s="386">
        <f t="shared" si="140"/>
        <v>-26.326559999999994</v>
      </c>
      <c r="CI117" s="386">
        <f t="shared" si="141"/>
        <v>0</v>
      </c>
      <c r="CJ117" s="386">
        <f t="shared" si="110"/>
        <v>-456.32703999999995</v>
      </c>
      <c r="CK117" s="386" t="str">
        <f t="shared" si="111"/>
        <v/>
      </c>
      <c r="CL117" s="386" t="str">
        <f t="shared" si="112"/>
        <v/>
      </c>
      <c r="CM117" s="386" t="str">
        <f t="shared" si="113"/>
        <v/>
      </c>
      <c r="CN117" s="386" t="str">
        <f t="shared" si="114"/>
        <v>0480-00</v>
      </c>
    </row>
    <row r="118" spans="1:92" ht="15.75" thickBot="1" x14ac:dyDescent="0.3">
      <c r="A118" s="376" t="s">
        <v>161</v>
      </c>
      <c r="B118" s="376" t="s">
        <v>162</v>
      </c>
      <c r="C118" s="376" t="s">
        <v>539</v>
      </c>
      <c r="D118" s="376" t="s">
        <v>540</v>
      </c>
      <c r="E118" s="376" t="s">
        <v>501</v>
      </c>
      <c r="F118" s="377" t="s">
        <v>166</v>
      </c>
      <c r="G118" s="376" t="s">
        <v>502</v>
      </c>
      <c r="H118" s="378"/>
      <c r="I118" s="378"/>
      <c r="J118" s="376" t="s">
        <v>168</v>
      </c>
      <c r="K118" s="376" t="s">
        <v>541</v>
      </c>
      <c r="L118" s="376" t="s">
        <v>166</v>
      </c>
      <c r="M118" s="376" t="s">
        <v>171</v>
      </c>
      <c r="N118" s="376" t="s">
        <v>172</v>
      </c>
      <c r="O118" s="379">
        <v>1</v>
      </c>
      <c r="P118" s="384">
        <v>1</v>
      </c>
      <c r="Q118" s="384">
        <v>1</v>
      </c>
      <c r="R118" s="380">
        <v>80</v>
      </c>
      <c r="S118" s="384">
        <v>1</v>
      </c>
      <c r="T118" s="380">
        <v>110676.06</v>
      </c>
      <c r="U118" s="380">
        <v>0</v>
      </c>
      <c r="V118" s="380">
        <v>34143.86</v>
      </c>
      <c r="W118" s="380">
        <v>109990.39999999999</v>
      </c>
      <c r="X118" s="380">
        <v>34760.06</v>
      </c>
      <c r="Y118" s="380">
        <v>109990.39999999999</v>
      </c>
      <c r="Z118" s="380">
        <v>34188.120000000003</v>
      </c>
      <c r="AA118" s="376" t="s">
        <v>542</v>
      </c>
      <c r="AB118" s="376" t="s">
        <v>543</v>
      </c>
      <c r="AC118" s="376" t="s">
        <v>544</v>
      </c>
      <c r="AD118" s="376" t="s">
        <v>545</v>
      </c>
      <c r="AE118" s="376" t="s">
        <v>541</v>
      </c>
      <c r="AF118" s="376" t="s">
        <v>177</v>
      </c>
      <c r="AG118" s="376" t="s">
        <v>178</v>
      </c>
      <c r="AH118" s="381">
        <v>52.88</v>
      </c>
      <c r="AI118" s="379">
        <v>34064</v>
      </c>
      <c r="AJ118" s="376" t="s">
        <v>179</v>
      </c>
      <c r="AK118" s="376" t="s">
        <v>180</v>
      </c>
      <c r="AL118" s="376" t="s">
        <v>170</v>
      </c>
      <c r="AM118" s="376" t="s">
        <v>181</v>
      </c>
      <c r="AN118" s="376" t="s">
        <v>68</v>
      </c>
      <c r="AO118" s="379">
        <v>80</v>
      </c>
      <c r="AP118" s="384">
        <v>1</v>
      </c>
      <c r="AQ118" s="384">
        <v>1</v>
      </c>
      <c r="AR118" s="382" t="s">
        <v>182</v>
      </c>
      <c r="AS118" s="386">
        <f t="shared" si="98"/>
        <v>1</v>
      </c>
      <c r="AT118">
        <f t="shared" si="99"/>
        <v>1</v>
      </c>
      <c r="AU118" s="386">
        <f>IF(AT118=0,"",IF(AND(AT118=1,M118="F",SUMIF(C2:C167,C118,AS2:AS167)&lt;=1),SUMIF(C2:C167,C118,AS2:AS167),IF(AND(AT118=1,M118="F",SUMIF(C2:C167,C118,AS2:AS167)&gt;1),1,"")))</f>
        <v>1</v>
      </c>
      <c r="AV118" s="386" t="str">
        <f>IF(AT118=0,"",IF(AND(AT118=3,M118="F",SUMIF(C2:C167,C118,AS2:AS167)&lt;=1),SUMIF(C2:C167,C118,AS2:AS167),IF(AND(AT118=3,M118="F",SUMIF(C2:C167,C118,AS2:AS167)&gt;1),1,"")))</f>
        <v/>
      </c>
      <c r="AW118" s="386">
        <f>SUMIF(C2:C167,C118,O2:O167)</f>
        <v>1</v>
      </c>
      <c r="AX118" s="386">
        <f>IF(AND(M118="F",AS118&lt;&gt;0),SUMIF(C2:C167,C118,W2:W167),0)</f>
        <v>109990.39999999999</v>
      </c>
      <c r="AY118" s="386">
        <f t="shared" si="100"/>
        <v>109990.39999999999</v>
      </c>
      <c r="AZ118" s="386" t="str">
        <f t="shared" si="101"/>
        <v/>
      </c>
      <c r="BA118" s="386">
        <f t="shared" si="102"/>
        <v>0</v>
      </c>
      <c r="BB118" s="386">
        <f t="shared" si="115"/>
        <v>11650</v>
      </c>
      <c r="BC118" s="386">
        <f t="shared" si="116"/>
        <v>0</v>
      </c>
      <c r="BD118" s="386">
        <f t="shared" si="117"/>
        <v>6819.4047999999993</v>
      </c>
      <c r="BE118" s="386">
        <f t="shared" si="118"/>
        <v>1594.8607999999999</v>
      </c>
      <c r="BF118" s="386">
        <f t="shared" si="119"/>
        <v>13132.85376</v>
      </c>
      <c r="BG118" s="386">
        <f t="shared" si="120"/>
        <v>793.03078400000004</v>
      </c>
      <c r="BH118" s="386">
        <f t="shared" si="121"/>
        <v>538.95295999999996</v>
      </c>
      <c r="BI118" s="386">
        <f t="shared" si="122"/>
        <v>0</v>
      </c>
      <c r="BJ118" s="386">
        <f t="shared" si="123"/>
        <v>230.97983999999997</v>
      </c>
      <c r="BK118" s="386">
        <f t="shared" si="124"/>
        <v>0</v>
      </c>
      <c r="BL118" s="386">
        <f t="shared" si="103"/>
        <v>23110.082943999994</v>
      </c>
      <c r="BM118" s="386">
        <f t="shared" si="104"/>
        <v>0</v>
      </c>
      <c r="BN118" s="386">
        <f t="shared" si="125"/>
        <v>11650</v>
      </c>
      <c r="BO118" s="386">
        <f t="shared" si="126"/>
        <v>0</v>
      </c>
      <c r="BP118" s="386">
        <f t="shared" si="127"/>
        <v>6819.4047999999993</v>
      </c>
      <c r="BQ118" s="386">
        <f t="shared" si="128"/>
        <v>1594.8607999999999</v>
      </c>
      <c r="BR118" s="386">
        <f t="shared" si="129"/>
        <v>13132.85376</v>
      </c>
      <c r="BS118" s="386">
        <f t="shared" si="130"/>
        <v>793.03078400000004</v>
      </c>
      <c r="BT118" s="386">
        <f t="shared" si="131"/>
        <v>0</v>
      </c>
      <c r="BU118" s="386">
        <f t="shared" si="132"/>
        <v>0</v>
      </c>
      <c r="BV118" s="386">
        <f t="shared" si="133"/>
        <v>197.98271999999997</v>
      </c>
      <c r="BW118" s="386">
        <f t="shared" si="134"/>
        <v>0</v>
      </c>
      <c r="BX118" s="386">
        <f t="shared" si="105"/>
        <v>22538.132863999996</v>
      </c>
      <c r="BY118" s="386">
        <f t="shared" si="106"/>
        <v>0</v>
      </c>
      <c r="BZ118" s="386">
        <f t="shared" si="107"/>
        <v>0</v>
      </c>
      <c r="CA118" s="386">
        <f t="shared" si="108"/>
        <v>0</v>
      </c>
      <c r="CB118" s="386">
        <f t="shared" si="109"/>
        <v>0</v>
      </c>
      <c r="CC118" s="386">
        <f t="shared" si="135"/>
        <v>0</v>
      </c>
      <c r="CD118" s="386">
        <f t="shared" si="136"/>
        <v>0</v>
      </c>
      <c r="CE118" s="386">
        <f t="shared" si="137"/>
        <v>0</v>
      </c>
      <c r="CF118" s="386">
        <f t="shared" si="138"/>
        <v>-538.95295999999996</v>
      </c>
      <c r="CG118" s="386">
        <f t="shared" si="139"/>
        <v>0</v>
      </c>
      <c r="CH118" s="386">
        <f t="shared" si="140"/>
        <v>-32.997119999999988</v>
      </c>
      <c r="CI118" s="386">
        <f t="shared" si="141"/>
        <v>0</v>
      </c>
      <c r="CJ118" s="386">
        <f t="shared" si="110"/>
        <v>-571.95007999999996</v>
      </c>
      <c r="CK118" s="386" t="str">
        <f t="shared" si="111"/>
        <v/>
      </c>
      <c r="CL118" s="386" t="str">
        <f t="shared" si="112"/>
        <v/>
      </c>
      <c r="CM118" s="386" t="str">
        <f t="shared" si="113"/>
        <v/>
      </c>
      <c r="CN118" s="386" t="str">
        <f t="shared" si="114"/>
        <v>0480-00</v>
      </c>
    </row>
    <row r="119" spans="1:92" ht="15.75" thickBot="1" x14ac:dyDescent="0.3">
      <c r="A119" s="376" t="s">
        <v>161</v>
      </c>
      <c r="B119" s="376" t="s">
        <v>162</v>
      </c>
      <c r="C119" s="376" t="s">
        <v>183</v>
      </c>
      <c r="D119" s="376" t="s">
        <v>184</v>
      </c>
      <c r="E119" s="376" t="s">
        <v>501</v>
      </c>
      <c r="F119" s="377" t="s">
        <v>166</v>
      </c>
      <c r="G119" s="376" t="s">
        <v>502</v>
      </c>
      <c r="H119" s="378"/>
      <c r="I119" s="378"/>
      <c r="J119" s="376" t="s">
        <v>185</v>
      </c>
      <c r="K119" s="376" t="s">
        <v>186</v>
      </c>
      <c r="L119" s="376" t="s">
        <v>187</v>
      </c>
      <c r="M119" s="376" t="s">
        <v>171</v>
      </c>
      <c r="N119" s="376" t="s">
        <v>172</v>
      </c>
      <c r="O119" s="379">
        <v>1</v>
      </c>
      <c r="P119" s="384">
        <v>0.5</v>
      </c>
      <c r="Q119" s="384">
        <v>0.5</v>
      </c>
      <c r="R119" s="380">
        <v>80</v>
      </c>
      <c r="S119" s="384">
        <v>0.5</v>
      </c>
      <c r="T119" s="380">
        <v>35831.96</v>
      </c>
      <c r="U119" s="380">
        <v>0</v>
      </c>
      <c r="V119" s="380">
        <v>13098.97</v>
      </c>
      <c r="W119" s="380">
        <v>37346.400000000001</v>
      </c>
      <c r="X119" s="380">
        <v>13671.84</v>
      </c>
      <c r="Y119" s="380">
        <v>37346.400000000001</v>
      </c>
      <c r="Z119" s="380">
        <v>13477.64</v>
      </c>
      <c r="AA119" s="376" t="s">
        <v>188</v>
      </c>
      <c r="AB119" s="376" t="s">
        <v>189</v>
      </c>
      <c r="AC119" s="376" t="s">
        <v>190</v>
      </c>
      <c r="AD119" s="376" t="s">
        <v>191</v>
      </c>
      <c r="AE119" s="376" t="s">
        <v>186</v>
      </c>
      <c r="AF119" s="376" t="s">
        <v>177</v>
      </c>
      <c r="AG119" s="376" t="s">
        <v>178</v>
      </c>
      <c r="AH119" s="381">
        <v>35.909999999999997</v>
      </c>
      <c r="AI119" s="381">
        <v>17168.2</v>
      </c>
      <c r="AJ119" s="376" t="s">
        <v>179</v>
      </c>
      <c r="AK119" s="376" t="s">
        <v>180</v>
      </c>
      <c r="AL119" s="376" t="s">
        <v>170</v>
      </c>
      <c r="AM119" s="376" t="s">
        <v>181</v>
      </c>
      <c r="AN119" s="376" t="s">
        <v>68</v>
      </c>
      <c r="AO119" s="379">
        <v>80</v>
      </c>
      <c r="AP119" s="384">
        <v>1</v>
      </c>
      <c r="AQ119" s="384">
        <v>0.5</v>
      </c>
      <c r="AR119" s="382" t="s">
        <v>182</v>
      </c>
      <c r="AS119" s="386">
        <f t="shared" si="98"/>
        <v>0.5</v>
      </c>
      <c r="AT119">
        <f t="shared" si="99"/>
        <v>1</v>
      </c>
      <c r="AU119" s="386">
        <f>IF(AT119=0,"",IF(AND(AT119=1,M119="F",SUMIF(C2:C167,C119,AS2:AS167)&lt;=1),SUMIF(C2:C167,C119,AS2:AS167),IF(AND(AT119=1,M119="F",SUMIF(C2:C167,C119,AS2:AS167)&gt;1),1,"")))</f>
        <v>1</v>
      </c>
      <c r="AV119" s="386" t="str">
        <f>IF(AT119=0,"",IF(AND(AT119=3,M119="F",SUMIF(C2:C167,C119,AS2:AS167)&lt;=1),SUMIF(C2:C167,C119,AS2:AS167),IF(AND(AT119=3,M119="F",SUMIF(C2:C167,C119,AS2:AS167)&gt;1),1,"")))</f>
        <v/>
      </c>
      <c r="AW119" s="386">
        <f>SUMIF(C2:C167,C119,O2:O167)</f>
        <v>4</v>
      </c>
      <c r="AX119" s="386">
        <f>IF(AND(M119="F",AS119&lt;&gt;0),SUMIF(C2:C167,C119,W2:W167),0)</f>
        <v>74692.800000000003</v>
      </c>
      <c r="AY119" s="386">
        <f t="shared" si="100"/>
        <v>37346.400000000001</v>
      </c>
      <c r="AZ119" s="386" t="str">
        <f t="shared" si="101"/>
        <v/>
      </c>
      <c r="BA119" s="386">
        <f t="shared" si="102"/>
        <v>0</v>
      </c>
      <c r="BB119" s="386">
        <f t="shared" si="115"/>
        <v>5825</v>
      </c>
      <c r="BC119" s="386">
        <f t="shared" si="116"/>
        <v>0</v>
      </c>
      <c r="BD119" s="386">
        <f t="shared" si="117"/>
        <v>2315.4767999999999</v>
      </c>
      <c r="BE119" s="386">
        <f t="shared" si="118"/>
        <v>541.52280000000007</v>
      </c>
      <c r="BF119" s="386">
        <f t="shared" si="119"/>
        <v>4459.1601600000004</v>
      </c>
      <c r="BG119" s="386">
        <f t="shared" si="120"/>
        <v>269.26754400000004</v>
      </c>
      <c r="BH119" s="386">
        <f t="shared" si="121"/>
        <v>182.99736000000001</v>
      </c>
      <c r="BI119" s="386">
        <f t="shared" si="122"/>
        <v>0</v>
      </c>
      <c r="BJ119" s="386">
        <f t="shared" si="123"/>
        <v>78.427440000000004</v>
      </c>
      <c r="BK119" s="386">
        <f t="shared" si="124"/>
        <v>0</v>
      </c>
      <c r="BL119" s="386">
        <f t="shared" si="103"/>
        <v>7846.8521040000014</v>
      </c>
      <c r="BM119" s="386">
        <f t="shared" si="104"/>
        <v>0</v>
      </c>
      <c r="BN119" s="386">
        <f t="shared" si="125"/>
        <v>5825</v>
      </c>
      <c r="BO119" s="386">
        <f t="shared" si="126"/>
        <v>0</v>
      </c>
      <c r="BP119" s="386">
        <f t="shared" si="127"/>
        <v>2315.4767999999999</v>
      </c>
      <c r="BQ119" s="386">
        <f t="shared" si="128"/>
        <v>541.52280000000007</v>
      </c>
      <c r="BR119" s="386">
        <f t="shared" si="129"/>
        <v>4459.1601600000004</v>
      </c>
      <c r="BS119" s="386">
        <f t="shared" si="130"/>
        <v>269.26754400000004</v>
      </c>
      <c r="BT119" s="386">
        <f t="shared" si="131"/>
        <v>0</v>
      </c>
      <c r="BU119" s="386">
        <f t="shared" si="132"/>
        <v>0</v>
      </c>
      <c r="BV119" s="386">
        <f t="shared" si="133"/>
        <v>67.223520000000008</v>
      </c>
      <c r="BW119" s="386">
        <f t="shared" si="134"/>
        <v>0</v>
      </c>
      <c r="BX119" s="386">
        <f t="shared" si="105"/>
        <v>7652.6508240000003</v>
      </c>
      <c r="BY119" s="386">
        <f t="shared" si="106"/>
        <v>0</v>
      </c>
      <c r="BZ119" s="386">
        <f t="shared" si="107"/>
        <v>0</v>
      </c>
      <c r="CA119" s="386">
        <f t="shared" si="108"/>
        <v>0</v>
      </c>
      <c r="CB119" s="386">
        <f t="shared" si="109"/>
        <v>0</v>
      </c>
      <c r="CC119" s="386">
        <f t="shared" si="135"/>
        <v>0</v>
      </c>
      <c r="CD119" s="386">
        <f t="shared" si="136"/>
        <v>0</v>
      </c>
      <c r="CE119" s="386">
        <f t="shared" si="137"/>
        <v>0</v>
      </c>
      <c r="CF119" s="386">
        <f t="shared" si="138"/>
        <v>-182.99736000000001</v>
      </c>
      <c r="CG119" s="386">
        <f t="shared" si="139"/>
        <v>0</v>
      </c>
      <c r="CH119" s="386">
        <f t="shared" si="140"/>
        <v>-11.203919999999997</v>
      </c>
      <c r="CI119" s="386">
        <f t="shared" si="141"/>
        <v>0</v>
      </c>
      <c r="CJ119" s="386">
        <f t="shared" si="110"/>
        <v>-194.20128</v>
      </c>
      <c r="CK119" s="386" t="str">
        <f t="shared" si="111"/>
        <v/>
      </c>
      <c r="CL119" s="386" t="str">
        <f t="shared" si="112"/>
        <v/>
      </c>
      <c r="CM119" s="386" t="str">
        <f t="shared" si="113"/>
        <v/>
      </c>
      <c r="CN119" s="386" t="str">
        <f t="shared" si="114"/>
        <v>0480-00</v>
      </c>
    </row>
    <row r="120" spans="1:92" ht="15.75" thickBot="1" x14ac:dyDescent="0.3">
      <c r="A120" s="376" t="s">
        <v>161</v>
      </c>
      <c r="B120" s="376" t="s">
        <v>162</v>
      </c>
      <c r="C120" s="376" t="s">
        <v>546</v>
      </c>
      <c r="D120" s="376" t="s">
        <v>547</v>
      </c>
      <c r="E120" s="376" t="s">
        <v>501</v>
      </c>
      <c r="F120" s="377" t="s">
        <v>166</v>
      </c>
      <c r="G120" s="376" t="s">
        <v>502</v>
      </c>
      <c r="H120" s="378"/>
      <c r="I120" s="378"/>
      <c r="J120" s="376" t="s">
        <v>168</v>
      </c>
      <c r="K120" s="376" t="s">
        <v>548</v>
      </c>
      <c r="L120" s="376" t="s">
        <v>166</v>
      </c>
      <c r="M120" s="376" t="s">
        <v>171</v>
      </c>
      <c r="N120" s="376" t="s">
        <v>172</v>
      </c>
      <c r="O120" s="379">
        <v>1</v>
      </c>
      <c r="P120" s="384">
        <v>1</v>
      </c>
      <c r="Q120" s="384">
        <v>1</v>
      </c>
      <c r="R120" s="380">
        <v>80</v>
      </c>
      <c r="S120" s="384">
        <v>1</v>
      </c>
      <c r="T120" s="380">
        <v>20550.740000000002</v>
      </c>
      <c r="U120" s="380">
        <v>2918.5</v>
      </c>
      <c r="V120" s="380">
        <v>13736.33</v>
      </c>
      <c r="W120" s="380">
        <v>19656</v>
      </c>
      <c r="X120" s="380">
        <v>15779.89</v>
      </c>
      <c r="Y120" s="380">
        <v>19656</v>
      </c>
      <c r="Z120" s="380">
        <v>15677.69</v>
      </c>
      <c r="AA120" s="376" t="s">
        <v>549</v>
      </c>
      <c r="AB120" s="376" t="s">
        <v>550</v>
      </c>
      <c r="AC120" s="376" t="s">
        <v>230</v>
      </c>
      <c r="AD120" s="376" t="s">
        <v>265</v>
      </c>
      <c r="AE120" s="376" t="s">
        <v>548</v>
      </c>
      <c r="AF120" s="376" t="s">
        <v>177</v>
      </c>
      <c r="AG120" s="376" t="s">
        <v>178</v>
      </c>
      <c r="AH120" s="379">
        <v>15</v>
      </c>
      <c r="AI120" s="379">
        <v>288</v>
      </c>
      <c r="AJ120" s="376" t="s">
        <v>246</v>
      </c>
      <c r="AK120" s="376" t="s">
        <v>180</v>
      </c>
      <c r="AL120" s="376" t="s">
        <v>170</v>
      </c>
      <c r="AM120" s="376" t="s">
        <v>181</v>
      </c>
      <c r="AN120" s="376" t="s">
        <v>68</v>
      </c>
      <c r="AO120" s="379">
        <v>48</v>
      </c>
      <c r="AP120" s="384">
        <v>1</v>
      </c>
      <c r="AQ120" s="384">
        <v>0.6</v>
      </c>
      <c r="AR120" s="382">
        <v>5</v>
      </c>
      <c r="AS120" s="386">
        <f t="shared" si="98"/>
        <v>0.6</v>
      </c>
      <c r="AT120">
        <f t="shared" si="99"/>
        <v>1</v>
      </c>
      <c r="AU120" s="386">
        <f>IF(AT120=0,"",IF(AND(AT120=1,M120="F",SUMIF(C2:C167,C120,AS2:AS167)&lt;=1),SUMIF(C2:C167,C120,AS2:AS167),IF(AND(AT120=1,M120="F",SUMIF(C2:C167,C120,AS2:AS167)&gt;1),1,"")))</f>
        <v>0.6</v>
      </c>
      <c r="AV120" s="386" t="str">
        <f>IF(AT120=0,"",IF(AND(AT120=3,M120="F",SUMIF(C2:C167,C120,AS2:AS167)&lt;=1),SUMIF(C2:C167,C120,AS2:AS167),IF(AND(AT120=3,M120="F",SUMIF(C2:C167,C120,AS2:AS167)&gt;1),1,"")))</f>
        <v/>
      </c>
      <c r="AW120" s="386">
        <f>SUMIF(C2:C167,C120,O2:O167)</f>
        <v>1</v>
      </c>
      <c r="AX120" s="386">
        <f>IF(AND(M120="F",AS120&lt;&gt;0),SUMIF(C2:C167,C120,W2:W167),0)</f>
        <v>19656</v>
      </c>
      <c r="AY120" s="386">
        <f t="shared" si="100"/>
        <v>19656</v>
      </c>
      <c r="AZ120" s="386" t="str">
        <f t="shared" si="101"/>
        <v/>
      </c>
      <c r="BA120" s="386">
        <f t="shared" si="102"/>
        <v>0</v>
      </c>
      <c r="BB120" s="386">
        <f t="shared" si="115"/>
        <v>9320</v>
      </c>
      <c r="BC120" s="386">
        <f t="shared" si="116"/>
        <v>0</v>
      </c>
      <c r="BD120" s="386">
        <f t="shared" si="117"/>
        <v>1218.672</v>
      </c>
      <c r="BE120" s="386">
        <f t="shared" si="118"/>
        <v>285.012</v>
      </c>
      <c r="BF120" s="386">
        <f t="shared" si="119"/>
        <v>2346.9264000000003</v>
      </c>
      <c r="BG120" s="386">
        <f t="shared" si="120"/>
        <v>141.71976000000001</v>
      </c>
      <c r="BH120" s="386">
        <f t="shared" si="121"/>
        <v>96.314399999999992</v>
      </c>
      <c r="BI120" s="386">
        <f t="shared" si="122"/>
        <v>0</v>
      </c>
      <c r="BJ120" s="386">
        <f t="shared" si="123"/>
        <v>41.2776</v>
      </c>
      <c r="BK120" s="386">
        <f t="shared" si="124"/>
        <v>0</v>
      </c>
      <c r="BL120" s="386">
        <f t="shared" si="103"/>
        <v>4129.922160000001</v>
      </c>
      <c r="BM120" s="386">
        <f t="shared" si="104"/>
        <v>0</v>
      </c>
      <c r="BN120" s="386">
        <f t="shared" si="125"/>
        <v>9320</v>
      </c>
      <c r="BO120" s="386">
        <f t="shared" si="126"/>
        <v>0</v>
      </c>
      <c r="BP120" s="386">
        <f t="shared" si="127"/>
        <v>1218.672</v>
      </c>
      <c r="BQ120" s="386">
        <f t="shared" si="128"/>
        <v>285.012</v>
      </c>
      <c r="BR120" s="386">
        <f t="shared" si="129"/>
        <v>2346.9264000000003</v>
      </c>
      <c r="BS120" s="386">
        <f t="shared" si="130"/>
        <v>141.71976000000001</v>
      </c>
      <c r="BT120" s="386">
        <f t="shared" si="131"/>
        <v>0</v>
      </c>
      <c r="BU120" s="386">
        <f t="shared" si="132"/>
        <v>0</v>
      </c>
      <c r="BV120" s="386">
        <f t="shared" si="133"/>
        <v>35.380800000000001</v>
      </c>
      <c r="BW120" s="386">
        <f t="shared" si="134"/>
        <v>0</v>
      </c>
      <c r="BX120" s="386">
        <f t="shared" si="105"/>
        <v>4027.7109600000003</v>
      </c>
      <c r="BY120" s="386">
        <f t="shared" si="106"/>
        <v>0</v>
      </c>
      <c r="BZ120" s="386">
        <f t="shared" si="107"/>
        <v>0</v>
      </c>
      <c r="CA120" s="386">
        <f t="shared" si="108"/>
        <v>0</v>
      </c>
      <c r="CB120" s="386">
        <f t="shared" si="109"/>
        <v>0</v>
      </c>
      <c r="CC120" s="386">
        <f t="shared" si="135"/>
        <v>0</v>
      </c>
      <c r="CD120" s="386">
        <f t="shared" si="136"/>
        <v>0</v>
      </c>
      <c r="CE120" s="386">
        <f t="shared" si="137"/>
        <v>0</v>
      </c>
      <c r="CF120" s="386">
        <f t="shared" si="138"/>
        <v>-96.314399999999992</v>
      </c>
      <c r="CG120" s="386">
        <f t="shared" si="139"/>
        <v>0</v>
      </c>
      <c r="CH120" s="386">
        <f t="shared" si="140"/>
        <v>-5.896799999999998</v>
      </c>
      <c r="CI120" s="386">
        <f t="shared" si="141"/>
        <v>0</v>
      </c>
      <c r="CJ120" s="386">
        <f t="shared" si="110"/>
        <v>-102.21119999999999</v>
      </c>
      <c r="CK120" s="386" t="str">
        <f t="shared" si="111"/>
        <v/>
      </c>
      <c r="CL120" s="386" t="str">
        <f t="shared" si="112"/>
        <v/>
      </c>
      <c r="CM120" s="386" t="str">
        <f t="shared" si="113"/>
        <v/>
      </c>
      <c r="CN120" s="386" t="str">
        <f t="shared" si="114"/>
        <v>0480-00</v>
      </c>
    </row>
    <row r="121" spans="1:92" ht="15.75" thickBot="1" x14ac:dyDescent="0.3">
      <c r="A121" s="376" t="s">
        <v>161</v>
      </c>
      <c r="B121" s="376" t="s">
        <v>162</v>
      </c>
      <c r="C121" s="376" t="s">
        <v>192</v>
      </c>
      <c r="D121" s="376" t="s">
        <v>193</v>
      </c>
      <c r="E121" s="376" t="s">
        <v>501</v>
      </c>
      <c r="F121" s="377" t="s">
        <v>166</v>
      </c>
      <c r="G121" s="376" t="s">
        <v>502</v>
      </c>
      <c r="H121" s="378"/>
      <c r="I121" s="378"/>
      <c r="J121" s="376" t="s">
        <v>185</v>
      </c>
      <c r="K121" s="376" t="s">
        <v>194</v>
      </c>
      <c r="L121" s="376" t="s">
        <v>166</v>
      </c>
      <c r="M121" s="376" t="s">
        <v>171</v>
      </c>
      <c r="N121" s="376" t="s">
        <v>172</v>
      </c>
      <c r="O121" s="379">
        <v>1</v>
      </c>
      <c r="P121" s="384">
        <v>0.75</v>
      </c>
      <c r="Q121" s="384">
        <v>0.75</v>
      </c>
      <c r="R121" s="380">
        <v>80</v>
      </c>
      <c r="S121" s="384">
        <v>0.75</v>
      </c>
      <c r="T121" s="380">
        <v>66891.850000000006</v>
      </c>
      <c r="U121" s="380">
        <v>0</v>
      </c>
      <c r="V121" s="380">
        <v>21312.33</v>
      </c>
      <c r="W121" s="380">
        <v>68281.2</v>
      </c>
      <c r="X121" s="380">
        <v>23084.03</v>
      </c>
      <c r="Y121" s="380">
        <v>68281.2</v>
      </c>
      <c r="Z121" s="380">
        <v>22728.97</v>
      </c>
      <c r="AA121" s="376" t="s">
        <v>195</v>
      </c>
      <c r="AB121" s="376" t="s">
        <v>196</v>
      </c>
      <c r="AC121" s="376" t="s">
        <v>197</v>
      </c>
      <c r="AD121" s="376" t="s">
        <v>198</v>
      </c>
      <c r="AE121" s="376" t="s">
        <v>194</v>
      </c>
      <c r="AF121" s="376" t="s">
        <v>177</v>
      </c>
      <c r="AG121" s="376" t="s">
        <v>178</v>
      </c>
      <c r="AH121" s="381">
        <v>43.77</v>
      </c>
      <c r="AI121" s="381">
        <v>6572.5</v>
      </c>
      <c r="AJ121" s="376" t="s">
        <v>179</v>
      </c>
      <c r="AK121" s="376" t="s">
        <v>180</v>
      </c>
      <c r="AL121" s="376" t="s">
        <v>170</v>
      </c>
      <c r="AM121" s="376" t="s">
        <v>181</v>
      </c>
      <c r="AN121" s="376" t="s">
        <v>68</v>
      </c>
      <c r="AO121" s="379">
        <v>80</v>
      </c>
      <c r="AP121" s="384">
        <v>1</v>
      </c>
      <c r="AQ121" s="384">
        <v>0.75</v>
      </c>
      <c r="AR121" s="382" t="s">
        <v>182</v>
      </c>
      <c r="AS121" s="386">
        <f t="shared" si="98"/>
        <v>0.75</v>
      </c>
      <c r="AT121">
        <f t="shared" si="99"/>
        <v>1</v>
      </c>
      <c r="AU121" s="386">
        <f>IF(AT121=0,"",IF(AND(AT121=1,M121="F",SUMIF(C2:C167,C121,AS2:AS167)&lt;=1),SUMIF(C2:C167,C121,AS2:AS167),IF(AND(AT121=1,M121="F",SUMIF(C2:C167,C121,AS2:AS167)&gt;1),1,"")))</f>
        <v>1</v>
      </c>
      <c r="AV121" s="386" t="str">
        <f>IF(AT121=0,"",IF(AND(AT121=3,M121="F",SUMIF(C2:C167,C121,AS2:AS167)&lt;=1),SUMIF(C2:C167,C121,AS2:AS167),IF(AND(AT121=3,M121="F",SUMIF(C2:C167,C121,AS2:AS167)&gt;1),1,"")))</f>
        <v/>
      </c>
      <c r="AW121" s="386">
        <f>SUMIF(C2:C167,C121,O2:O167)</f>
        <v>5</v>
      </c>
      <c r="AX121" s="386">
        <f>IF(AND(M121="F",AS121&lt;&gt;0),SUMIF(C2:C167,C121,W2:W167),0)</f>
        <v>91041.600000000006</v>
      </c>
      <c r="AY121" s="386">
        <f t="shared" si="100"/>
        <v>68281.2</v>
      </c>
      <c r="AZ121" s="386" t="str">
        <f t="shared" si="101"/>
        <v/>
      </c>
      <c r="BA121" s="386">
        <f t="shared" si="102"/>
        <v>0</v>
      </c>
      <c r="BB121" s="386">
        <f t="shared" si="115"/>
        <v>8737.5</v>
      </c>
      <c r="BC121" s="386">
        <f t="shared" si="116"/>
        <v>0</v>
      </c>
      <c r="BD121" s="386">
        <f t="shared" si="117"/>
        <v>4233.4344000000001</v>
      </c>
      <c r="BE121" s="386">
        <f t="shared" si="118"/>
        <v>990.07740000000001</v>
      </c>
      <c r="BF121" s="386">
        <f t="shared" si="119"/>
        <v>8152.7752799999998</v>
      </c>
      <c r="BG121" s="386">
        <f t="shared" si="120"/>
        <v>492.30745200000001</v>
      </c>
      <c r="BH121" s="386">
        <f t="shared" si="121"/>
        <v>334.57787999999999</v>
      </c>
      <c r="BI121" s="386">
        <f t="shared" si="122"/>
        <v>0</v>
      </c>
      <c r="BJ121" s="386">
        <f t="shared" si="123"/>
        <v>143.39051999999998</v>
      </c>
      <c r="BK121" s="386">
        <f t="shared" si="124"/>
        <v>0</v>
      </c>
      <c r="BL121" s="386">
        <f t="shared" si="103"/>
        <v>14346.562932000001</v>
      </c>
      <c r="BM121" s="386">
        <f t="shared" si="104"/>
        <v>0</v>
      </c>
      <c r="BN121" s="386">
        <f t="shared" si="125"/>
        <v>8737.5</v>
      </c>
      <c r="BO121" s="386">
        <f t="shared" si="126"/>
        <v>0</v>
      </c>
      <c r="BP121" s="386">
        <f t="shared" si="127"/>
        <v>4233.4344000000001</v>
      </c>
      <c r="BQ121" s="386">
        <f t="shared" si="128"/>
        <v>990.07740000000001</v>
      </c>
      <c r="BR121" s="386">
        <f t="shared" si="129"/>
        <v>8152.7752799999998</v>
      </c>
      <c r="BS121" s="386">
        <f t="shared" si="130"/>
        <v>492.30745200000001</v>
      </c>
      <c r="BT121" s="386">
        <f t="shared" si="131"/>
        <v>0</v>
      </c>
      <c r="BU121" s="386">
        <f t="shared" si="132"/>
        <v>0</v>
      </c>
      <c r="BV121" s="386">
        <f t="shared" si="133"/>
        <v>122.90615999999999</v>
      </c>
      <c r="BW121" s="386">
        <f t="shared" si="134"/>
        <v>0</v>
      </c>
      <c r="BX121" s="386">
        <f t="shared" si="105"/>
        <v>13991.500692</v>
      </c>
      <c r="BY121" s="386">
        <f t="shared" si="106"/>
        <v>0</v>
      </c>
      <c r="BZ121" s="386">
        <f t="shared" si="107"/>
        <v>0</v>
      </c>
      <c r="CA121" s="386">
        <f t="shared" si="108"/>
        <v>0</v>
      </c>
      <c r="CB121" s="386">
        <f t="shared" si="109"/>
        <v>0</v>
      </c>
      <c r="CC121" s="386">
        <f t="shared" si="135"/>
        <v>0</v>
      </c>
      <c r="CD121" s="386">
        <f t="shared" si="136"/>
        <v>0</v>
      </c>
      <c r="CE121" s="386">
        <f t="shared" si="137"/>
        <v>0</v>
      </c>
      <c r="CF121" s="386">
        <f t="shared" si="138"/>
        <v>-334.57787999999999</v>
      </c>
      <c r="CG121" s="386">
        <f t="shared" si="139"/>
        <v>0</v>
      </c>
      <c r="CH121" s="386">
        <f t="shared" si="140"/>
        <v>-20.484359999999995</v>
      </c>
      <c r="CI121" s="386">
        <f t="shared" si="141"/>
        <v>0</v>
      </c>
      <c r="CJ121" s="386">
        <f t="shared" si="110"/>
        <v>-355.06223999999997</v>
      </c>
      <c r="CK121" s="386" t="str">
        <f t="shared" si="111"/>
        <v/>
      </c>
      <c r="CL121" s="386" t="str">
        <f t="shared" si="112"/>
        <v/>
      </c>
      <c r="CM121" s="386" t="str">
        <f t="shared" si="113"/>
        <v/>
      </c>
      <c r="CN121" s="386" t="str">
        <f t="shared" si="114"/>
        <v>0480-00</v>
      </c>
    </row>
    <row r="122" spans="1:92" ht="15.75" thickBot="1" x14ac:dyDescent="0.3">
      <c r="A122" s="376" t="s">
        <v>161</v>
      </c>
      <c r="B122" s="376" t="s">
        <v>162</v>
      </c>
      <c r="C122" s="376" t="s">
        <v>551</v>
      </c>
      <c r="D122" s="376" t="s">
        <v>500</v>
      </c>
      <c r="E122" s="376" t="s">
        <v>501</v>
      </c>
      <c r="F122" s="377" t="s">
        <v>166</v>
      </c>
      <c r="G122" s="376" t="s">
        <v>502</v>
      </c>
      <c r="H122" s="378"/>
      <c r="I122" s="378"/>
      <c r="J122" s="376" t="s">
        <v>168</v>
      </c>
      <c r="K122" s="376" t="s">
        <v>503</v>
      </c>
      <c r="L122" s="376" t="s">
        <v>166</v>
      </c>
      <c r="M122" s="376" t="s">
        <v>171</v>
      </c>
      <c r="N122" s="376" t="s">
        <v>172</v>
      </c>
      <c r="O122" s="379">
        <v>1</v>
      </c>
      <c r="P122" s="384">
        <v>1</v>
      </c>
      <c r="Q122" s="384">
        <v>1</v>
      </c>
      <c r="R122" s="380">
        <v>80</v>
      </c>
      <c r="S122" s="384">
        <v>1</v>
      </c>
      <c r="T122" s="380">
        <v>37668.1</v>
      </c>
      <c r="U122" s="380">
        <v>476.08</v>
      </c>
      <c r="V122" s="380">
        <v>19389.47</v>
      </c>
      <c r="W122" s="380">
        <v>43570.8</v>
      </c>
      <c r="X122" s="380">
        <v>20804.62</v>
      </c>
      <c r="Y122" s="380">
        <v>43570.8</v>
      </c>
      <c r="Z122" s="380">
        <v>20578.060000000001</v>
      </c>
      <c r="AA122" s="376" t="s">
        <v>552</v>
      </c>
      <c r="AB122" s="376" t="s">
        <v>553</v>
      </c>
      <c r="AC122" s="376" t="s">
        <v>554</v>
      </c>
      <c r="AD122" s="376" t="s">
        <v>180</v>
      </c>
      <c r="AE122" s="376" t="s">
        <v>503</v>
      </c>
      <c r="AF122" s="376" t="s">
        <v>177</v>
      </c>
      <c r="AG122" s="376" t="s">
        <v>178</v>
      </c>
      <c r="AH122" s="381">
        <v>19.95</v>
      </c>
      <c r="AI122" s="381">
        <v>1037.9000000000001</v>
      </c>
      <c r="AJ122" s="376" t="s">
        <v>179</v>
      </c>
      <c r="AK122" s="376" t="s">
        <v>180</v>
      </c>
      <c r="AL122" s="376" t="s">
        <v>170</v>
      </c>
      <c r="AM122" s="376" t="s">
        <v>181</v>
      </c>
      <c r="AN122" s="376" t="s">
        <v>68</v>
      </c>
      <c r="AO122" s="379">
        <v>80</v>
      </c>
      <c r="AP122" s="384">
        <v>1</v>
      </c>
      <c r="AQ122" s="384">
        <v>1</v>
      </c>
      <c r="AR122" s="382">
        <v>5</v>
      </c>
      <c r="AS122" s="386">
        <f t="shared" si="98"/>
        <v>1</v>
      </c>
      <c r="AT122">
        <f t="shared" si="99"/>
        <v>1</v>
      </c>
      <c r="AU122" s="386">
        <f>IF(AT122=0,"",IF(AND(AT122=1,M122="F",SUMIF(C2:C167,C122,AS2:AS167)&lt;=1),SUMIF(C2:C167,C122,AS2:AS167),IF(AND(AT122=1,M122="F",SUMIF(C2:C167,C122,AS2:AS167)&gt;1),1,"")))</f>
        <v>1</v>
      </c>
      <c r="AV122" s="386" t="str">
        <f>IF(AT122=0,"",IF(AND(AT122=3,M122="F",SUMIF(C2:C167,C122,AS2:AS167)&lt;=1),SUMIF(C2:C167,C122,AS2:AS167),IF(AND(AT122=3,M122="F",SUMIF(C2:C167,C122,AS2:AS167)&gt;1),1,"")))</f>
        <v/>
      </c>
      <c r="AW122" s="386">
        <f>SUMIF(C2:C167,C122,O2:O167)</f>
        <v>1</v>
      </c>
      <c r="AX122" s="386">
        <f>IF(AND(M122="F",AS122&lt;&gt;0),SUMIF(C2:C167,C122,W2:W167),0)</f>
        <v>43570.8</v>
      </c>
      <c r="AY122" s="386">
        <f t="shared" si="100"/>
        <v>43570.8</v>
      </c>
      <c r="AZ122" s="386" t="str">
        <f t="shared" si="101"/>
        <v/>
      </c>
      <c r="BA122" s="386">
        <f t="shared" si="102"/>
        <v>0</v>
      </c>
      <c r="BB122" s="386">
        <f t="shared" si="115"/>
        <v>11650</v>
      </c>
      <c r="BC122" s="386">
        <f t="shared" si="116"/>
        <v>0</v>
      </c>
      <c r="BD122" s="386">
        <f t="shared" si="117"/>
        <v>2701.3896</v>
      </c>
      <c r="BE122" s="386">
        <f t="shared" si="118"/>
        <v>631.77660000000003</v>
      </c>
      <c r="BF122" s="386">
        <f t="shared" si="119"/>
        <v>5202.3535200000006</v>
      </c>
      <c r="BG122" s="386">
        <f t="shared" si="120"/>
        <v>314.14546800000005</v>
      </c>
      <c r="BH122" s="386">
        <f t="shared" si="121"/>
        <v>213.49692000000002</v>
      </c>
      <c r="BI122" s="386">
        <f t="shared" si="122"/>
        <v>0</v>
      </c>
      <c r="BJ122" s="386">
        <f t="shared" si="123"/>
        <v>91.498680000000007</v>
      </c>
      <c r="BK122" s="386">
        <f t="shared" si="124"/>
        <v>0</v>
      </c>
      <c r="BL122" s="386">
        <f t="shared" si="103"/>
        <v>9154.660788000001</v>
      </c>
      <c r="BM122" s="386">
        <f t="shared" si="104"/>
        <v>0</v>
      </c>
      <c r="BN122" s="386">
        <f t="shared" si="125"/>
        <v>11650</v>
      </c>
      <c r="BO122" s="386">
        <f t="shared" si="126"/>
        <v>0</v>
      </c>
      <c r="BP122" s="386">
        <f t="shared" si="127"/>
        <v>2701.3896</v>
      </c>
      <c r="BQ122" s="386">
        <f t="shared" si="128"/>
        <v>631.77660000000003</v>
      </c>
      <c r="BR122" s="386">
        <f t="shared" si="129"/>
        <v>5202.3535200000006</v>
      </c>
      <c r="BS122" s="386">
        <f t="shared" si="130"/>
        <v>314.14546800000005</v>
      </c>
      <c r="BT122" s="386">
        <f t="shared" si="131"/>
        <v>0</v>
      </c>
      <c r="BU122" s="386">
        <f t="shared" si="132"/>
        <v>0</v>
      </c>
      <c r="BV122" s="386">
        <f t="shared" si="133"/>
        <v>78.427440000000004</v>
      </c>
      <c r="BW122" s="386">
        <f t="shared" si="134"/>
        <v>0</v>
      </c>
      <c r="BX122" s="386">
        <f t="shared" si="105"/>
        <v>8928.0926280000003</v>
      </c>
      <c r="BY122" s="386">
        <f t="shared" si="106"/>
        <v>0</v>
      </c>
      <c r="BZ122" s="386">
        <f t="shared" si="107"/>
        <v>0</v>
      </c>
      <c r="CA122" s="386">
        <f t="shared" si="108"/>
        <v>0</v>
      </c>
      <c r="CB122" s="386">
        <f t="shared" si="109"/>
        <v>0</v>
      </c>
      <c r="CC122" s="386">
        <f t="shared" si="135"/>
        <v>0</v>
      </c>
      <c r="CD122" s="386">
        <f t="shared" si="136"/>
        <v>0</v>
      </c>
      <c r="CE122" s="386">
        <f t="shared" si="137"/>
        <v>0</v>
      </c>
      <c r="CF122" s="386">
        <f t="shared" si="138"/>
        <v>-213.49692000000002</v>
      </c>
      <c r="CG122" s="386">
        <f t="shared" si="139"/>
        <v>0</v>
      </c>
      <c r="CH122" s="386">
        <f t="shared" si="140"/>
        <v>-13.071239999999998</v>
      </c>
      <c r="CI122" s="386">
        <f t="shared" si="141"/>
        <v>0</v>
      </c>
      <c r="CJ122" s="386">
        <f t="shared" si="110"/>
        <v>-226.56816000000001</v>
      </c>
      <c r="CK122" s="386" t="str">
        <f t="shared" si="111"/>
        <v/>
      </c>
      <c r="CL122" s="386" t="str">
        <f t="shared" si="112"/>
        <v/>
      </c>
      <c r="CM122" s="386" t="str">
        <f t="shared" si="113"/>
        <v/>
      </c>
      <c r="CN122" s="386" t="str">
        <f t="shared" si="114"/>
        <v>0480-00</v>
      </c>
    </row>
    <row r="123" spans="1:92" ht="15.75" thickBot="1" x14ac:dyDescent="0.3">
      <c r="A123" s="376" t="s">
        <v>161</v>
      </c>
      <c r="B123" s="376" t="s">
        <v>162</v>
      </c>
      <c r="C123" s="376" t="s">
        <v>199</v>
      </c>
      <c r="D123" s="376" t="s">
        <v>200</v>
      </c>
      <c r="E123" s="376" t="s">
        <v>501</v>
      </c>
      <c r="F123" s="377" t="s">
        <v>166</v>
      </c>
      <c r="G123" s="376" t="s">
        <v>502</v>
      </c>
      <c r="H123" s="378"/>
      <c r="I123" s="378"/>
      <c r="J123" s="376" t="s">
        <v>185</v>
      </c>
      <c r="K123" s="376" t="s">
        <v>201</v>
      </c>
      <c r="L123" s="376" t="s">
        <v>178</v>
      </c>
      <c r="M123" s="376" t="s">
        <v>171</v>
      </c>
      <c r="N123" s="376" t="s">
        <v>172</v>
      </c>
      <c r="O123" s="379">
        <v>1</v>
      </c>
      <c r="P123" s="384">
        <v>0.45</v>
      </c>
      <c r="Q123" s="384">
        <v>0.45</v>
      </c>
      <c r="R123" s="380">
        <v>80</v>
      </c>
      <c r="S123" s="384">
        <v>0.45</v>
      </c>
      <c r="T123" s="380">
        <v>13672.61</v>
      </c>
      <c r="U123" s="380">
        <v>0</v>
      </c>
      <c r="V123" s="380">
        <v>6838.56</v>
      </c>
      <c r="W123" s="380">
        <v>18720</v>
      </c>
      <c r="X123" s="380">
        <v>9175.75</v>
      </c>
      <c r="Y123" s="380">
        <v>18720</v>
      </c>
      <c r="Z123" s="380">
        <v>9078.41</v>
      </c>
      <c r="AA123" s="376" t="s">
        <v>202</v>
      </c>
      <c r="AB123" s="376" t="s">
        <v>203</v>
      </c>
      <c r="AC123" s="376" t="s">
        <v>204</v>
      </c>
      <c r="AD123" s="376" t="s">
        <v>176</v>
      </c>
      <c r="AE123" s="376" t="s">
        <v>201</v>
      </c>
      <c r="AF123" s="376" t="s">
        <v>177</v>
      </c>
      <c r="AG123" s="376" t="s">
        <v>178</v>
      </c>
      <c r="AH123" s="379">
        <v>20</v>
      </c>
      <c r="AI123" s="379">
        <v>769</v>
      </c>
      <c r="AJ123" s="376" t="s">
        <v>179</v>
      </c>
      <c r="AK123" s="376" t="s">
        <v>180</v>
      </c>
      <c r="AL123" s="376" t="s">
        <v>170</v>
      </c>
      <c r="AM123" s="376" t="s">
        <v>181</v>
      </c>
      <c r="AN123" s="376" t="s">
        <v>68</v>
      </c>
      <c r="AO123" s="379">
        <v>80</v>
      </c>
      <c r="AP123" s="384">
        <v>1</v>
      </c>
      <c r="AQ123" s="384">
        <v>0.45</v>
      </c>
      <c r="AR123" s="382" t="s">
        <v>182</v>
      </c>
      <c r="AS123" s="386">
        <f t="shared" si="98"/>
        <v>0.45</v>
      </c>
      <c r="AT123">
        <f t="shared" si="99"/>
        <v>1</v>
      </c>
      <c r="AU123" s="386">
        <f>IF(AT123=0,"",IF(AND(AT123=1,M123="F",SUMIF(C2:C167,C123,AS2:AS167)&lt;=1),SUMIF(C2:C167,C123,AS2:AS167),IF(AND(AT123=1,M123="F",SUMIF(C2:C167,C123,AS2:AS167)&gt;1),1,"")))</f>
        <v>1</v>
      </c>
      <c r="AV123" s="386" t="str">
        <f>IF(AT123=0,"",IF(AND(AT123=3,M123="F",SUMIF(C2:C167,C123,AS2:AS167)&lt;=1),SUMIF(C2:C167,C123,AS2:AS167),IF(AND(AT123=3,M123="F",SUMIF(C2:C167,C123,AS2:AS167)&gt;1),1,"")))</f>
        <v/>
      </c>
      <c r="AW123" s="386">
        <f>SUMIF(C2:C167,C123,O2:O167)</f>
        <v>4</v>
      </c>
      <c r="AX123" s="386">
        <f>IF(AND(M123="F",AS123&lt;&gt;0),SUMIF(C2:C167,C123,W2:W167),0)</f>
        <v>41600</v>
      </c>
      <c r="AY123" s="386">
        <f t="shared" si="100"/>
        <v>18720</v>
      </c>
      <c r="AZ123" s="386" t="str">
        <f t="shared" si="101"/>
        <v/>
      </c>
      <c r="BA123" s="386">
        <f t="shared" si="102"/>
        <v>0</v>
      </c>
      <c r="BB123" s="386">
        <f t="shared" si="115"/>
        <v>5242.5</v>
      </c>
      <c r="BC123" s="386">
        <f t="shared" si="116"/>
        <v>0</v>
      </c>
      <c r="BD123" s="386">
        <f t="shared" si="117"/>
        <v>1160.6400000000001</v>
      </c>
      <c r="BE123" s="386">
        <f t="shared" si="118"/>
        <v>271.44</v>
      </c>
      <c r="BF123" s="386">
        <f t="shared" si="119"/>
        <v>2235.1680000000001</v>
      </c>
      <c r="BG123" s="386">
        <f t="shared" si="120"/>
        <v>134.97120000000001</v>
      </c>
      <c r="BH123" s="386">
        <f t="shared" si="121"/>
        <v>91.727999999999994</v>
      </c>
      <c r="BI123" s="386">
        <f t="shared" si="122"/>
        <v>0</v>
      </c>
      <c r="BJ123" s="386">
        <f t="shared" si="123"/>
        <v>39.311999999999998</v>
      </c>
      <c r="BK123" s="386">
        <f t="shared" si="124"/>
        <v>0</v>
      </c>
      <c r="BL123" s="386">
        <f t="shared" si="103"/>
        <v>3933.2592000000004</v>
      </c>
      <c r="BM123" s="386">
        <f t="shared" si="104"/>
        <v>0</v>
      </c>
      <c r="BN123" s="386">
        <f t="shared" si="125"/>
        <v>5242.5</v>
      </c>
      <c r="BO123" s="386">
        <f t="shared" si="126"/>
        <v>0</v>
      </c>
      <c r="BP123" s="386">
        <f t="shared" si="127"/>
        <v>1160.6400000000001</v>
      </c>
      <c r="BQ123" s="386">
        <f t="shared" si="128"/>
        <v>271.44</v>
      </c>
      <c r="BR123" s="386">
        <f t="shared" si="129"/>
        <v>2235.1680000000001</v>
      </c>
      <c r="BS123" s="386">
        <f t="shared" si="130"/>
        <v>134.97120000000001</v>
      </c>
      <c r="BT123" s="386">
        <f t="shared" si="131"/>
        <v>0</v>
      </c>
      <c r="BU123" s="386">
        <f t="shared" si="132"/>
        <v>0</v>
      </c>
      <c r="BV123" s="386">
        <f t="shared" si="133"/>
        <v>33.695999999999998</v>
      </c>
      <c r="BW123" s="386">
        <f t="shared" si="134"/>
        <v>0</v>
      </c>
      <c r="BX123" s="386">
        <f t="shared" si="105"/>
        <v>3835.9152000000004</v>
      </c>
      <c r="BY123" s="386">
        <f t="shared" si="106"/>
        <v>0</v>
      </c>
      <c r="BZ123" s="386">
        <f t="shared" si="107"/>
        <v>0</v>
      </c>
      <c r="CA123" s="386">
        <f t="shared" si="108"/>
        <v>0</v>
      </c>
      <c r="CB123" s="386">
        <f t="shared" si="109"/>
        <v>0</v>
      </c>
      <c r="CC123" s="386">
        <f t="shared" si="135"/>
        <v>0</v>
      </c>
      <c r="CD123" s="386">
        <f t="shared" si="136"/>
        <v>0</v>
      </c>
      <c r="CE123" s="386">
        <f t="shared" si="137"/>
        <v>0</v>
      </c>
      <c r="CF123" s="386">
        <f t="shared" si="138"/>
        <v>-91.727999999999994</v>
      </c>
      <c r="CG123" s="386">
        <f t="shared" si="139"/>
        <v>0</v>
      </c>
      <c r="CH123" s="386">
        <f t="shared" si="140"/>
        <v>-5.6159999999999988</v>
      </c>
      <c r="CI123" s="386">
        <f t="shared" si="141"/>
        <v>0</v>
      </c>
      <c r="CJ123" s="386">
        <f t="shared" si="110"/>
        <v>-97.343999999999994</v>
      </c>
      <c r="CK123" s="386" t="str">
        <f t="shared" si="111"/>
        <v/>
      </c>
      <c r="CL123" s="386" t="str">
        <f t="shared" si="112"/>
        <v/>
      </c>
      <c r="CM123" s="386" t="str">
        <f t="shared" si="113"/>
        <v/>
      </c>
      <c r="CN123" s="386" t="str">
        <f t="shared" si="114"/>
        <v>0480-00</v>
      </c>
    </row>
    <row r="124" spans="1:92" ht="15.75" thickBot="1" x14ac:dyDescent="0.3">
      <c r="A124" s="376" t="s">
        <v>161</v>
      </c>
      <c r="B124" s="376" t="s">
        <v>162</v>
      </c>
      <c r="C124" s="376" t="s">
        <v>555</v>
      </c>
      <c r="D124" s="376" t="s">
        <v>556</v>
      </c>
      <c r="E124" s="376" t="s">
        <v>501</v>
      </c>
      <c r="F124" s="377" t="s">
        <v>166</v>
      </c>
      <c r="G124" s="376" t="s">
        <v>502</v>
      </c>
      <c r="H124" s="378"/>
      <c r="I124" s="378"/>
      <c r="J124" s="376" t="s">
        <v>168</v>
      </c>
      <c r="K124" s="376" t="s">
        <v>557</v>
      </c>
      <c r="L124" s="376" t="s">
        <v>298</v>
      </c>
      <c r="M124" s="376" t="s">
        <v>171</v>
      </c>
      <c r="N124" s="376" t="s">
        <v>172</v>
      </c>
      <c r="O124" s="379">
        <v>1</v>
      </c>
      <c r="P124" s="384">
        <v>1</v>
      </c>
      <c r="Q124" s="384">
        <v>1</v>
      </c>
      <c r="R124" s="380">
        <v>80</v>
      </c>
      <c r="S124" s="384">
        <v>1</v>
      </c>
      <c r="T124" s="380">
        <v>55969.25</v>
      </c>
      <c r="U124" s="380">
        <v>689.45</v>
      </c>
      <c r="V124" s="380">
        <v>23138.37</v>
      </c>
      <c r="W124" s="380">
        <v>74256</v>
      </c>
      <c r="X124" s="380">
        <v>27251.9</v>
      </c>
      <c r="Y124" s="380">
        <v>74256</v>
      </c>
      <c r="Z124" s="380">
        <v>26865.78</v>
      </c>
      <c r="AA124" s="376" t="s">
        <v>558</v>
      </c>
      <c r="AB124" s="376" t="s">
        <v>559</v>
      </c>
      <c r="AC124" s="376" t="s">
        <v>560</v>
      </c>
      <c r="AD124" s="376" t="s">
        <v>561</v>
      </c>
      <c r="AE124" s="376" t="s">
        <v>557</v>
      </c>
      <c r="AF124" s="376" t="s">
        <v>177</v>
      </c>
      <c r="AG124" s="376" t="s">
        <v>178</v>
      </c>
      <c r="AH124" s="379">
        <v>34</v>
      </c>
      <c r="AI124" s="381">
        <v>12586.5</v>
      </c>
      <c r="AJ124" s="376" t="s">
        <v>179</v>
      </c>
      <c r="AK124" s="376" t="s">
        <v>180</v>
      </c>
      <c r="AL124" s="376" t="s">
        <v>170</v>
      </c>
      <c r="AM124" s="376" t="s">
        <v>181</v>
      </c>
      <c r="AN124" s="376" t="s">
        <v>68</v>
      </c>
      <c r="AO124" s="379">
        <v>80</v>
      </c>
      <c r="AP124" s="384">
        <v>1</v>
      </c>
      <c r="AQ124" s="384">
        <v>1</v>
      </c>
      <c r="AR124" s="382">
        <v>5</v>
      </c>
      <c r="AS124" s="386">
        <f t="shared" si="98"/>
        <v>1</v>
      </c>
      <c r="AT124">
        <f t="shared" si="99"/>
        <v>1</v>
      </c>
      <c r="AU124" s="386">
        <f>IF(AT124=0,"",IF(AND(AT124=1,M124="F",SUMIF(C2:C167,C124,AS2:AS167)&lt;=1),SUMIF(C2:C167,C124,AS2:AS167),IF(AND(AT124=1,M124="F",SUMIF(C2:C167,C124,AS2:AS167)&gt;1),1,"")))</f>
        <v>1</v>
      </c>
      <c r="AV124" s="386" t="str">
        <f>IF(AT124=0,"",IF(AND(AT124=3,M124="F",SUMIF(C2:C167,C124,AS2:AS167)&lt;=1),SUMIF(C2:C167,C124,AS2:AS167),IF(AND(AT124=3,M124="F",SUMIF(C2:C167,C124,AS2:AS167)&gt;1),1,"")))</f>
        <v/>
      </c>
      <c r="AW124" s="386">
        <f>SUMIF(C2:C167,C124,O2:O167)</f>
        <v>1</v>
      </c>
      <c r="AX124" s="386">
        <f>IF(AND(M124="F",AS124&lt;&gt;0),SUMIF(C2:C167,C124,W2:W167),0)</f>
        <v>74256</v>
      </c>
      <c r="AY124" s="386">
        <f t="shared" si="100"/>
        <v>74256</v>
      </c>
      <c r="AZ124" s="386" t="str">
        <f t="shared" si="101"/>
        <v/>
      </c>
      <c r="BA124" s="386">
        <f t="shared" si="102"/>
        <v>0</v>
      </c>
      <c r="BB124" s="386">
        <f t="shared" si="115"/>
        <v>11650</v>
      </c>
      <c r="BC124" s="386">
        <f t="shared" si="116"/>
        <v>0</v>
      </c>
      <c r="BD124" s="386">
        <f t="shared" si="117"/>
        <v>4603.8720000000003</v>
      </c>
      <c r="BE124" s="386">
        <f t="shared" si="118"/>
        <v>1076.712</v>
      </c>
      <c r="BF124" s="386">
        <f t="shared" si="119"/>
        <v>8866.1664000000001</v>
      </c>
      <c r="BG124" s="386">
        <f t="shared" si="120"/>
        <v>535.38576</v>
      </c>
      <c r="BH124" s="386">
        <f t="shared" si="121"/>
        <v>363.8544</v>
      </c>
      <c r="BI124" s="386">
        <f t="shared" si="122"/>
        <v>0</v>
      </c>
      <c r="BJ124" s="386">
        <f t="shared" si="123"/>
        <v>155.9376</v>
      </c>
      <c r="BK124" s="386">
        <f t="shared" si="124"/>
        <v>0</v>
      </c>
      <c r="BL124" s="386">
        <f t="shared" si="103"/>
        <v>15601.928159999999</v>
      </c>
      <c r="BM124" s="386">
        <f t="shared" si="104"/>
        <v>0</v>
      </c>
      <c r="BN124" s="386">
        <f t="shared" si="125"/>
        <v>11650</v>
      </c>
      <c r="BO124" s="386">
        <f t="shared" si="126"/>
        <v>0</v>
      </c>
      <c r="BP124" s="386">
        <f t="shared" si="127"/>
        <v>4603.8720000000003</v>
      </c>
      <c r="BQ124" s="386">
        <f t="shared" si="128"/>
        <v>1076.712</v>
      </c>
      <c r="BR124" s="386">
        <f t="shared" si="129"/>
        <v>8866.1664000000001</v>
      </c>
      <c r="BS124" s="386">
        <f t="shared" si="130"/>
        <v>535.38576</v>
      </c>
      <c r="BT124" s="386">
        <f t="shared" si="131"/>
        <v>0</v>
      </c>
      <c r="BU124" s="386">
        <f t="shared" si="132"/>
        <v>0</v>
      </c>
      <c r="BV124" s="386">
        <f t="shared" si="133"/>
        <v>133.66079999999999</v>
      </c>
      <c r="BW124" s="386">
        <f t="shared" si="134"/>
        <v>0</v>
      </c>
      <c r="BX124" s="386">
        <f t="shared" si="105"/>
        <v>15215.79696</v>
      </c>
      <c r="BY124" s="386">
        <f t="shared" si="106"/>
        <v>0</v>
      </c>
      <c r="BZ124" s="386">
        <f t="shared" si="107"/>
        <v>0</v>
      </c>
      <c r="CA124" s="386">
        <f t="shared" si="108"/>
        <v>0</v>
      </c>
      <c r="CB124" s="386">
        <f t="shared" si="109"/>
        <v>0</v>
      </c>
      <c r="CC124" s="386">
        <f t="shared" si="135"/>
        <v>0</v>
      </c>
      <c r="CD124" s="386">
        <f t="shared" si="136"/>
        <v>0</v>
      </c>
      <c r="CE124" s="386">
        <f t="shared" si="137"/>
        <v>0</v>
      </c>
      <c r="CF124" s="386">
        <f t="shared" si="138"/>
        <v>-363.8544</v>
      </c>
      <c r="CG124" s="386">
        <f t="shared" si="139"/>
        <v>0</v>
      </c>
      <c r="CH124" s="386">
        <f t="shared" si="140"/>
        <v>-22.276799999999994</v>
      </c>
      <c r="CI124" s="386">
        <f t="shared" si="141"/>
        <v>0</v>
      </c>
      <c r="CJ124" s="386">
        <f t="shared" si="110"/>
        <v>-386.13119999999998</v>
      </c>
      <c r="CK124" s="386" t="str">
        <f t="shared" si="111"/>
        <v/>
      </c>
      <c r="CL124" s="386" t="str">
        <f t="shared" si="112"/>
        <v/>
      </c>
      <c r="CM124" s="386" t="str">
        <f t="shared" si="113"/>
        <v/>
      </c>
      <c r="CN124" s="386" t="str">
        <f t="shared" si="114"/>
        <v>0480-00</v>
      </c>
    </row>
    <row r="125" spans="1:92" ht="15.75" thickBot="1" x14ac:dyDescent="0.3">
      <c r="A125" s="376" t="s">
        <v>161</v>
      </c>
      <c r="B125" s="376" t="s">
        <v>162</v>
      </c>
      <c r="C125" s="376" t="s">
        <v>562</v>
      </c>
      <c r="D125" s="376" t="s">
        <v>563</v>
      </c>
      <c r="E125" s="376" t="s">
        <v>501</v>
      </c>
      <c r="F125" s="377" t="s">
        <v>166</v>
      </c>
      <c r="G125" s="376" t="s">
        <v>502</v>
      </c>
      <c r="H125" s="378"/>
      <c r="I125" s="378"/>
      <c r="J125" s="376" t="s">
        <v>168</v>
      </c>
      <c r="K125" s="376" t="s">
        <v>564</v>
      </c>
      <c r="L125" s="376" t="s">
        <v>166</v>
      </c>
      <c r="M125" s="376" t="s">
        <v>171</v>
      </c>
      <c r="N125" s="376" t="s">
        <v>172</v>
      </c>
      <c r="O125" s="379">
        <v>1</v>
      </c>
      <c r="P125" s="384">
        <v>1</v>
      </c>
      <c r="Q125" s="384">
        <v>1</v>
      </c>
      <c r="R125" s="380">
        <v>80</v>
      </c>
      <c r="S125" s="384">
        <v>1</v>
      </c>
      <c r="T125" s="380">
        <v>45484.86</v>
      </c>
      <c r="U125" s="380">
        <v>0</v>
      </c>
      <c r="V125" s="380">
        <v>20893.09</v>
      </c>
      <c r="W125" s="380">
        <v>45344</v>
      </c>
      <c r="X125" s="380">
        <v>21177.200000000001</v>
      </c>
      <c r="Y125" s="380">
        <v>45344</v>
      </c>
      <c r="Z125" s="380">
        <v>20941.41</v>
      </c>
      <c r="AA125" s="376" t="s">
        <v>565</v>
      </c>
      <c r="AB125" s="376" t="s">
        <v>566</v>
      </c>
      <c r="AC125" s="376" t="s">
        <v>567</v>
      </c>
      <c r="AD125" s="376" t="s">
        <v>176</v>
      </c>
      <c r="AE125" s="376" t="s">
        <v>564</v>
      </c>
      <c r="AF125" s="376" t="s">
        <v>177</v>
      </c>
      <c r="AG125" s="376" t="s">
        <v>178</v>
      </c>
      <c r="AH125" s="381">
        <v>21.8</v>
      </c>
      <c r="AI125" s="379">
        <v>38309</v>
      </c>
      <c r="AJ125" s="376" t="s">
        <v>179</v>
      </c>
      <c r="AK125" s="376" t="s">
        <v>180</v>
      </c>
      <c r="AL125" s="376" t="s">
        <v>170</v>
      </c>
      <c r="AM125" s="376" t="s">
        <v>181</v>
      </c>
      <c r="AN125" s="376" t="s">
        <v>68</v>
      </c>
      <c r="AO125" s="379">
        <v>80</v>
      </c>
      <c r="AP125" s="384">
        <v>1</v>
      </c>
      <c r="AQ125" s="384">
        <v>1</v>
      </c>
      <c r="AR125" s="382" t="s">
        <v>182</v>
      </c>
      <c r="AS125" s="386">
        <f t="shared" si="98"/>
        <v>1</v>
      </c>
      <c r="AT125">
        <f t="shared" si="99"/>
        <v>1</v>
      </c>
      <c r="AU125" s="386">
        <f>IF(AT125=0,"",IF(AND(AT125=1,M125="F",SUMIF(C2:C167,C125,AS2:AS167)&lt;=1),SUMIF(C2:C167,C125,AS2:AS167),IF(AND(AT125=1,M125="F",SUMIF(C2:C167,C125,AS2:AS167)&gt;1),1,"")))</f>
        <v>1</v>
      </c>
      <c r="AV125" s="386" t="str">
        <f>IF(AT125=0,"",IF(AND(AT125=3,M125="F",SUMIF(C2:C167,C125,AS2:AS167)&lt;=1),SUMIF(C2:C167,C125,AS2:AS167),IF(AND(AT125=3,M125="F",SUMIF(C2:C167,C125,AS2:AS167)&gt;1),1,"")))</f>
        <v/>
      </c>
      <c r="AW125" s="386">
        <f>SUMIF(C2:C167,C125,O2:O167)</f>
        <v>1</v>
      </c>
      <c r="AX125" s="386">
        <f>IF(AND(M125="F",AS125&lt;&gt;0),SUMIF(C2:C167,C125,W2:W167),0)</f>
        <v>45344</v>
      </c>
      <c r="AY125" s="386">
        <f t="shared" si="100"/>
        <v>45344</v>
      </c>
      <c r="AZ125" s="386" t="str">
        <f t="shared" si="101"/>
        <v/>
      </c>
      <c r="BA125" s="386">
        <f t="shared" si="102"/>
        <v>0</v>
      </c>
      <c r="BB125" s="386">
        <f t="shared" si="115"/>
        <v>11650</v>
      </c>
      <c r="BC125" s="386">
        <f t="shared" si="116"/>
        <v>0</v>
      </c>
      <c r="BD125" s="386">
        <f t="shared" si="117"/>
        <v>2811.328</v>
      </c>
      <c r="BE125" s="386">
        <f t="shared" si="118"/>
        <v>657.48800000000006</v>
      </c>
      <c r="BF125" s="386">
        <f t="shared" si="119"/>
        <v>5414.0736000000006</v>
      </c>
      <c r="BG125" s="386">
        <f t="shared" si="120"/>
        <v>326.93024000000003</v>
      </c>
      <c r="BH125" s="386">
        <f t="shared" si="121"/>
        <v>222.18559999999999</v>
      </c>
      <c r="BI125" s="386">
        <f t="shared" si="122"/>
        <v>0</v>
      </c>
      <c r="BJ125" s="386">
        <f t="shared" si="123"/>
        <v>95.222399999999993</v>
      </c>
      <c r="BK125" s="386">
        <f t="shared" si="124"/>
        <v>0</v>
      </c>
      <c r="BL125" s="386">
        <f t="shared" si="103"/>
        <v>9527.2278400000014</v>
      </c>
      <c r="BM125" s="386">
        <f t="shared" si="104"/>
        <v>0</v>
      </c>
      <c r="BN125" s="386">
        <f t="shared" si="125"/>
        <v>11650</v>
      </c>
      <c r="BO125" s="386">
        <f t="shared" si="126"/>
        <v>0</v>
      </c>
      <c r="BP125" s="386">
        <f t="shared" si="127"/>
        <v>2811.328</v>
      </c>
      <c r="BQ125" s="386">
        <f t="shared" si="128"/>
        <v>657.48800000000006</v>
      </c>
      <c r="BR125" s="386">
        <f t="shared" si="129"/>
        <v>5414.0736000000006</v>
      </c>
      <c r="BS125" s="386">
        <f t="shared" si="130"/>
        <v>326.93024000000003</v>
      </c>
      <c r="BT125" s="386">
        <f t="shared" si="131"/>
        <v>0</v>
      </c>
      <c r="BU125" s="386">
        <f t="shared" si="132"/>
        <v>0</v>
      </c>
      <c r="BV125" s="386">
        <f t="shared" si="133"/>
        <v>81.619199999999992</v>
      </c>
      <c r="BW125" s="386">
        <f t="shared" si="134"/>
        <v>0</v>
      </c>
      <c r="BX125" s="386">
        <f t="shared" si="105"/>
        <v>9291.4390399999993</v>
      </c>
      <c r="BY125" s="386">
        <f t="shared" si="106"/>
        <v>0</v>
      </c>
      <c r="BZ125" s="386">
        <f t="shared" si="107"/>
        <v>0</v>
      </c>
      <c r="CA125" s="386">
        <f t="shared" si="108"/>
        <v>0</v>
      </c>
      <c r="CB125" s="386">
        <f t="shared" si="109"/>
        <v>0</v>
      </c>
      <c r="CC125" s="386">
        <f t="shared" si="135"/>
        <v>0</v>
      </c>
      <c r="CD125" s="386">
        <f t="shared" si="136"/>
        <v>0</v>
      </c>
      <c r="CE125" s="386">
        <f t="shared" si="137"/>
        <v>0</v>
      </c>
      <c r="CF125" s="386">
        <f t="shared" si="138"/>
        <v>-222.18559999999999</v>
      </c>
      <c r="CG125" s="386">
        <f t="shared" si="139"/>
        <v>0</v>
      </c>
      <c r="CH125" s="386">
        <f t="shared" si="140"/>
        <v>-13.603199999999996</v>
      </c>
      <c r="CI125" s="386">
        <f t="shared" si="141"/>
        <v>0</v>
      </c>
      <c r="CJ125" s="386">
        <f t="shared" si="110"/>
        <v>-235.78879999999998</v>
      </c>
      <c r="CK125" s="386" t="str">
        <f t="shared" si="111"/>
        <v/>
      </c>
      <c r="CL125" s="386" t="str">
        <f t="shared" si="112"/>
        <v/>
      </c>
      <c r="CM125" s="386" t="str">
        <f t="shared" si="113"/>
        <v/>
      </c>
      <c r="CN125" s="386" t="str">
        <f t="shared" si="114"/>
        <v>0480-00</v>
      </c>
    </row>
    <row r="126" spans="1:92" ht="15.75" thickBot="1" x14ac:dyDescent="0.3">
      <c r="A126" s="376" t="s">
        <v>161</v>
      </c>
      <c r="B126" s="376" t="s">
        <v>162</v>
      </c>
      <c r="C126" s="376" t="s">
        <v>568</v>
      </c>
      <c r="D126" s="376" t="s">
        <v>569</v>
      </c>
      <c r="E126" s="376" t="s">
        <v>501</v>
      </c>
      <c r="F126" s="377" t="s">
        <v>166</v>
      </c>
      <c r="G126" s="376" t="s">
        <v>502</v>
      </c>
      <c r="H126" s="378"/>
      <c r="I126" s="378"/>
      <c r="J126" s="376" t="s">
        <v>168</v>
      </c>
      <c r="K126" s="376" t="s">
        <v>570</v>
      </c>
      <c r="L126" s="376" t="s">
        <v>166</v>
      </c>
      <c r="M126" s="376" t="s">
        <v>171</v>
      </c>
      <c r="N126" s="376" t="s">
        <v>172</v>
      </c>
      <c r="O126" s="379">
        <v>1</v>
      </c>
      <c r="P126" s="384">
        <v>1</v>
      </c>
      <c r="Q126" s="384">
        <v>1</v>
      </c>
      <c r="R126" s="380">
        <v>80</v>
      </c>
      <c r="S126" s="384">
        <v>1</v>
      </c>
      <c r="T126" s="380">
        <v>57817.31</v>
      </c>
      <c r="U126" s="380">
        <v>241.51</v>
      </c>
      <c r="V126" s="380">
        <v>21779.38</v>
      </c>
      <c r="W126" s="380">
        <v>54080</v>
      </c>
      <c r="X126" s="380">
        <v>23012.73</v>
      </c>
      <c r="Y126" s="380">
        <v>54080</v>
      </c>
      <c r="Z126" s="380">
        <v>22731.52</v>
      </c>
      <c r="AA126" s="376" t="s">
        <v>571</v>
      </c>
      <c r="AB126" s="376" t="s">
        <v>572</v>
      </c>
      <c r="AC126" s="376" t="s">
        <v>197</v>
      </c>
      <c r="AD126" s="376" t="s">
        <v>176</v>
      </c>
      <c r="AE126" s="376" t="s">
        <v>570</v>
      </c>
      <c r="AF126" s="376" t="s">
        <v>177</v>
      </c>
      <c r="AG126" s="376" t="s">
        <v>178</v>
      </c>
      <c r="AH126" s="379">
        <v>26</v>
      </c>
      <c r="AI126" s="381">
        <v>9401.2999999999993</v>
      </c>
      <c r="AJ126" s="376" t="s">
        <v>179</v>
      </c>
      <c r="AK126" s="376" t="s">
        <v>180</v>
      </c>
      <c r="AL126" s="376" t="s">
        <v>170</v>
      </c>
      <c r="AM126" s="376" t="s">
        <v>181</v>
      </c>
      <c r="AN126" s="376" t="s">
        <v>68</v>
      </c>
      <c r="AO126" s="379">
        <v>80</v>
      </c>
      <c r="AP126" s="384">
        <v>1</v>
      </c>
      <c r="AQ126" s="384">
        <v>1</v>
      </c>
      <c r="AR126" s="382" t="s">
        <v>182</v>
      </c>
      <c r="AS126" s="386">
        <f t="shared" si="98"/>
        <v>1</v>
      </c>
      <c r="AT126">
        <f t="shared" si="99"/>
        <v>1</v>
      </c>
      <c r="AU126" s="386">
        <f>IF(AT126=0,"",IF(AND(AT126=1,M126="F",SUMIF(C2:C167,C126,AS2:AS167)&lt;=1),SUMIF(C2:C167,C126,AS2:AS167),IF(AND(AT126=1,M126="F",SUMIF(C2:C167,C126,AS2:AS167)&gt;1),1,"")))</f>
        <v>1</v>
      </c>
      <c r="AV126" s="386" t="str">
        <f>IF(AT126=0,"",IF(AND(AT126=3,M126="F",SUMIF(C2:C167,C126,AS2:AS167)&lt;=1),SUMIF(C2:C167,C126,AS2:AS167),IF(AND(AT126=3,M126="F",SUMIF(C2:C167,C126,AS2:AS167)&gt;1),1,"")))</f>
        <v/>
      </c>
      <c r="AW126" s="386">
        <f>SUMIF(C2:C167,C126,O2:O167)</f>
        <v>1</v>
      </c>
      <c r="AX126" s="386">
        <f>IF(AND(M126="F",AS126&lt;&gt;0),SUMIF(C2:C167,C126,W2:W167),0)</f>
        <v>54080</v>
      </c>
      <c r="AY126" s="386">
        <f t="shared" si="100"/>
        <v>54080</v>
      </c>
      <c r="AZ126" s="386" t="str">
        <f t="shared" si="101"/>
        <v/>
      </c>
      <c r="BA126" s="386">
        <f t="shared" si="102"/>
        <v>0</v>
      </c>
      <c r="BB126" s="386">
        <f t="shared" si="115"/>
        <v>11650</v>
      </c>
      <c r="BC126" s="386">
        <f t="shared" si="116"/>
        <v>0</v>
      </c>
      <c r="BD126" s="386">
        <f t="shared" si="117"/>
        <v>3352.96</v>
      </c>
      <c r="BE126" s="386">
        <f t="shared" si="118"/>
        <v>784.16000000000008</v>
      </c>
      <c r="BF126" s="386">
        <f t="shared" si="119"/>
        <v>6457.152</v>
      </c>
      <c r="BG126" s="386">
        <f t="shared" si="120"/>
        <v>389.91680000000002</v>
      </c>
      <c r="BH126" s="386">
        <f t="shared" si="121"/>
        <v>264.99200000000002</v>
      </c>
      <c r="BI126" s="386">
        <f t="shared" si="122"/>
        <v>0</v>
      </c>
      <c r="BJ126" s="386">
        <f t="shared" si="123"/>
        <v>113.568</v>
      </c>
      <c r="BK126" s="386">
        <f t="shared" si="124"/>
        <v>0</v>
      </c>
      <c r="BL126" s="386">
        <f t="shared" si="103"/>
        <v>11362.748800000001</v>
      </c>
      <c r="BM126" s="386">
        <f t="shared" si="104"/>
        <v>0</v>
      </c>
      <c r="BN126" s="386">
        <f t="shared" si="125"/>
        <v>11650</v>
      </c>
      <c r="BO126" s="386">
        <f t="shared" si="126"/>
        <v>0</v>
      </c>
      <c r="BP126" s="386">
        <f t="shared" si="127"/>
        <v>3352.96</v>
      </c>
      <c r="BQ126" s="386">
        <f t="shared" si="128"/>
        <v>784.16000000000008</v>
      </c>
      <c r="BR126" s="386">
        <f t="shared" si="129"/>
        <v>6457.152</v>
      </c>
      <c r="BS126" s="386">
        <f t="shared" si="130"/>
        <v>389.91680000000002</v>
      </c>
      <c r="BT126" s="386">
        <f t="shared" si="131"/>
        <v>0</v>
      </c>
      <c r="BU126" s="386">
        <f t="shared" si="132"/>
        <v>0</v>
      </c>
      <c r="BV126" s="386">
        <f t="shared" si="133"/>
        <v>97.343999999999994</v>
      </c>
      <c r="BW126" s="386">
        <f t="shared" si="134"/>
        <v>0</v>
      </c>
      <c r="BX126" s="386">
        <f t="shared" si="105"/>
        <v>11081.532800000001</v>
      </c>
      <c r="BY126" s="386">
        <f t="shared" si="106"/>
        <v>0</v>
      </c>
      <c r="BZ126" s="386">
        <f t="shared" si="107"/>
        <v>0</v>
      </c>
      <c r="CA126" s="386">
        <f t="shared" si="108"/>
        <v>0</v>
      </c>
      <c r="CB126" s="386">
        <f t="shared" si="109"/>
        <v>0</v>
      </c>
      <c r="CC126" s="386">
        <f t="shared" si="135"/>
        <v>0</v>
      </c>
      <c r="CD126" s="386">
        <f t="shared" si="136"/>
        <v>0</v>
      </c>
      <c r="CE126" s="386">
        <f t="shared" si="137"/>
        <v>0</v>
      </c>
      <c r="CF126" s="386">
        <f t="shared" si="138"/>
        <v>-264.99200000000002</v>
      </c>
      <c r="CG126" s="386">
        <f t="shared" si="139"/>
        <v>0</v>
      </c>
      <c r="CH126" s="386">
        <f t="shared" si="140"/>
        <v>-16.223999999999997</v>
      </c>
      <c r="CI126" s="386">
        <f t="shared" si="141"/>
        <v>0</v>
      </c>
      <c r="CJ126" s="386">
        <f t="shared" si="110"/>
        <v>-281.21600000000001</v>
      </c>
      <c r="CK126" s="386" t="str">
        <f t="shared" si="111"/>
        <v/>
      </c>
      <c r="CL126" s="386" t="str">
        <f t="shared" si="112"/>
        <v/>
      </c>
      <c r="CM126" s="386" t="str">
        <f t="shared" si="113"/>
        <v/>
      </c>
      <c r="CN126" s="386" t="str">
        <f t="shared" si="114"/>
        <v>0480-00</v>
      </c>
    </row>
    <row r="127" spans="1:92" ht="15.75" thickBot="1" x14ac:dyDescent="0.3">
      <c r="A127" s="376" t="s">
        <v>161</v>
      </c>
      <c r="B127" s="376" t="s">
        <v>162</v>
      </c>
      <c r="C127" s="376" t="s">
        <v>573</v>
      </c>
      <c r="D127" s="376" t="s">
        <v>556</v>
      </c>
      <c r="E127" s="376" t="s">
        <v>501</v>
      </c>
      <c r="F127" s="377" t="s">
        <v>166</v>
      </c>
      <c r="G127" s="376" t="s">
        <v>502</v>
      </c>
      <c r="H127" s="378"/>
      <c r="I127" s="378"/>
      <c r="J127" s="376" t="s">
        <v>168</v>
      </c>
      <c r="K127" s="376" t="s">
        <v>557</v>
      </c>
      <c r="L127" s="376" t="s">
        <v>298</v>
      </c>
      <c r="M127" s="376" t="s">
        <v>171</v>
      </c>
      <c r="N127" s="376" t="s">
        <v>172</v>
      </c>
      <c r="O127" s="379">
        <v>1</v>
      </c>
      <c r="P127" s="384">
        <v>1</v>
      </c>
      <c r="Q127" s="384">
        <v>1</v>
      </c>
      <c r="R127" s="380">
        <v>80</v>
      </c>
      <c r="S127" s="384">
        <v>1</v>
      </c>
      <c r="T127" s="380">
        <v>65340.08</v>
      </c>
      <c r="U127" s="380">
        <v>0</v>
      </c>
      <c r="V127" s="380">
        <v>24487.1</v>
      </c>
      <c r="W127" s="380">
        <v>70720</v>
      </c>
      <c r="X127" s="380">
        <v>26508.959999999999</v>
      </c>
      <c r="Y127" s="380">
        <v>70720</v>
      </c>
      <c r="Z127" s="380">
        <v>26141.22</v>
      </c>
      <c r="AA127" s="376" t="s">
        <v>574</v>
      </c>
      <c r="AB127" s="376" t="s">
        <v>575</v>
      </c>
      <c r="AC127" s="376" t="s">
        <v>576</v>
      </c>
      <c r="AD127" s="376" t="s">
        <v>577</v>
      </c>
      <c r="AE127" s="376" t="s">
        <v>557</v>
      </c>
      <c r="AF127" s="376" t="s">
        <v>177</v>
      </c>
      <c r="AG127" s="376" t="s">
        <v>178</v>
      </c>
      <c r="AH127" s="379">
        <v>34</v>
      </c>
      <c r="AI127" s="381">
        <v>42235.9</v>
      </c>
      <c r="AJ127" s="376" t="s">
        <v>179</v>
      </c>
      <c r="AK127" s="376" t="s">
        <v>180</v>
      </c>
      <c r="AL127" s="376" t="s">
        <v>170</v>
      </c>
      <c r="AM127" s="376" t="s">
        <v>181</v>
      </c>
      <c r="AN127" s="376" t="s">
        <v>68</v>
      </c>
      <c r="AO127" s="379">
        <v>80</v>
      </c>
      <c r="AP127" s="384">
        <v>1</v>
      </c>
      <c r="AQ127" s="384">
        <v>1</v>
      </c>
      <c r="AR127" s="382" t="s">
        <v>182</v>
      </c>
      <c r="AS127" s="386">
        <f t="shared" si="98"/>
        <v>1</v>
      </c>
      <c r="AT127">
        <f t="shared" si="99"/>
        <v>1</v>
      </c>
      <c r="AU127" s="386">
        <f>IF(AT127=0,"",IF(AND(AT127=1,M127="F",SUMIF(C2:C167,C127,AS2:AS167)&lt;=1),SUMIF(C2:C167,C127,AS2:AS167),IF(AND(AT127=1,M127="F",SUMIF(C2:C167,C127,AS2:AS167)&gt;1),1,"")))</f>
        <v>1</v>
      </c>
      <c r="AV127" s="386" t="str">
        <f>IF(AT127=0,"",IF(AND(AT127=3,M127="F",SUMIF(C2:C167,C127,AS2:AS167)&lt;=1),SUMIF(C2:C167,C127,AS2:AS167),IF(AND(AT127=3,M127="F",SUMIF(C2:C167,C127,AS2:AS167)&gt;1),1,"")))</f>
        <v/>
      </c>
      <c r="AW127" s="386">
        <f>SUMIF(C2:C167,C127,O2:O167)</f>
        <v>1</v>
      </c>
      <c r="AX127" s="386">
        <f>IF(AND(M127="F",AS127&lt;&gt;0),SUMIF(C2:C167,C127,W2:W167),0)</f>
        <v>70720</v>
      </c>
      <c r="AY127" s="386">
        <f t="shared" si="100"/>
        <v>70720</v>
      </c>
      <c r="AZ127" s="386" t="str">
        <f t="shared" si="101"/>
        <v/>
      </c>
      <c r="BA127" s="386">
        <f t="shared" si="102"/>
        <v>0</v>
      </c>
      <c r="BB127" s="386">
        <f t="shared" si="115"/>
        <v>11650</v>
      </c>
      <c r="BC127" s="386">
        <f t="shared" si="116"/>
        <v>0</v>
      </c>
      <c r="BD127" s="386">
        <f t="shared" si="117"/>
        <v>4384.6400000000003</v>
      </c>
      <c r="BE127" s="386">
        <f t="shared" si="118"/>
        <v>1025.44</v>
      </c>
      <c r="BF127" s="386">
        <f t="shared" si="119"/>
        <v>8443.9680000000008</v>
      </c>
      <c r="BG127" s="386">
        <f t="shared" si="120"/>
        <v>509.89120000000003</v>
      </c>
      <c r="BH127" s="386">
        <f t="shared" si="121"/>
        <v>346.52799999999996</v>
      </c>
      <c r="BI127" s="386">
        <f t="shared" si="122"/>
        <v>0</v>
      </c>
      <c r="BJ127" s="386">
        <f t="shared" si="123"/>
        <v>148.512</v>
      </c>
      <c r="BK127" s="386">
        <f t="shared" si="124"/>
        <v>0</v>
      </c>
      <c r="BL127" s="386">
        <f t="shared" si="103"/>
        <v>14858.979200000002</v>
      </c>
      <c r="BM127" s="386">
        <f t="shared" si="104"/>
        <v>0</v>
      </c>
      <c r="BN127" s="386">
        <f t="shared" si="125"/>
        <v>11650</v>
      </c>
      <c r="BO127" s="386">
        <f t="shared" si="126"/>
        <v>0</v>
      </c>
      <c r="BP127" s="386">
        <f t="shared" si="127"/>
        <v>4384.6400000000003</v>
      </c>
      <c r="BQ127" s="386">
        <f t="shared" si="128"/>
        <v>1025.44</v>
      </c>
      <c r="BR127" s="386">
        <f t="shared" si="129"/>
        <v>8443.9680000000008</v>
      </c>
      <c r="BS127" s="386">
        <f t="shared" si="130"/>
        <v>509.89120000000003</v>
      </c>
      <c r="BT127" s="386">
        <f t="shared" si="131"/>
        <v>0</v>
      </c>
      <c r="BU127" s="386">
        <f t="shared" si="132"/>
        <v>0</v>
      </c>
      <c r="BV127" s="386">
        <f t="shared" si="133"/>
        <v>127.29599999999999</v>
      </c>
      <c r="BW127" s="386">
        <f t="shared" si="134"/>
        <v>0</v>
      </c>
      <c r="BX127" s="386">
        <f t="shared" si="105"/>
        <v>14491.235200000001</v>
      </c>
      <c r="BY127" s="386">
        <f t="shared" si="106"/>
        <v>0</v>
      </c>
      <c r="BZ127" s="386">
        <f t="shared" si="107"/>
        <v>0</v>
      </c>
      <c r="CA127" s="386">
        <f t="shared" si="108"/>
        <v>0</v>
      </c>
      <c r="CB127" s="386">
        <f t="shared" si="109"/>
        <v>0</v>
      </c>
      <c r="CC127" s="386">
        <f t="shared" si="135"/>
        <v>0</v>
      </c>
      <c r="CD127" s="386">
        <f t="shared" si="136"/>
        <v>0</v>
      </c>
      <c r="CE127" s="386">
        <f t="shared" si="137"/>
        <v>0</v>
      </c>
      <c r="CF127" s="386">
        <f t="shared" si="138"/>
        <v>-346.52799999999996</v>
      </c>
      <c r="CG127" s="386">
        <f t="shared" si="139"/>
        <v>0</v>
      </c>
      <c r="CH127" s="386">
        <f t="shared" si="140"/>
        <v>-21.215999999999994</v>
      </c>
      <c r="CI127" s="386">
        <f t="shared" si="141"/>
        <v>0</v>
      </c>
      <c r="CJ127" s="386">
        <f t="shared" si="110"/>
        <v>-367.74399999999997</v>
      </c>
      <c r="CK127" s="386" t="str">
        <f t="shared" si="111"/>
        <v/>
      </c>
      <c r="CL127" s="386" t="str">
        <f t="shared" si="112"/>
        <v/>
      </c>
      <c r="CM127" s="386" t="str">
        <f t="shared" si="113"/>
        <v/>
      </c>
      <c r="CN127" s="386" t="str">
        <f t="shared" si="114"/>
        <v>0480-00</v>
      </c>
    </row>
    <row r="128" spans="1:92" ht="15.75" thickBot="1" x14ac:dyDescent="0.3">
      <c r="A128" s="376" t="s">
        <v>161</v>
      </c>
      <c r="B128" s="376" t="s">
        <v>162</v>
      </c>
      <c r="C128" s="376" t="s">
        <v>408</v>
      </c>
      <c r="D128" s="376" t="s">
        <v>268</v>
      </c>
      <c r="E128" s="376" t="s">
        <v>501</v>
      </c>
      <c r="F128" s="377" t="s">
        <v>166</v>
      </c>
      <c r="G128" s="376" t="s">
        <v>502</v>
      </c>
      <c r="H128" s="378"/>
      <c r="I128" s="378"/>
      <c r="J128" s="376" t="s">
        <v>168</v>
      </c>
      <c r="K128" s="376" t="s">
        <v>269</v>
      </c>
      <c r="L128" s="376" t="s">
        <v>166</v>
      </c>
      <c r="M128" s="376" t="s">
        <v>171</v>
      </c>
      <c r="N128" s="376" t="s">
        <v>270</v>
      </c>
      <c r="O128" s="379">
        <v>0</v>
      </c>
      <c r="P128" s="384">
        <v>1</v>
      </c>
      <c r="Q128" s="384">
        <v>0</v>
      </c>
      <c r="R128" s="380">
        <v>0</v>
      </c>
      <c r="S128" s="384">
        <v>0</v>
      </c>
      <c r="T128" s="380">
        <v>0</v>
      </c>
      <c r="U128" s="380">
        <v>0</v>
      </c>
      <c r="V128" s="380">
        <v>0.01</v>
      </c>
      <c r="W128" s="380">
        <v>175867.41</v>
      </c>
      <c r="X128" s="380">
        <v>37721.75</v>
      </c>
      <c r="Y128" s="380">
        <v>175867.41</v>
      </c>
      <c r="Z128" s="380">
        <v>37721.75</v>
      </c>
      <c r="AA128" s="378"/>
      <c r="AB128" s="376" t="s">
        <v>45</v>
      </c>
      <c r="AC128" s="376" t="s">
        <v>45</v>
      </c>
      <c r="AD128" s="378"/>
      <c r="AE128" s="378"/>
      <c r="AF128" s="378"/>
      <c r="AG128" s="378"/>
      <c r="AH128" s="379">
        <v>0</v>
      </c>
      <c r="AI128" s="379">
        <v>0</v>
      </c>
      <c r="AJ128" s="378"/>
      <c r="AK128" s="378"/>
      <c r="AL128" s="376" t="s">
        <v>170</v>
      </c>
      <c r="AM128" s="378"/>
      <c r="AN128" s="378"/>
      <c r="AO128" s="379">
        <v>0</v>
      </c>
      <c r="AP128" s="384">
        <v>0</v>
      </c>
      <c r="AQ128" s="384">
        <v>0</v>
      </c>
      <c r="AR128" s="383"/>
      <c r="AS128" s="386">
        <f t="shared" si="98"/>
        <v>0</v>
      </c>
      <c r="AT128">
        <f t="shared" si="99"/>
        <v>0</v>
      </c>
      <c r="AU128" s="386" t="str">
        <f>IF(AT128=0,"",IF(AND(AT128=1,M128="F",SUMIF(C2:C167,C128,AS2:AS167)&lt;=1),SUMIF(C2:C167,C128,AS2:AS167),IF(AND(AT128=1,M128="F",SUMIF(C2:C167,C128,AS2:AS167)&gt;1),1,"")))</f>
        <v/>
      </c>
      <c r="AV128" s="386" t="str">
        <f>IF(AT128=0,"",IF(AND(AT128=3,M128="F",SUMIF(C2:C167,C128,AS2:AS167)&lt;=1),SUMIF(C2:C167,C128,AS2:AS167),IF(AND(AT128=3,M128="F",SUMIF(C2:C167,C128,AS2:AS167)&gt;1),1,"")))</f>
        <v/>
      </c>
      <c r="AW128" s="386">
        <f>SUMIF(C2:C167,C128,O2:O167)</f>
        <v>0</v>
      </c>
      <c r="AX128" s="386">
        <f>IF(AND(M128="F",AS128&lt;&gt;0),SUMIF(C2:C167,C128,W2:W167),0)</f>
        <v>0</v>
      </c>
      <c r="AY128" s="386" t="str">
        <f t="shared" si="100"/>
        <v/>
      </c>
      <c r="AZ128" s="386" t="str">
        <f t="shared" si="101"/>
        <v/>
      </c>
      <c r="BA128" s="386">
        <f t="shared" si="102"/>
        <v>0</v>
      </c>
      <c r="BB128" s="386">
        <f t="shared" si="115"/>
        <v>0</v>
      </c>
      <c r="BC128" s="386">
        <f t="shared" si="116"/>
        <v>0</v>
      </c>
      <c r="BD128" s="386">
        <f t="shared" si="117"/>
        <v>0</v>
      </c>
      <c r="BE128" s="386">
        <f t="shared" si="118"/>
        <v>0</v>
      </c>
      <c r="BF128" s="386">
        <f t="shared" si="119"/>
        <v>0</v>
      </c>
      <c r="BG128" s="386">
        <f t="shared" si="120"/>
        <v>0</v>
      </c>
      <c r="BH128" s="386">
        <f t="shared" si="121"/>
        <v>0</v>
      </c>
      <c r="BI128" s="386">
        <f t="shared" si="122"/>
        <v>0</v>
      </c>
      <c r="BJ128" s="386">
        <f t="shared" si="123"/>
        <v>0</v>
      </c>
      <c r="BK128" s="386">
        <f t="shared" si="124"/>
        <v>0</v>
      </c>
      <c r="BL128" s="386">
        <f t="shared" si="103"/>
        <v>0</v>
      </c>
      <c r="BM128" s="386">
        <f t="shared" si="104"/>
        <v>0</v>
      </c>
      <c r="BN128" s="386">
        <f t="shared" si="125"/>
        <v>0</v>
      </c>
      <c r="BO128" s="386">
        <f t="shared" si="126"/>
        <v>0</v>
      </c>
      <c r="BP128" s="386">
        <f t="shared" si="127"/>
        <v>0</v>
      </c>
      <c r="BQ128" s="386">
        <f t="shared" si="128"/>
        <v>0</v>
      </c>
      <c r="BR128" s="386">
        <f t="shared" si="129"/>
        <v>0</v>
      </c>
      <c r="BS128" s="386">
        <f t="shared" si="130"/>
        <v>0</v>
      </c>
      <c r="BT128" s="386">
        <f t="shared" si="131"/>
        <v>0</v>
      </c>
      <c r="BU128" s="386">
        <f t="shared" si="132"/>
        <v>0</v>
      </c>
      <c r="BV128" s="386">
        <f t="shared" si="133"/>
        <v>0</v>
      </c>
      <c r="BW128" s="386">
        <f t="shared" si="134"/>
        <v>0</v>
      </c>
      <c r="BX128" s="386">
        <f t="shared" si="105"/>
        <v>0</v>
      </c>
      <c r="BY128" s="386">
        <f t="shared" si="106"/>
        <v>0</v>
      </c>
      <c r="BZ128" s="386">
        <f t="shared" si="107"/>
        <v>0</v>
      </c>
      <c r="CA128" s="386">
        <f t="shared" si="108"/>
        <v>0</v>
      </c>
      <c r="CB128" s="386">
        <f t="shared" si="109"/>
        <v>0</v>
      </c>
      <c r="CC128" s="386">
        <f t="shared" si="135"/>
        <v>0</v>
      </c>
      <c r="CD128" s="386">
        <f t="shared" si="136"/>
        <v>0</v>
      </c>
      <c r="CE128" s="386">
        <f t="shared" si="137"/>
        <v>0</v>
      </c>
      <c r="CF128" s="386">
        <f t="shared" si="138"/>
        <v>0</v>
      </c>
      <c r="CG128" s="386">
        <f t="shared" si="139"/>
        <v>0</v>
      </c>
      <c r="CH128" s="386">
        <f t="shared" si="140"/>
        <v>0</v>
      </c>
      <c r="CI128" s="386">
        <f t="shared" si="141"/>
        <v>0</v>
      </c>
      <c r="CJ128" s="386">
        <f t="shared" si="110"/>
        <v>0</v>
      </c>
      <c r="CK128" s="386" t="str">
        <f t="shared" si="111"/>
        <v/>
      </c>
      <c r="CL128" s="386">
        <f t="shared" si="112"/>
        <v>0</v>
      </c>
      <c r="CM128" s="386">
        <f t="shared" si="113"/>
        <v>0.01</v>
      </c>
      <c r="CN128" s="386" t="str">
        <f t="shared" si="114"/>
        <v>0480-00</v>
      </c>
    </row>
    <row r="129" spans="1:92" ht="15.75" thickBot="1" x14ac:dyDescent="0.3">
      <c r="A129" s="376" t="s">
        <v>161</v>
      </c>
      <c r="B129" s="376" t="s">
        <v>162</v>
      </c>
      <c r="C129" s="376" t="s">
        <v>578</v>
      </c>
      <c r="D129" s="376" t="s">
        <v>500</v>
      </c>
      <c r="E129" s="376" t="s">
        <v>501</v>
      </c>
      <c r="F129" s="377" t="s">
        <v>166</v>
      </c>
      <c r="G129" s="376" t="s">
        <v>502</v>
      </c>
      <c r="H129" s="378"/>
      <c r="I129" s="378"/>
      <c r="J129" s="376" t="s">
        <v>168</v>
      </c>
      <c r="K129" s="376" t="s">
        <v>503</v>
      </c>
      <c r="L129" s="376" t="s">
        <v>166</v>
      </c>
      <c r="M129" s="376" t="s">
        <v>171</v>
      </c>
      <c r="N129" s="376" t="s">
        <v>172</v>
      </c>
      <c r="O129" s="379">
        <v>1</v>
      </c>
      <c r="P129" s="384">
        <v>1</v>
      </c>
      <c r="Q129" s="384">
        <v>1</v>
      </c>
      <c r="R129" s="380">
        <v>80</v>
      </c>
      <c r="S129" s="384">
        <v>1</v>
      </c>
      <c r="T129" s="380">
        <v>37291.81</v>
      </c>
      <c r="U129" s="380">
        <v>38.5</v>
      </c>
      <c r="V129" s="380">
        <v>19109.21</v>
      </c>
      <c r="W129" s="380">
        <v>43570.8</v>
      </c>
      <c r="X129" s="380">
        <v>20804.62</v>
      </c>
      <c r="Y129" s="380">
        <v>43570.8</v>
      </c>
      <c r="Z129" s="380">
        <v>20578.060000000001</v>
      </c>
      <c r="AA129" s="376" t="s">
        <v>579</v>
      </c>
      <c r="AB129" s="376" t="s">
        <v>580</v>
      </c>
      <c r="AC129" s="376" t="s">
        <v>581</v>
      </c>
      <c r="AD129" s="376" t="s">
        <v>176</v>
      </c>
      <c r="AE129" s="376" t="s">
        <v>503</v>
      </c>
      <c r="AF129" s="376" t="s">
        <v>177</v>
      </c>
      <c r="AG129" s="376" t="s">
        <v>178</v>
      </c>
      <c r="AH129" s="381">
        <v>19.95</v>
      </c>
      <c r="AI129" s="381">
        <v>10020.5</v>
      </c>
      <c r="AJ129" s="376" t="s">
        <v>179</v>
      </c>
      <c r="AK129" s="376" t="s">
        <v>180</v>
      </c>
      <c r="AL129" s="376" t="s">
        <v>170</v>
      </c>
      <c r="AM129" s="376" t="s">
        <v>181</v>
      </c>
      <c r="AN129" s="376" t="s">
        <v>68</v>
      </c>
      <c r="AO129" s="379">
        <v>80</v>
      </c>
      <c r="AP129" s="384">
        <v>1</v>
      </c>
      <c r="AQ129" s="384">
        <v>1</v>
      </c>
      <c r="AR129" s="382">
        <v>5</v>
      </c>
      <c r="AS129" s="386">
        <f t="shared" si="98"/>
        <v>1</v>
      </c>
      <c r="AT129">
        <f t="shared" si="99"/>
        <v>1</v>
      </c>
      <c r="AU129" s="386">
        <f>IF(AT129=0,"",IF(AND(AT129=1,M129="F",SUMIF(C2:C167,C129,AS2:AS167)&lt;=1),SUMIF(C2:C167,C129,AS2:AS167),IF(AND(AT129=1,M129="F",SUMIF(C2:C167,C129,AS2:AS167)&gt;1),1,"")))</f>
        <v>1</v>
      </c>
      <c r="AV129" s="386" t="str">
        <f>IF(AT129=0,"",IF(AND(AT129=3,M129="F",SUMIF(C2:C167,C129,AS2:AS167)&lt;=1),SUMIF(C2:C167,C129,AS2:AS167),IF(AND(AT129=3,M129="F",SUMIF(C2:C167,C129,AS2:AS167)&gt;1),1,"")))</f>
        <v/>
      </c>
      <c r="AW129" s="386">
        <f>SUMIF(C2:C167,C129,O2:O167)</f>
        <v>1</v>
      </c>
      <c r="AX129" s="386">
        <f>IF(AND(M129="F",AS129&lt;&gt;0),SUMIF(C2:C167,C129,W2:W167),0)</f>
        <v>43570.8</v>
      </c>
      <c r="AY129" s="386">
        <f t="shared" si="100"/>
        <v>43570.8</v>
      </c>
      <c r="AZ129" s="386" t="str">
        <f t="shared" si="101"/>
        <v/>
      </c>
      <c r="BA129" s="386">
        <f t="shared" si="102"/>
        <v>0</v>
      </c>
      <c r="BB129" s="386">
        <f t="shared" si="115"/>
        <v>11650</v>
      </c>
      <c r="BC129" s="386">
        <f t="shared" si="116"/>
        <v>0</v>
      </c>
      <c r="BD129" s="386">
        <f t="shared" si="117"/>
        <v>2701.3896</v>
      </c>
      <c r="BE129" s="386">
        <f t="shared" si="118"/>
        <v>631.77660000000003</v>
      </c>
      <c r="BF129" s="386">
        <f t="shared" si="119"/>
        <v>5202.3535200000006</v>
      </c>
      <c r="BG129" s="386">
        <f t="shared" si="120"/>
        <v>314.14546800000005</v>
      </c>
      <c r="BH129" s="386">
        <f t="shared" si="121"/>
        <v>213.49692000000002</v>
      </c>
      <c r="BI129" s="386">
        <f t="shared" si="122"/>
        <v>0</v>
      </c>
      <c r="BJ129" s="386">
        <f t="shared" si="123"/>
        <v>91.498680000000007</v>
      </c>
      <c r="BK129" s="386">
        <f t="shared" si="124"/>
        <v>0</v>
      </c>
      <c r="BL129" s="386">
        <f t="shared" si="103"/>
        <v>9154.660788000001</v>
      </c>
      <c r="BM129" s="386">
        <f t="shared" si="104"/>
        <v>0</v>
      </c>
      <c r="BN129" s="386">
        <f t="shared" si="125"/>
        <v>11650</v>
      </c>
      <c r="BO129" s="386">
        <f t="shared" si="126"/>
        <v>0</v>
      </c>
      <c r="BP129" s="386">
        <f t="shared" si="127"/>
        <v>2701.3896</v>
      </c>
      <c r="BQ129" s="386">
        <f t="shared" si="128"/>
        <v>631.77660000000003</v>
      </c>
      <c r="BR129" s="386">
        <f t="shared" si="129"/>
        <v>5202.3535200000006</v>
      </c>
      <c r="BS129" s="386">
        <f t="shared" si="130"/>
        <v>314.14546800000005</v>
      </c>
      <c r="BT129" s="386">
        <f t="shared" si="131"/>
        <v>0</v>
      </c>
      <c r="BU129" s="386">
        <f t="shared" si="132"/>
        <v>0</v>
      </c>
      <c r="BV129" s="386">
        <f t="shared" si="133"/>
        <v>78.427440000000004</v>
      </c>
      <c r="BW129" s="386">
        <f t="shared" si="134"/>
        <v>0</v>
      </c>
      <c r="BX129" s="386">
        <f t="shared" si="105"/>
        <v>8928.0926280000003</v>
      </c>
      <c r="BY129" s="386">
        <f t="shared" si="106"/>
        <v>0</v>
      </c>
      <c r="BZ129" s="386">
        <f t="shared" si="107"/>
        <v>0</v>
      </c>
      <c r="CA129" s="386">
        <f t="shared" si="108"/>
        <v>0</v>
      </c>
      <c r="CB129" s="386">
        <f t="shared" si="109"/>
        <v>0</v>
      </c>
      <c r="CC129" s="386">
        <f t="shared" si="135"/>
        <v>0</v>
      </c>
      <c r="CD129" s="386">
        <f t="shared" si="136"/>
        <v>0</v>
      </c>
      <c r="CE129" s="386">
        <f t="shared" si="137"/>
        <v>0</v>
      </c>
      <c r="CF129" s="386">
        <f t="shared" si="138"/>
        <v>-213.49692000000002</v>
      </c>
      <c r="CG129" s="386">
        <f t="shared" si="139"/>
        <v>0</v>
      </c>
      <c r="CH129" s="386">
        <f t="shared" si="140"/>
        <v>-13.071239999999998</v>
      </c>
      <c r="CI129" s="386">
        <f t="shared" si="141"/>
        <v>0</v>
      </c>
      <c r="CJ129" s="386">
        <f t="shared" si="110"/>
        <v>-226.56816000000001</v>
      </c>
      <c r="CK129" s="386" t="str">
        <f t="shared" si="111"/>
        <v/>
      </c>
      <c r="CL129" s="386" t="str">
        <f t="shared" si="112"/>
        <v/>
      </c>
      <c r="CM129" s="386" t="str">
        <f t="shared" si="113"/>
        <v/>
      </c>
      <c r="CN129" s="386" t="str">
        <f t="shared" si="114"/>
        <v>0480-00</v>
      </c>
    </row>
    <row r="130" spans="1:92" ht="15.75" thickBot="1" x14ac:dyDescent="0.3">
      <c r="A130" s="376" t="s">
        <v>161</v>
      </c>
      <c r="B130" s="376" t="s">
        <v>162</v>
      </c>
      <c r="C130" s="376" t="s">
        <v>582</v>
      </c>
      <c r="D130" s="376" t="s">
        <v>583</v>
      </c>
      <c r="E130" s="376" t="s">
        <v>501</v>
      </c>
      <c r="F130" s="377" t="s">
        <v>166</v>
      </c>
      <c r="G130" s="376" t="s">
        <v>502</v>
      </c>
      <c r="H130" s="378"/>
      <c r="I130" s="378"/>
      <c r="J130" s="376" t="s">
        <v>168</v>
      </c>
      <c r="K130" s="376" t="s">
        <v>584</v>
      </c>
      <c r="L130" s="376" t="s">
        <v>187</v>
      </c>
      <c r="M130" s="376" t="s">
        <v>171</v>
      </c>
      <c r="N130" s="376" t="s">
        <v>172</v>
      </c>
      <c r="O130" s="379">
        <v>1</v>
      </c>
      <c r="P130" s="384">
        <v>1</v>
      </c>
      <c r="Q130" s="384">
        <v>1</v>
      </c>
      <c r="R130" s="380">
        <v>80</v>
      </c>
      <c r="S130" s="384">
        <v>1</v>
      </c>
      <c r="T130" s="380">
        <v>102654.62</v>
      </c>
      <c r="U130" s="380">
        <v>0</v>
      </c>
      <c r="V130" s="380">
        <v>32222.48</v>
      </c>
      <c r="W130" s="380">
        <v>103688</v>
      </c>
      <c r="X130" s="380">
        <v>33435.86</v>
      </c>
      <c r="Y130" s="380">
        <v>103688</v>
      </c>
      <c r="Z130" s="380">
        <v>32896.68</v>
      </c>
      <c r="AA130" s="376" t="s">
        <v>585</v>
      </c>
      <c r="AB130" s="376" t="s">
        <v>586</v>
      </c>
      <c r="AC130" s="376" t="s">
        <v>373</v>
      </c>
      <c r="AD130" s="376" t="s">
        <v>524</v>
      </c>
      <c r="AE130" s="376" t="s">
        <v>584</v>
      </c>
      <c r="AF130" s="376" t="s">
        <v>177</v>
      </c>
      <c r="AG130" s="376" t="s">
        <v>178</v>
      </c>
      <c r="AH130" s="381">
        <v>49.85</v>
      </c>
      <c r="AI130" s="381">
        <v>83177.399999999994</v>
      </c>
      <c r="AJ130" s="376" t="s">
        <v>179</v>
      </c>
      <c r="AK130" s="376" t="s">
        <v>180</v>
      </c>
      <c r="AL130" s="376" t="s">
        <v>170</v>
      </c>
      <c r="AM130" s="376" t="s">
        <v>181</v>
      </c>
      <c r="AN130" s="376" t="s">
        <v>68</v>
      </c>
      <c r="AO130" s="379">
        <v>80</v>
      </c>
      <c r="AP130" s="384">
        <v>1</v>
      </c>
      <c r="AQ130" s="384">
        <v>1</v>
      </c>
      <c r="AR130" s="382" t="s">
        <v>182</v>
      </c>
      <c r="AS130" s="386">
        <f t="shared" si="98"/>
        <v>1</v>
      </c>
      <c r="AT130">
        <f t="shared" si="99"/>
        <v>1</v>
      </c>
      <c r="AU130" s="386">
        <f>IF(AT130=0,"",IF(AND(AT130=1,M130="F",SUMIF(C2:C167,C130,AS2:AS167)&lt;=1),SUMIF(C2:C167,C130,AS2:AS167),IF(AND(AT130=1,M130="F",SUMIF(C2:C167,C130,AS2:AS167)&gt;1),1,"")))</f>
        <v>1</v>
      </c>
      <c r="AV130" s="386" t="str">
        <f>IF(AT130=0,"",IF(AND(AT130=3,M130="F",SUMIF(C2:C167,C130,AS2:AS167)&lt;=1),SUMIF(C2:C167,C130,AS2:AS167),IF(AND(AT130=3,M130="F",SUMIF(C2:C167,C130,AS2:AS167)&gt;1),1,"")))</f>
        <v/>
      </c>
      <c r="AW130" s="386">
        <f>SUMIF(C2:C167,C130,O2:O167)</f>
        <v>1</v>
      </c>
      <c r="AX130" s="386">
        <f>IF(AND(M130="F",AS130&lt;&gt;0),SUMIF(C2:C167,C130,W2:W167),0)</f>
        <v>103688</v>
      </c>
      <c r="AY130" s="386">
        <f t="shared" si="100"/>
        <v>103688</v>
      </c>
      <c r="AZ130" s="386" t="str">
        <f t="shared" si="101"/>
        <v/>
      </c>
      <c r="BA130" s="386">
        <f t="shared" si="102"/>
        <v>0</v>
      </c>
      <c r="BB130" s="386">
        <f t="shared" ref="BB130:BB161" si="142">IF(AND(AT130=1,AK130="E",AU130&gt;=0.75,AW130=1),Health,IF(AND(AT130=1,AK130="E",AU130&gt;=0.75),Health*P130,IF(AND(AT130=1,AK130="E",AU130&gt;=0.5,AW130=1),PTHealth,IF(AND(AT130=1,AK130="E",AU130&gt;=0.5),PTHealth*P130,0))))</f>
        <v>11650</v>
      </c>
      <c r="BC130" s="386">
        <f t="shared" ref="BC130:BC161" si="143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6">
        <f t="shared" ref="BD130:BD161" si="144">IF(AND(AT130&lt;&gt;0,AX130&gt;=MAXSSDI),SSDI*MAXSSDI*P130,IF(AT130&lt;&gt;0,SSDI*W130,0))</f>
        <v>6428.6559999999999</v>
      </c>
      <c r="BE130" s="386">
        <f t="shared" ref="BE130:BE161" si="145">IF(AT130&lt;&gt;0,SSHI*W130,0)</f>
        <v>1503.4760000000001</v>
      </c>
      <c r="BF130" s="386">
        <f t="shared" ref="BF130:BF161" si="146">IF(AND(AT130&lt;&gt;0,AN130&lt;&gt;"NE"),VLOOKUP(AN130,Retirement_Rates,3,FALSE)*W130,0)</f>
        <v>12380.3472</v>
      </c>
      <c r="BG130" s="386">
        <f t="shared" ref="BG130:BG161" si="147">IF(AND(AT130&lt;&gt;0,AJ130&lt;&gt;"PF"),Life*W130,0)</f>
        <v>747.59048000000007</v>
      </c>
      <c r="BH130" s="386">
        <f t="shared" ref="BH130:BH161" si="148">IF(AND(AT130&lt;&gt;0,AM130="Y"),UI*W130,0)</f>
        <v>508.07119999999998</v>
      </c>
      <c r="BI130" s="386">
        <f t="shared" ref="BI130:BI161" si="149">IF(AND(AT130&lt;&gt;0,N130&lt;&gt;"NR"),DHR*W130,0)</f>
        <v>0</v>
      </c>
      <c r="BJ130" s="386">
        <f t="shared" ref="BJ130:BJ161" si="150">IF(AT130&lt;&gt;0,WC*W130,0)</f>
        <v>217.7448</v>
      </c>
      <c r="BK130" s="386">
        <f t="shared" ref="BK130:BK161" si="151">IF(OR(AND(AT130&lt;&gt;0,AJ130&lt;&gt;"PF",AN130&lt;&gt;"NE",AG130&lt;&gt;"A"),AND(AL130="E",OR(AT130=1,AT130=3))),Sick*W130,0)</f>
        <v>0</v>
      </c>
      <c r="BL130" s="386">
        <f t="shared" si="103"/>
        <v>21785.885679999999</v>
      </c>
      <c r="BM130" s="386">
        <f t="shared" si="104"/>
        <v>0</v>
      </c>
      <c r="BN130" s="386">
        <f t="shared" ref="BN130:BN161" si="152">IF(AND(AT130=1,AK130="E",AU130&gt;=0.75,AW130=1),HealthBY,IF(AND(AT130=1,AK130="E",AU130&gt;=0.75),HealthBY*P130,IF(AND(AT130=1,AK130="E",AU130&gt;=0.5,AW130=1),PTHealthBY,IF(AND(AT130=1,AK130="E",AU130&gt;=0.5),PTHealthBY*P130,0))))</f>
        <v>11650</v>
      </c>
      <c r="BO130" s="386">
        <f t="shared" ref="BO130:BO161" si="153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6">
        <f t="shared" ref="BP130:BP161" si="154">IF(AND(AT130&lt;&gt;0,(AX130+BA130)&gt;=MAXSSDIBY),SSDIBY*MAXSSDIBY*P130,IF(AT130&lt;&gt;0,SSDIBY*W130,0))</f>
        <v>6428.6559999999999</v>
      </c>
      <c r="BQ130" s="386">
        <f t="shared" ref="BQ130:BQ161" si="155">IF(AT130&lt;&gt;0,SSHIBY*W130,0)</f>
        <v>1503.4760000000001</v>
      </c>
      <c r="BR130" s="386">
        <f t="shared" ref="BR130:BR161" si="156">IF(AND(AT130&lt;&gt;0,AN130&lt;&gt;"NE"),VLOOKUP(AN130,Retirement_Rates,4,FALSE)*W130,0)</f>
        <v>12380.3472</v>
      </c>
      <c r="BS130" s="386">
        <f t="shared" ref="BS130:BS161" si="157">IF(AND(AT130&lt;&gt;0,AJ130&lt;&gt;"PF"),LifeBY*W130,0)</f>
        <v>747.59048000000007</v>
      </c>
      <c r="BT130" s="386">
        <f t="shared" ref="BT130:BT161" si="158">IF(AND(AT130&lt;&gt;0,AM130="Y"),UIBY*W130,0)</f>
        <v>0</v>
      </c>
      <c r="BU130" s="386">
        <f t="shared" ref="BU130:BU161" si="159">IF(AND(AT130&lt;&gt;0,N130&lt;&gt;"NR"),DHRBY*W130,0)</f>
        <v>0</v>
      </c>
      <c r="BV130" s="386">
        <f t="shared" ref="BV130:BV161" si="160">IF(AT130&lt;&gt;0,WCBY*W130,0)</f>
        <v>186.63839999999999</v>
      </c>
      <c r="BW130" s="386">
        <f t="shared" ref="BW130:BW161" si="161">IF(OR(AND(AT130&lt;&gt;0,AJ130&lt;&gt;"PF",AN130&lt;&gt;"NE",AG130&lt;&gt;"A"),AND(AL130="E",OR(AT130=1,AT130=3))),SickBY*W130,0)</f>
        <v>0</v>
      </c>
      <c r="BX130" s="386">
        <f t="shared" si="105"/>
        <v>21246.70808</v>
      </c>
      <c r="BY130" s="386">
        <f t="shared" si="106"/>
        <v>0</v>
      </c>
      <c r="BZ130" s="386">
        <f t="shared" si="107"/>
        <v>0</v>
      </c>
      <c r="CA130" s="386">
        <f t="shared" si="108"/>
        <v>0</v>
      </c>
      <c r="CB130" s="386">
        <f t="shared" si="109"/>
        <v>0</v>
      </c>
      <c r="CC130" s="386">
        <f t="shared" ref="CC130:CC161" si="162">IF(AT130&lt;&gt;0,SSHICHG*Y130,0)</f>
        <v>0</v>
      </c>
      <c r="CD130" s="386">
        <f t="shared" ref="CD130:CD161" si="163">IF(AND(AT130&lt;&gt;0,AN130&lt;&gt;"NE"),VLOOKUP(AN130,Retirement_Rates,5,FALSE)*Y130,0)</f>
        <v>0</v>
      </c>
      <c r="CE130" s="386">
        <f t="shared" ref="CE130:CE161" si="164">IF(AND(AT130&lt;&gt;0,AJ130&lt;&gt;"PF"),LifeCHG*Y130,0)</f>
        <v>0</v>
      </c>
      <c r="CF130" s="386">
        <f t="shared" ref="CF130:CF161" si="165">IF(AND(AT130&lt;&gt;0,AM130="Y"),UICHG*Y130,0)</f>
        <v>-508.07119999999998</v>
      </c>
      <c r="CG130" s="386">
        <f t="shared" ref="CG130:CG161" si="166">IF(AND(AT130&lt;&gt;0,N130&lt;&gt;"NR"),DHRCHG*Y130,0)</f>
        <v>0</v>
      </c>
      <c r="CH130" s="386">
        <f t="shared" ref="CH130:CH161" si="167">IF(AT130&lt;&gt;0,WCCHG*Y130,0)</f>
        <v>-31.10639999999999</v>
      </c>
      <c r="CI130" s="386">
        <f t="shared" ref="CI130:CI161" si="168">IF(OR(AND(AT130&lt;&gt;0,AJ130&lt;&gt;"PF",AN130&lt;&gt;"NE",AG130&lt;&gt;"A"),AND(AL130="E",OR(AT130=1,AT130=3))),SickCHG*Y130,0)</f>
        <v>0</v>
      </c>
      <c r="CJ130" s="386">
        <f t="shared" si="110"/>
        <v>-539.17759999999998</v>
      </c>
      <c r="CK130" s="386" t="str">
        <f t="shared" si="111"/>
        <v/>
      </c>
      <c r="CL130" s="386" t="str">
        <f t="shared" si="112"/>
        <v/>
      </c>
      <c r="CM130" s="386" t="str">
        <f t="shared" si="113"/>
        <v/>
      </c>
      <c r="CN130" s="386" t="str">
        <f t="shared" si="114"/>
        <v>0480-00</v>
      </c>
    </row>
    <row r="131" spans="1:92" ht="15.75" thickBot="1" x14ac:dyDescent="0.3">
      <c r="A131" s="376" t="s">
        <v>161</v>
      </c>
      <c r="B131" s="376" t="s">
        <v>162</v>
      </c>
      <c r="C131" s="376" t="s">
        <v>587</v>
      </c>
      <c r="D131" s="376" t="s">
        <v>535</v>
      </c>
      <c r="E131" s="376" t="s">
        <v>501</v>
      </c>
      <c r="F131" s="377" t="s">
        <v>166</v>
      </c>
      <c r="G131" s="376" t="s">
        <v>502</v>
      </c>
      <c r="H131" s="378"/>
      <c r="I131" s="378"/>
      <c r="J131" s="376" t="s">
        <v>168</v>
      </c>
      <c r="K131" s="376" t="s">
        <v>536</v>
      </c>
      <c r="L131" s="376" t="s">
        <v>170</v>
      </c>
      <c r="M131" s="376" t="s">
        <v>171</v>
      </c>
      <c r="N131" s="376" t="s">
        <v>172</v>
      </c>
      <c r="O131" s="379">
        <v>1</v>
      </c>
      <c r="P131" s="384">
        <v>1</v>
      </c>
      <c r="Q131" s="384">
        <v>1</v>
      </c>
      <c r="R131" s="380">
        <v>80</v>
      </c>
      <c r="S131" s="384">
        <v>1</v>
      </c>
      <c r="T131" s="380">
        <v>73437.149999999994</v>
      </c>
      <c r="U131" s="380">
        <v>0</v>
      </c>
      <c r="V131" s="380">
        <v>26342.58</v>
      </c>
      <c r="W131" s="380">
        <v>81120</v>
      </c>
      <c r="X131" s="380">
        <v>28694.1</v>
      </c>
      <c r="Y131" s="380">
        <v>81120</v>
      </c>
      <c r="Z131" s="380">
        <v>28272.28</v>
      </c>
      <c r="AA131" s="376" t="s">
        <v>588</v>
      </c>
      <c r="AB131" s="376" t="s">
        <v>589</v>
      </c>
      <c r="AC131" s="376" t="s">
        <v>590</v>
      </c>
      <c r="AD131" s="376" t="s">
        <v>265</v>
      </c>
      <c r="AE131" s="376" t="s">
        <v>536</v>
      </c>
      <c r="AF131" s="376" t="s">
        <v>177</v>
      </c>
      <c r="AG131" s="376" t="s">
        <v>178</v>
      </c>
      <c r="AH131" s="379">
        <v>39</v>
      </c>
      <c r="AI131" s="381">
        <v>62024.3</v>
      </c>
      <c r="AJ131" s="376" t="s">
        <v>179</v>
      </c>
      <c r="AK131" s="376" t="s">
        <v>180</v>
      </c>
      <c r="AL131" s="376" t="s">
        <v>170</v>
      </c>
      <c r="AM131" s="376" t="s">
        <v>181</v>
      </c>
      <c r="AN131" s="376" t="s">
        <v>68</v>
      </c>
      <c r="AO131" s="379">
        <v>80</v>
      </c>
      <c r="AP131" s="384">
        <v>1</v>
      </c>
      <c r="AQ131" s="384">
        <v>1</v>
      </c>
      <c r="AR131" s="382" t="s">
        <v>182</v>
      </c>
      <c r="AS131" s="386">
        <f t="shared" ref="AS131:AS167" si="169">IF(((AO131/80)*AP131*P131)&gt;1,AQ131,((AO131/80)*AP131*P131))</f>
        <v>1</v>
      </c>
      <c r="AT131">
        <f t="shared" ref="AT131:AT167" si="170">IF(AND(M131="F",N131&lt;&gt;"NG",AS131&lt;&gt;0,AND(AR131&lt;&gt;6,AR131&lt;&gt;36,AR131&lt;&gt;56),AG131&lt;&gt;"A",OR(AG131="H",AJ131="FS")),1,IF(AND(M131="F",N131&lt;&gt;"NG",AS131&lt;&gt;0,AG131="A"),3,0))</f>
        <v>1</v>
      </c>
      <c r="AU131" s="386">
        <f>IF(AT131=0,"",IF(AND(AT131=1,M131="F",SUMIF(C2:C167,C131,AS2:AS167)&lt;=1),SUMIF(C2:C167,C131,AS2:AS167),IF(AND(AT131=1,M131="F",SUMIF(C2:C167,C131,AS2:AS167)&gt;1),1,"")))</f>
        <v>1</v>
      </c>
      <c r="AV131" s="386" t="str">
        <f>IF(AT131=0,"",IF(AND(AT131=3,M131="F",SUMIF(C2:C167,C131,AS2:AS167)&lt;=1),SUMIF(C2:C167,C131,AS2:AS167),IF(AND(AT131=3,M131="F",SUMIF(C2:C167,C131,AS2:AS167)&gt;1),1,"")))</f>
        <v/>
      </c>
      <c r="AW131" s="386">
        <f>SUMIF(C2:C167,C131,O2:O167)</f>
        <v>1</v>
      </c>
      <c r="AX131" s="386">
        <f>IF(AND(M131="F",AS131&lt;&gt;0),SUMIF(C2:C167,C131,W2:W167),0)</f>
        <v>81120</v>
      </c>
      <c r="AY131" s="386">
        <f t="shared" ref="AY131:AY167" si="171">IF(AT131=1,W131,"")</f>
        <v>81120</v>
      </c>
      <c r="AZ131" s="386" t="str">
        <f t="shared" ref="AZ131:AZ167" si="172">IF(AT131=3,W131,"")</f>
        <v/>
      </c>
      <c r="BA131" s="386">
        <f t="shared" ref="BA131:BA167" si="173">IF(AT131=1,Y131-W131,0)</f>
        <v>0</v>
      </c>
      <c r="BB131" s="386">
        <f t="shared" si="142"/>
        <v>11650</v>
      </c>
      <c r="BC131" s="386">
        <f t="shared" si="143"/>
        <v>0</v>
      </c>
      <c r="BD131" s="386">
        <f t="shared" si="144"/>
        <v>5029.4399999999996</v>
      </c>
      <c r="BE131" s="386">
        <f t="shared" si="145"/>
        <v>1176.24</v>
      </c>
      <c r="BF131" s="386">
        <f t="shared" si="146"/>
        <v>9685.728000000001</v>
      </c>
      <c r="BG131" s="386">
        <f t="shared" si="147"/>
        <v>584.87520000000006</v>
      </c>
      <c r="BH131" s="386">
        <f t="shared" si="148"/>
        <v>397.488</v>
      </c>
      <c r="BI131" s="386">
        <f t="shared" si="149"/>
        <v>0</v>
      </c>
      <c r="BJ131" s="386">
        <f t="shared" si="150"/>
        <v>170.35199999999998</v>
      </c>
      <c r="BK131" s="386">
        <f t="shared" si="151"/>
        <v>0</v>
      </c>
      <c r="BL131" s="386">
        <f t="shared" ref="BL131:BL167" si="174">IF(AT131=1,SUM(BD131:BK131),0)</f>
        <v>17044.123199999998</v>
      </c>
      <c r="BM131" s="386">
        <f t="shared" ref="BM131:BM167" si="175">IF(AT131=3,SUM(BD131:BK131),0)</f>
        <v>0</v>
      </c>
      <c r="BN131" s="386">
        <f t="shared" si="152"/>
        <v>11650</v>
      </c>
      <c r="BO131" s="386">
        <f t="shared" si="153"/>
        <v>0</v>
      </c>
      <c r="BP131" s="386">
        <f t="shared" si="154"/>
        <v>5029.4399999999996</v>
      </c>
      <c r="BQ131" s="386">
        <f t="shared" si="155"/>
        <v>1176.24</v>
      </c>
      <c r="BR131" s="386">
        <f t="shared" si="156"/>
        <v>9685.728000000001</v>
      </c>
      <c r="BS131" s="386">
        <f t="shared" si="157"/>
        <v>584.87520000000006</v>
      </c>
      <c r="BT131" s="386">
        <f t="shared" si="158"/>
        <v>0</v>
      </c>
      <c r="BU131" s="386">
        <f t="shared" si="159"/>
        <v>0</v>
      </c>
      <c r="BV131" s="386">
        <f t="shared" si="160"/>
        <v>146.01599999999999</v>
      </c>
      <c r="BW131" s="386">
        <f t="shared" si="161"/>
        <v>0</v>
      </c>
      <c r="BX131" s="386">
        <f t="shared" ref="BX131:BX167" si="176">IF(AT131=1,SUM(BP131:BW131),0)</f>
        <v>16622.299199999998</v>
      </c>
      <c r="BY131" s="386">
        <f t="shared" ref="BY131:BY167" si="177">IF(AT131=3,SUM(BP131:BW131),0)</f>
        <v>0</v>
      </c>
      <c r="BZ131" s="386">
        <f t="shared" ref="BZ131:BZ167" si="178">IF(AT131=1,BN131-BB131,0)</f>
        <v>0</v>
      </c>
      <c r="CA131" s="386">
        <f t="shared" ref="CA131:CA167" si="179">IF(AT131=3,BO131-BC131,0)</f>
        <v>0</v>
      </c>
      <c r="CB131" s="386">
        <f t="shared" ref="CB131:CB167" si="180">BP131-BD131</f>
        <v>0</v>
      </c>
      <c r="CC131" s="386">
        <f t="shared" si="162"/>
        <v>0</v>
      </c>
      <c r="CD131" s="386">
        <f t="shared" si="163"/>
        <v>0</v>
      </c>
      <c r="CE131" s="386">
        <f t="shared" si="164"/>
        <v>0</v>
      </c>
      <c r="CF131" s="386">
        <f t="shared" si="165"/>
        <v>-397.488</v>
      </c>
      <c r="CG131" s="386">
        <f t="shared" si="166"/>
        <v>0</v>
      </c>
      <c r="CH131" s="386">
        <f t="shared" si="167"/>
        <v>-24.335999999999995</v>
      </c>
      <c r="CI131" s="386">
        <f t="shared" si="168"/>
        <v>0</v>
      </c>
      <c r="CJ131" s="386">
        <f t="shared" ref="CJ131:CJ167" si="181">IF(AT131=1,SUM(CB131:CI131),0)</f>
        <v>-421.82400000000001</v>
      </c>
      <c r="CK131" s="386" t="str">
        <f t="shared" ref="CK131:CK167" si="182">IF(AT131=3,SUM(CB131:CI131),"")</f>
        <v/>
      </c>
      <c r="CL131" s="386" t="str">
        <f t="shared" ref="CL131:CL167" si="183">IF(OR(N131="NG",AG131="D"),(T131+U131),"")</f>
        <v/>
      </c>
      <c r="CM131" s="386" t="str">
        <f t="shared" ref="CM131:CM167" si="184">IF(OR(N131="NG",AG131="D"),V131,"")</f>
        <v/>
      </c>
      <c r="CN131" s="386" t="str">
        <f t="shared" ref="CN131:CN167" si="185">E131 &amp; "-" &amp; F131</f>
        <v>0480-00</v>
      </c>
    </row>
    <row r="132" spans="1:92" ht="15.75" thickBot="1" x14ac:dyDescent="0.3">
      <c r="A132" s="376" t="s">
        <v>161</v>
      </c>
      <c r="B132" s="376" t="s">
        <v>162</v>
      </c>
      <c r="C132" s="376" t="s">
        <v>591</v>
      </c>
      <c r="D132" s="376" t="s">
        <v>535</v>
      </c>
      <c r="E132" s="376" t="s">
        <v>501</v>
      </c>
      <c r="F132" s="377" t="s">
        <v>166</v>
      </c>
      <c r="G132" s="376" t="s">
        <v>502</v>
      </c>
      <c r="H132" s="378"/>
      <c r="I132" s="378"/>
      <c r="J132" s="376" t="s">
        <v>168</v>
      </c>
      <c r="K132" s="376" t="s">
        <v>536</v>
      </c>
      <c r="L132" s="376" t="s">
        <v>170</v>
      </c>
      <c r="M132" s="376" t="s">
        <v>171</v>
      </c>
      <c r="N132" s="376" t="s">
        <v>172</v>
      </c>
      <c r="O132" s="379">
        <v>1</v>
      </c>
      <c r="P132" s="384">
        <v>1</v>
      </c>
      <c r="Q132" s="384">
        <v>1</v>
      </c>
      <c r="R132" s="380">
        <v>80</v>
      </c>
      <c r="S132" s="384">
        <v>1</v>
      </c>
      <c r="T132" s="380">
        <v>92152.01</v>
      </c>
      <c r="U132" s="380">
        <v>0</v>
      </c>
      <c r="V132" s="380">
        <v>30120.46</v>
      </c>
      <c r="W132" s="380">
        <v>93849.600000000006</v>
      </c>
      <c r="X132" s="380">
        <v>31368.71</v>
      </c>
      <c r="Y132" s="380">
        <v>93849.600000000006</v>
      </c>
      <c r="Z132" s="380">
        <v>30880.69</v>
      </c>
      <c r="AA132" s="376" t="s">
        <v>592</v>
      </c>
      <c r="AB132" s="376" t="s">
        <v>593</v>
      </c>
      <c r="AC132" s="376" t="s">
        <v>594</v>
      </c>
      <c r="AD132" s="376" t="s">
        <v>524</v>
      </c>
      <c r="AE132" s="376" t="s">
        <v>536</v>
      </c>
      <c r="AF132" s="376" t="s">
        <v>177</v>
      </c>
      <c r="AG132" s="376" t="s">
        <v>178</v>
      </c>
      <c r="AH132" s="381">
        <v>45.12</v>
      </c>
      <c r="AI132" s="381">
        <v>43001.599999999999</v>
      </c>
      <c r="AJ132" s="376" t="s">
        <v>179</v>
      </c>
      <c r="AK132" s="376" t="s">
        <v>180</v>
      </c>
      <c r="AL132" s="376" t="s">
        <v>170</v>
      </c>
      <c r="AM132" s="376" t="s">
        <v>181</v>
      </c>
      <c r="AN132" s="376" t="s">
        <v>68</v>
      </c>
      <c r="AO132" s="379">
        <v>80</v>
      </c>
      <c r="AP132" s="384">
        <v>1</v>
      </c>
      <c r="AQ132" s="384">
        <v>1</v>
      </c>
      <c r="AR132" s="382" t="s">
        <v>182</v>
      </c>
      <c r="AS132" s="386">
        <f t="shared" si="169"/>
        <v>1</v>
      </c>
      <c r="AT132">
        <f t="shared" si="170"/>
        <v>1</v>
      </c>
      <c r="AU132" s="386">
        <f>IF(AT132=0,"",IF(AND(AT132=1,M132="F",SUMIF(C2:C167,C132,AS2:AS167)&lt;=1),SUMIF(C2:C167,C132,AS2:AS167),IF(AND(AT132=1,M132="F",SUMIF(C2:C167,C132,AS2:AS167)&gt;1),1,"")))</f>
        <v>1</v>
      </c>
      <c r="AV132" s="386" t="str">
        <f>IF(AT132=0,"",IF(AND(AT132=3,M132="F",SUMIF(C2:C167,C132,AS2:AS167)&lt;=1),SUMIF(C2:C167,C132,AS2:AS167),IF(AND(AT132=3,M132="F",SUMIF(C2:C167,C132,AS2:AS167)&gt;1),1,"")))</f>
        <v/>
      </c>
      <c r="AW132" s="386">
        <f>SUMIF(C2:C167,C132,O2:O167)</f>
        <v>1</v>
      </c>
      <c r="AX132" s="386">
        <f>IF(AND(M132="F",AS132&lt;&gt;0),SUMIF(C2:C167,C132,W2:W167),0)</f>
        <v>93849.600000000006</v>
      </c>
      <c r="AY132" s="386">
        <f t="shared" si="171"/>
        <v>93849.600000000006</v>
      </c>
      <c r="AZ132" s="386" t="str">
        <f t="shared" si="172"/>
        <v/>
      </c>
      <c r="BA132" s="386">
        <f t="shared" si="173"/>
        <v>0</v>
      </c>
      <c r="BB132" s="386">
        <f t="shared" si="142"/>
        <v>11650</v>
      </c>
      <c r="BC132" s="386">
        <f t="shared" si="143"/>
        <v>0</v>
      </c>
      <c r="BD132" s="386">
        <f t="shared" si="144"/>
        <v>5818.6752000000006</v>
      </c>
      <c r="BE132" s="386">
        <f t="shared" si="145"/>
        <v>1360.8192000000001</v>
      </c>
      <c r="BF132" s="386">
        <f t="shared" si="146"/>
        <v>11205.642240000001</v>
      </c>
      <c r="BG132" s="386">
        <f t="shared" si="147"/>
        <v>676.65561600000012</v>
      </c>
      <c r="BH132" s="386">
        <f t="shared" si="148"/>
        <v>459.86304000000001</v>
      </c>
      <c r="BI132" s="386">
        <f t="shared" si="149"/>
        <v>0</v>
      </c>
      <c r="BJ132" s="386">
        <f t="shared" si="150"/>
        <v>197.08416</v>
      </c>
      <c r="BK132" s="386">
        <f t="shared" si="151"/>
        <v>0</v>
      </c>
      <c r="BL132" s="386">
        <f t="shared" si="174"/>
        <v>19718.739455999999</v>
      </c>
      <c r="BM132" s="386">
        <f t="shared" si="175"/>
        <v>0</v>
      </c>
      <c r="BN132" s="386">
        <f t="shared" si="152"/>
        <v>11650</v>
      </c>
      <c r="BO132" s="386">
        <f t="shared" si="153"/>
        <v>0</v>
      </c>
      <c r="BP132" s="386">
        <f t="shared" si="154"/>
        <v>5818.6752000000006</v>
      </c>
      <c r="BQ132" s="386">
        <f t="shared" si="155"/>
        <v>1360.8192000000001</v>
      </c>
      <c r="BR132" s="386">
        <f t="shared" si="156"/>
        <v>11205.642240000001</v>
      </c>
      <c r="BS132" s="386">
        <f t="shared" si="157"/>
        <v>676.65561600000012</v>
      </c>
      <c r="BT132" s="386">
        <f t="shared" si="158"/>
        <v>0</v>
      </c>
      <c r="BU132" s="386">
        <f t="shared" si="159"/>
        <v>0</v>
      </c>
      <c r="BV132" s="386">
        <f t="shared" si="160"/>
        <v>168.92928000000001</v>
      </c>
      <c r="BW132" s="386">
        <f t="shared" si="161"/>
        <v>0</v>
      </c>
      <c r="BX132" s="386">
        <f t="shared" si="176"/>
        <v>19230.721536000001</v>
      </c>
      <c r="BY132" s="386">
        <f t="shared" si="177"/>
        <v>0</v>
      </c>
      <c r="BZ132" s="386">
        <f t="shared" si="178"/>
        <v>0</v>
      </c>
      <c r="CA132" s="386">
        <f t="shared" si="179"/>
        <v>0</v>
      </c>
      <c r="CB132" s="386">
        <f t="shared" si="180"/>
        <v>0</v>
      </c>
      <c r="CC132" s="386">
        <f t="shared" si="162"/>
        <v>0</v>
      </c>
      <c r="CD132" s="386">
        <f t="shared" si="163"/>
        <v>0</v>
      </c>
      <c r="CE132" s="386">
        <f t="shared" si="164"/>
        <v>0</v>
      </c>
      <c r="CF132" s="386">
        <f t="shared" si="165"/>
        <v>-459.86304000000001</v>
      </c>
      <c r="CG132" s="386">
        <f t="shared" si="166"/>
        <v>0</v>
      </c>
      <c r="CH132" s="386">
        <f t="shared" si="167"/>
        <v>-28.154879999999995</v>
      </c>
      <c r="CI132" s="386">
        <f t="shared" si="168"/>
        <v>0</v>
      </c>
      <c r="CJ132" s="386">
        <f t="shared" si="181"/>
        <v>-488.01792</v>
      </c>
      <c r="CK132" s="386" t="str">
        <f t="shared" si="182"/>
        <v/>
      </c>
      <c r="CL132" s="386" t="str">
        <f t="shared" si="183"/>
        <v/>
      </c>
      <c r="CM132" s="386" t="str">
        <f t="shared" si="184"/>
        <v/>
      </c>
      <c r="CN132" s="386" t="str">
        <f t="shared" si="185"/>
        <v>0480-00</v>
      </c>
    </row>
    <row r="133" spans="1:92" ht="15.75" thickBot="1" x14ac:dyDescent="0.3">
      <c r="A133" s="376" t="s">
        <v>161</v>
      </c>
      <c r="B133" s="376" t="s">
        <v>162</v>
      </c>
      <c r="C133" s="376" t="s">
        <v>595</v>
      </c>
      <c r="D133" s="376" t="s">
        <v>438</v>
      </c>
      <c r="E133" s="376" t="s">
        <v>501</v>
      </c>
      <c r="F133" s="377" t="s">
        <v>166</v>
      </c>
      <c r="G133" s="376" t="s">
        <v>502</v>
      </c>
      <c r="H133" s="378"/>
      <c r="I133" s="378"/>
      <c r="J133" s="376" t="s">
        <v>168</v>
      </c>
      <c r="K133" s="376" t="s">
        <v>596</v>
      </c>
      <c r="L133" s="376" t="s">
        <v>289</v>
      </c>
      <c r="M133" s="376" t="s">
        <v>171</v>
      </c>
      <c r="N133" s="376" t="s">
        <v>172</v>
      </c>
      <c r="O133" s="379">
        <v>1</v>
      </c>
      <c r="P133" s="384">
        <v>1</v>
      </c>
      <c r="Q133" s="384">
        <v>1</v>
      </c>
      <c r="R133" s="380">
        <v>80</v>
      </c>
      <c r="S133" s="384">
        <v>1</v>
      </c>
      <c r="T133" s="380">
        <v>80196.06</v>
      </c>
      <c r="U133" s="380">
        <v>0</v>
      </c>
      <c r="V133" s="380">
        <v>27910.06</v>
      </c>
      <c r="W133" s="380">
        <v>76939.199999999997</v>
      </c>
      <c r="X133" s="380">
        <v>27815.68</v>
      </c>
      <c r="Y133" s="380">
        <v>76939.199999999997</v>
      </c>
      <c r="Z133" s="380">
        <v>27415.599999999999</v>
      </c>
      <c r="AA133" s="376" t="s">
        <v>597</v>
      </c>
      <c r="AB133" s="376" t="s">
        <v>598</v>
      </c>
      <c r="AC133" s="376" t="s">
        <v>599</v>
      </c>
      <c r="AD133" s="376" t="s">
        <v>198</v>
      </c>
      <c r="AE133" s="376" t="s">
        <v>596</v>
      </c>
      <c r="AF133" s="376" t="s">
        <v>177</v>
      </c>
      <c r="AG133" s="376" t="s">
        <v>178</v>
      </c>
      <c r="AH133" s="381">
        <v>36.99</v>
      </c>
      <c r="AI133" s="381">
        <v>55139.6</v>
      </c>
      <c r="AJ133" s="376" t="s">
        <v>179</v>
      </c>
      <c r="AK133" s="376" t="s">
        <v>180</v>
      </c>
      <c r="AL133" s="376" t="s">
        <v>170</v>
      </c>
      <c r="AM133" s="376" t="s">
        <v>181</v>
      </c>
      <c r="AN133" s="376" t="s">
        <v>68</v>
      </c>
      <c r="AO133" s="379">
        <v>80</v>
      </c>
      <c r="AP133" s="384">
        <v>1</v>
      </c>
      <c r="AQ133" s="384">
        <v>1</v>
      </c>
      <c r="AR133" s="382" t="s">
        <v>182</v>
      </c>
      <c r="AS133" s="386">
        <f t="shared" si="169"/>
        <v>1</v>
      </c>
      <c r="AT133">
        <f t="shared" si="170"/>
        <v>1</v>
      </c>
      <c r="AU133" s="386">
        <f>IF(AT133=0,"",IF(AND(AT133=1,M133="F",SUMIF(C2:C167,C133,AS2:AS167)&lt;=1),SUMIF(C2:C167,C133,AS2:AS167),IF(AND(AT133=1,M133="F",SUMIF(C2:C167,C133,AS2:AS167)&gt;1),1,"")))</f>
        <v>1</v>
      </c>
      <c r="AV133" s="386" t="str">
        <f>IF(AT133=0,"",IF(AND(AT133=3,M133="F",SUMIF(C2:C167,C133,AS2:AS167)&lt;=1),SUMIF(C2:C167,C133,AS2:AS167),IF(AND(AT133=3,M133="F",SUMIF(C2:C167,C133,AS2:AS167)&gt;1),1,"")))</f>
        <v/>
      </c>
      <c r="AW133" s="386">
        <f>SUMIF(C2:C167,C133,O2:O167)</f>
        <v>1</v>
      </c>
      <c r="AX133" s="386">
        <f>IF(AND(M133="F",AS133&lt;&gt;0),SUMIF(C2:C167,C133,W2:W167),0)</f>
        <v>76939.199999999997</v>
      </c>
      <c r="AY133" s="386">
        <f t="shared" si="171"/>
        <v>76939.199999999997</v>
      </c>
      <c r="AZ133" s="386" t="str">
        <f t="shared" si="172"/>
        <v/>
      </c>
      <c r="BA133" s="386">
        <f t="shared" si="173"/>
        <v>0</v>
      </c>
      <c r="BB133" s="386">
        <f t="shared" si="142"/>
        <v>11650</v>
      </c>
      <c r="BC133" s="386">
        <f t="shared" si="143"/>
        <v>0</v>
      </c>
      <c r="BD133" s="386">
        <f t="shared" si="144"/>
        <v>4770.2303999999995</v>
      </c>
      <c r="BE133" s="386">
        <f t="shared" si="145"/>
        <v>1115.6184000000001</v>
      </c>
      <c r="BF133" s="386">
        <f t="shared" si="146"/>
        <v>9186.5404799999997</v>
      </c>
      <c r="BG133" s="386">
        <f t="shared" si="147"/>
        <v>554.73163199999999</v>
      </c>
      <c r="BH133" s="386">
        <f t="shared" si="148"/>
        <v>377.00207999999998</v>
      </c>
      <c r="BI133" s="386">
        <f t="shared" si="149"/>
        <v>0</v>
      </c>
      <c r="BJ133" s="386">
        <f t="shared" si="150"/>
        <v>161.57231999999999</v>
      </c>
      <c r="BK133" s="386">
        <f t="shared" si="151"/>
        <v>0</v>
      </c>
      <c r="BL133" s="386">
        <f t="shared" si="174"/>
        <v>16165.695311999998</v>
      </c>
      <c r="BM133" s="386">
        <f t="shared" si="175"/>
        <v>0</v>
      </c>
      <c r="BN133" s="386">
        <f t="shared" si="152"/>
        <v>11650</v>
      </c>
      <c r="BO133" s="386">
        <f t="shared" si="153"/>
        <v>0</v>
      </c>
      <c r="BP133" s="386">
        <f t="shared" si="154"/>
        <v>4770.2303999999995</v>
      </c>
      <c r="BQ133" s="386">
        <f t="shared" si="155"/>
        <v>1115.6184000000001</v>
      </c>
      <c r="BR133" s="386">
        <f t="shared" si="156"/>
        <v>9186.5404799999997</v>
      </c>
      <c r="BS133" s="386">
        <f t="shared" si="157"/>
        <v>554.73163199999999</v>
      </c>
      <c r="BT133" s="386">
        <f t="shared" si="158"/>
        <v>0</v>
      </c>
      <c r="BU133" s="386">
        <f t="shared" si="159"/>
        <v>0</v>
      </c>
      <c r="BV133" s="386">
        <f t="shared" si="160"/>
        <v>138.49055999999999</v>
      </c>
      <c r="BW133" s="386">
        <f t="shared" si="161"/>
        <v>0</v>
      </c>
      <c r="BX133" s="386">
        <f t="shared" si="176"/>
        <v>15765.611471999999</v>
      </c>
      <c r="BY133" s="386">
        <f t="shared" si="177"/>
        <v>0</v>
      </c>
      <c r="BZ133" s="386">
        <f t="shared" si="178"/>
        <v>0</v>
      </c>
      <c r="CA133" s="386">
        <f t="shared" si="179"/>
        <v>0</v>
      </c>
      <c r="CB133" s="386">
        <f t="shared" si="180"/>
        <v>0</v>
      </c>
      <c r="CC133" s="386">
        <f t="shared" si="162"/>
        <v>0</v>
      </c>
      <c r="CD133" s="386">
        <f t="shared" si="163"/>
        <v>0</v>
      </c>
      <c r="CE133" s="386">
        <f t="shared" si="164"/>
        <v>0</v>
      </c>
      <c r="CF133" s="386">
        <f t="shared" si="165"/>
        <v>-377.00207999999998</v>
      </c>
      <c r="CG133" s="386">
        <f t="shared" si="166"/>
        <v>0</v>
      </c>
      <c r="CH133" s="386">
        <f t="shared" si="167"/>
        <v>-23.081759999999992</v>
      </c>
      <c r="CI133" s="386">
        <f t="shared" si="168"/>
        <v>0</v>
      </c>
      <c r="CJ133" s="386">
        <f t="shared" si="181"/>
        <v>-400.08383999999995</v>
      </c>
      <c r="CK133" s="386" t="str">
        <f t="shared" si="182"/>
        <v/>
      </c>
      <c r="CL133" s="386" t="str">
        <f t="shared" si="183"/>
        <v/>
      </c>
      <c r="CM133" s="386" t="str">
        <f t="shared" si="184"/>
        <v/>
      </c>
      <c r="CN133" s="386" t="str">
        <f t="shared" si="185"/>
        <v>0480-00</v>
      </c>
    </row>
    <row r="134" spans="1:92" ht="15.75" thickBot="1" x14ac:dyDescent="0.3">
      <c r="A134" s="376" t="s">
        <v>161</v>
      </c>
      <c r="B134" s="376" t="s">
        <v>162</v>
      </c>
      <c r="C134" s="376" t="s">
        <v>600</v>
      </c>
      <c r="D134" s="376" t="s">
        <v>438</v>
      </c>
      <c r="E134" s="376" t="s">
        <v>501</v>
      </c>
      <c r="F134" s="377" t="s">
        <v>166</v>
      </c>
      <c r="G134" s="376" t="s">
        <v>502</v>
      </c>
      <c r="H134" s="378"/>
      <c r="I134" s="378"/>
      <c r="J134" s="376" t="s">
        <v>168</v>
      </c>
      <c r="K134" s="376" t="s">
        <v>601</v>
      </c>
      <c r="L134" s="376" t="s">
        <v>304</v>
      </c>
      <c r="M134" s="376" t="s">
        <v>171</v>
      </c>
      <c r="N134" s="376" t="s">
        <v>172</v>
      </c>
      <c r="O134" s="379">
        <v>1</v>
      </c>
      <c r="P134" s="384">
        <v>1</v>
      </c>
      <c r="Q134" s="384">
        <v>1</v>
      </c>
      <c r="R134" s="380">
        <v>80</v>
      </c>
      <c r="S134" s="384">
        <v>1</v>
      </c>
      <c r="T134" s="380">
        <v>69204.03</v>
      </c>
      <c r="U134" s="380">
        <v>0</v>
      </c>
      <c r="V134" s="380">
        <v>25746.38</v>
      </c>
      <c r="W134" s="380">
        <v>67787.199999999997</v>
      </c>
      <c r="X134" s="380">
        <v>25892.74</v>
      </c>
      <c r="Y134" s="380">
        <v>67787.199999999997</v>
      </c>
      <c r="Z134" s="380">
        <v>25540.25</v>
      </c>
      <c r="AA134" s="376" t="s">
        <v>602</v>
      </c>
      <c r="AB134" s="376" t="s">
        <v>603</v>
      </c>
      <c r="AC134" s="376" t="s">
        <v>604</v>
      </c>
      <c r="AD134" s="376" t="s">
        <v>171</v>
      </c>
      <c r="AE134" s="376" t="s">
        <v>601</v>
      </c>
      <c r="AF134" s="376" t="s">
        <v>177</v>
      </c>
      <c r="AG134" s="376" t="s">
        <v>178</v>
      </c>
      <c r="AH134" s="381">
        <v>32.590000000000003</v>
      </c>
      <c r="AI134" s="381">
        <v>35294.699999999997</v>
      </c>
      <c r="AJ134" s="376" t="s">
        <v>179</v>
      </c>
      <c r="AK134" s="376" t="s">
        <v>180</v>
      </c>
      <c r="AL134" s="376" t="s">
        <v>170</v>
      </c>
      <c r="AM134" s="376" t="s">
        <v>181</v>
      </c>
      <c r="AN134" s="376" t="s">
        <v>68</v>
      </c>
      <c r="AO134" s="379">
        <v>80</v>
      </c>
      <c r="AP134" s="384">
        <v>1</v>
      </c>
      <c r="AQ134" s="384">
        <v>1</v>
      </c>
      <c r="AR134" s="382" t="s">
        <v>182</v>
      </c>
      <c r="AS134" s="386">
        <f t="shared" si="169"/>
        <v>1</v>
      </c>
      <c r="AT134">
        <f t="shared" si="170"/>
        <v>1</v>
      </c>
      <c r="AU134" s="386">
        <f>IF(AT134=0,"",IF(AND(AT134=1,M134="F",SUMIF(C2:C167,C134,AS2:AS167)&lt;=1),SUMIF(C2:C167,C134,AS2:AS167),IF(AND(AT134=1,M134="F",SUMIF(C2:C167,C134,AS2:AS167)&gt;1),1,"")))</f>
        <v>1</v>
      </c>
      <c r="AV134" s="386" t="str">
        <f>IF(AT134=0,"",IF(AND(AT134=3,M134="F",SUMIF(C2:C167,C134,AS2:AS167)&lt;=1),SUMIF(C2:C167,C134,AS2:AS167),IF(AND(AT134=3,M134="F",SUMIF(C2:C167,C134,AS2:AS167)&gt;1),1,"")))</f>
        <v/>
      </c>
      <c r="AW134" s="386">
        <f>SUMIF(C2:C167,C134,O2:O167)</f>
        <v>1</v>
      </c>
      <c r="AX134" s="386">
        <f>IF(AND(M134="F",AS134&lt;&gt;0),SUMIF(C2:C167,C134,W2:W167),0)</f>
        <v>67787.199999999997</v>
      </c>
      <c r="AY134" s="386">
        <f t="shared" si="171"/>
        <v>67787.199999999997</v>
      </c>
      <c r="AZ134" s="386" t="str">
        <f t="shared" si="172"/>
        <v/>
      </c>
      <c r="BA134" s="386">
        <f t="shared" si="173"/>
        <v>0</v>
      </c>
      <c r="BB134" s="386">
        <f t="shared" si="142"/>
        <v>11650</v>
      </c>
      <c r="BC134" s="386">
        <f t="shared" si="143"/>
        <v>0</v>
      </c>
      <c r="BD134" s="386">
        <f t="shared" si="144"/>
        <v>4202.8063999999995</v>
      </c>
      <c r="BE134" s="386">
        <f t="shared" si="145"/>
        <v>982.9144</v>
      </c>
      <c r="BF134" s="386">
        <f t="shared" si="146"/>
        <v>8093.7916800000003</v>
      </c>
      <c r="BG134" s="386">
        <f t="shared" si="147"/>
        <v>488.74571199999997</v>
      </c>
      <c r="BH134" s="386">
        <f t="shared" si="148"/>
        <v>332.15727999999996</v>
      </c>
      <c r="BI134" s="386">
        <f t="shared" si="149"/>
        <v>0</v>
      </c>
      <c r="BJ134" s="386">
        <f t="shared" si="150"/>
        <v>142.35311999999999</v>
      </c>
      <c r="BK134" s="386">
        <f t="shared" si="151"/>
        <v>0</v>
      </c>
      <c r="BL134" s="386">
        <f t="shared" si="174"/>
        <v>14242.768591999999</v>
      </c>
      <c r="BM134" s="386">
        <f t="shared" si="175"/>
        <v>0</v>
      </c>
      <c r="BN134" s="386">
        <f t="shared" si="152"/>
        <v>11650</v>
      </c>
      <c r="BO134" s="386">
        <f t="shared" si="153"/>
        <v>0</v>
      </c>
      <c r="BP134" s="386">
        <f t="shared" si="154"/>
        <v>4202.8063999999995</v>
      </c>
      <c r="BQ134" s="386">
        <f t="shared" si="155"/>
        <v>982.9144</v>
      </c>
      <c r="BR134" s="386">
        <f t="shared" si="156"/>
        <v>8093.7916800000003</v>
      </c>
      <c r="BS134" s="386">
        <f t="shared" si="157"/>
        <v>488.74571199999997</v>
      </c>
      <c r="BT134" s="386">
        <f t="shared" si="158"/>
        <v>0</v>
      </c>
      <c r="BU134" s="386">
        <f t="shared" si="159"/>
        <v>0</v>
      </c>
      <c r="BV134" s="386">
        <f t="shared" si="160"/>
        <v>122.01696</v>
      </c>
      <c r="BW134" s="386">
        <f t="shared" si="161"/>
        <v>0</v>
      </c>
      <c r="BX134" s="386">
        <f t="shared" si="176"/>
        <v>13890.275152</v>
      </c>
      <c r="BY134" s="386">
        <f t="shared" si="177"/>
        <v>0</v>
      </c>
      <c r="BZ134" s="386">
        <f t="shared" si="178"/>
        <v>0</v>
      </c>
      <c r="CA134" s="386">
        <f t="shared" si="179"/>
        <v>0</v>
      </c>
      <c r="CB134" s="386">
        <f t="shared" si="180"/>
        <v>0</v>
      </c>
      <c r="CC134" s="386">
        <f t="shared" si="162"/>
        <v>0</v>
      </c>
      <c r="CD134" s="386">
        <f t="shared" si="163"/>
        <v>0</v>
      </c>
      <c r="CE134" s="386">
        <f t="shared" si="164"/>
        <v>0</v>
      </c>
      <c r="CF134" s="386">
        <f t="shared" si="165"/>
        <v>-332.15727999999996</v>
      </c>
      <c r="CG134" s="386">
        <f t="shared" si="166"/>
        <v>0</v>
      </c>
      <c r="CH134" s="386">
        <f t="shared" si="167"/>
        <v>-20.336159999999992</v>
      </c>
      <c r="CI134" s="386">
        <f t="shared" si="168"/>
        <v>0</v>
      </c>
      <c r="CJ134" s="386">
        <f t="shared" si="181"/>
        <v>-352.49343999999996</v>
      </c>
      <c r="CK134" s="386" t="str">
        <f t="shared" si="182"/>
        <v/>
      </c>
      <c r="CL134" s="386" t="str">
        <f t="shared" si="183"/>
        <v/>
      </c>
      <c r="CM134" s="386" t="str">
        <f t="shared" si="184"/>
        <v/>
      </c>
      <c r="CN134" s="386" t="str">
        <f t="shared" si="185"/>
        <v>0480-00</v>
      </c>
    </row>
    <row r="135" spans="1:92" ht="15.75" thickBot="1" x14ac:dyDescent="0.3">
      <c r="A135" s="376" t="s">
        <v>161</v>
      </c>
      <c r="B135" s="376" t="s">
        <v>162</v>
      </c>
      <c r="C135" s="376" t="s">
        <v>605</v>
      </c>
      <c r="D135" s="376" t="s">
        <v>606</v>
      </c>
      <c r="E135" s="376" t="s">
        <v>501</v>
      </c>
      <c r="F135" s="377" t="s">
        <v>166</v>
      </c>
      <c r="G135" s="376" t="s">
        <v>502</v>
      </c>
      <c r="H135" s="378"/>
      <c r="I135" s="378"/>
      <c r="J135" s="376" t="s">
        <v>168</v>
      </c>
      <c r="K135" s="376" t="s">
        <v>607</v>
      </c>
      <c r="L135" s="376" t="s">
        <v>166</v>
      </c>
      <c r="M135" s="376" t="s">
        <v>171</v>
      </c>
      <c r="N135" s="376" t="s">
        <v>172</v>
      </c>
      <c r="O135" s="379">
        <v>1</v>
      </c>
      <c r="P135" s="384">
        <v>1</v>
      </c>
      <c r="Q135" s="384">
        <v>1</v>
      </c>
      <c r="R135" s="380">
        <v>80</v>
      </c>
      <c r="S135" s="384">
        <v>1</v>
      </c>
      <c r="T135" s="380">
        <v>118088</v>
      </c>
      <c r="U135" s="380">
        <v>0</v>
      </c>
      <c r="V135" s="380">
        <v>35624.21</v>
      </c>
      <c r="W135" s="380">
        <v>119308.8</v>
      </c>
      <c r="X135" s="380">
        <v>36717.94</v>
      </c>
      <c r="Y135" s="380">
        <v>119308.8</v>
      </c>
      <c r="Z135" s="380">
        <v>36097.54</v>
      </c>
      <c r="AA135" s="376" t="s">
        <v>608</v>
      </c>
      <c r="AB135" s="376" t="s">
        <v>609</v>
      </c>
      <c r="AC135" s="376" t="s">
        <v>610</v>
      </c>
      <c r="AD135" s="376" t="s">
        <v>238</v>
      </c>
      <c r="AE135" s="376" t="s">
        <v>607</v>
      </c>
      <c r="AF135" s="376" t="s">
        <v>177</v>
      </c>
      <c r="AG135" s="376" t="s">
        <v>178</v>
      </c>
      <c r="AH135" s="381">
        <v>57.36</v>
      </c>
      <c r="AI135" s="379">
        <v>42144</v>
      </c>
      <c r="AJ135" s="376" t="s">
        <v>179</v>
      </c>
      <c r="AK135" s="376" t="s">
        <v>180</v>
      </c>
      <c r="AL135" s="376" t="s">
        <v>170</v>
      </c>
      <c r="AM135" s="376" t="s">
        <v>181</v>
      </c>
      <c r="AN135" s="376" t="s">
        <v>68</v>
      </c>
      <c r="AO135" s="379">
        <v>80</v>
      </c>
      <c r="AP135" s="384">
        <v>1</v>
      </c>
      <c r="AQ135" s="384">
        <v>1</v>
      </c>
      <c r="AR135" s="382" t="s">
        <v>182</v>
      </c>
      <c r="AS135" s="386">
        <f t="shared" si="169"/>
        <v>1</v>
      </c>
      <c r="AT135">
        <f t="shared" si="170"/>
        <v>1</v>
      </c>
      <c r="AU135" s="386">
        <f>IF(AT135=0,"",IF(AND(AT135=1,M135="F",SUMIF(C2:C167,C135,AS2:AS167)&lt;=1),SUMIF(C2:C167,C135,AS2:AS167),IF(AND(AT135=1,M135="F",SUMIF(C2:C167,C135,AS2:AS167)&gt;1),1,"")))</f>
        <v>1</v>
      </c>
      <c r="AV135" s="386" t="str">
        <f>IF(AT135=0,"",IF(AND(AT135=3,M135="F",SUMIF(C2:C167,C135,AS2:AS167)&lt;=1),SUMIF(C2:C167,C135,AS2:AS167),IF(AND(AT135=3,M135="F",SUMIF(C2:C167,C135,AS2:AS167)&gt;1),1,"")))</f>
        <v/>
      </c>
      <c r="AW135" s="386">
        <f>SUMIF(C2:C167,C135,O2:O167)</f>
        <v>1</v>
      </c>
      <c r="AX135" s="386">
        <f>IF(AND(M135="F",AS135&lt;&gt;0),SUMIF(C2:C167,C135,W2:W167),0)</f>
        <v>119308.8</v>
      </c>
      <c r="AY135" s="386">
        <f t="shared" si="171"/>
        <v>119308.8</v>
      </c>
      <c r="AZ135" s="386" t="str">
        <f t="shared" si="172"/>
        <v/>
      </c>
      <c r="BA135" s="386">
        <f t="shared" si="173"/>
        <v>0</v>
      </c>
      <c r="BB135" s="386">
        <f t="shared" si="142"/>
        <v>11650</v>
      </c>
      <c r="BC135" s="386">
        <f t="shared" si="143"/>
        <v>0</v>
      </c>
      <c r="BD135" s="386">
        <f t="shared" si="144"/>
        <v>7397.1455999999998</v>
      </c>
      <c r="BE135" s="386">
        <f t="shared" si="145"/>
        <v>1729.9776000000002</v>
      </c>
      <c r="BF135" s="386">
        <f t="shared" si="146"/>
        <v>14245.470720000001</v>
      </c>
      <c r="BG135" s="386">
        <f t="shared" si="147"/>
        <v>860.21644800000001</v>
      </c>
      <c r="BH135" s="386">
        <f t="shared" si="148"/>
        <v>584.61311999999998</v>
      </c>
      <c r="BI135" s="386">
        <f t="shared" si="149"/>
        <v>0</v>
      </c>
      <c r="BJ135" s="386">
        <f t="shared" si="150"/>
        <v>250.54847999999998</v>
      </c>
      <c r="BK135" s="386">
        <f t="shared" si="151"/>
        <v>0</v>
      </c>
      <c r="BL135" s="386">
        <f t="shared" si="174"/>
        <v>25067.971968000002</v>
      </c>
      <c r="BM135" s="386">
        <f t="shared" si="175"/>
        <v>0</v>
      </c>
      <c r="BN135" s="386">
        <f t="shared" si="152"/>
        <v>11650</v>
      </c>
      <c r="BO135" s="386">
        <f t="shared" si="153"/>
        <v>0</v>
      </c>
      <c r="BP135" s="386">
        <f t="shared" si="154"/>
        <v>7397.1455999999998</v>
      </c>
      <c r="BQ135" s="386">
        <f t="shared" si="155"/>
        <v>1729.9776000000002</v>
      </c>
      <c r="BR135" s="386">
        <f t="shared" si="156"/>
        <v>14245.470720000001</v>
      </c>
      <c r="BS135" s="386">
        <f t="shared" si="157"/>
        <v>860.21644800000001</v>
      </c>
      <c r="BT135" s="386">
        <f t="shared" si="158"/>
        <v>0</v>
      </c>
      <c r="BU135" s="386">
        <f t="shared" si="159"/>
        <v>0</v>
      </c>
      <c r="BV135" s="386">
        <f t="shared" si="160"/>
        <v>214.75584000000001</v>
      </c>
      <c r="BW135" s="386">
        <f t="shared" si="161"/>
        <v>0</v>
      </c>
      <c r="BX135" s="386">
        <f t="shared" si="176"/>
        <v>24447.566208</v>
      </c>
      <c r="BY135" s="386">
        <f t="shared" si="177"/>
        <v>0</v>
      </c>
      <c r="BZ135" s="386">
        <f t="shared" si="178"/>
        <v>0</v>
      </c>
      <c r="CA135" s="386">
        <f t="shared" si="179"/>
        <v>0</v>
      </c>
      <c r="CB135" s="386">
        <f t="shared" si="180"/>
        <v>0</v>
      </c>
      <c r="CC135" s="386">
        <f t="shared" si="162"/>
        <v>0</v>
      </c>
      <c r="CD135" s="386">
        <f t="shared" si="163"/>
        <v>0</v>
      </c>
      <c r="CE135" s="386">
        <f t="shared" si="164"/>
        <v>0</v>
      </c>
      <c r="CF135" s="386">
        <f t="shared" si="165"/>
        <v>-584.61311999999998</v>
      </c>
      <c r="CG135" s="386">
        <f t="shared" si="166"/>
        <v>0</v>
      </c>
      <c r="CH135" s="386">
        <f t="shared" si="167"/>
        <v>-35.792639999999992</v>
      </c>
      <c r="CI135" s="386">
        <f t="shared" si="168"/>
        <v>0</v>
      </c>
      <c r="CJ135" s="386">
        <f t="shared" si="181"/>
        <v>-620.40575999999999</v>
      </c>
      <c r="CK135" s="386" t="str">
        <f t="shared" si="182"/>
        <v/>
      </c>
      <c r="CL135" s="386" t="str">
        <f t="shared" si="183"/>
        <v/>
      </c>
      <c r="CM135" s="386" t="str">
        <f t="shared" si="184"/>
        <v/>
      </c>
      <c r="CN135" s="386" t="str">
        <f t="shared" si="185"/>
        <v>0480-00</v>
      </c>
    </row>
    <row r="136" spans="1:92" ht="15.75" thickBot="1" x14ac:dyDescent="0.3">
      <c r="A136" s="376" t="s">
        <v>161</v>
      </c>
      <c r="B136" s="376" t="s">
        <v>162</v>
      </c>
      <c r="C136" s="376" t="s">
        <v>611</v>
      </c>
      <c r="D136" s="376" t="s">
        <v>438</v>
      </c>
      <c r="E136" s="376" t="s">
        <v>501</v>
      </c>
      <c r="F136" s="377" t="s">
        <v>166</v>
      </c>
      <c r="G136" s="376" t="s">
        <v>502</v>
      </c>
      <c r="H136" s="378"/>
      <c r="I136" s="378"/>
      <c r="J136" s="376" t="s">
        <v>168</v>
      </c>
      <c r="K136" s="376" t="s">
        <v>596</v>
      </c>
      <c r="L136" s="376" t="s">
        <v>289</v>
      </c>
      <c r="M136" s="376" t="s">
        <v>171</v>
      </c>
      <c r="N136" s="376" t="s">
        <v>172</v>
      </c>
      <c r="O136" s="379">
        <v>1</v>
      </c>
      <c r="P136" s="384">
        <v>1</v>
      </c>
      <c r="Q136" s="384">
        <v>1</v>
      </c>
      <c r="R136" s="380">
        <v>80</v>
      </c>
      <c r="S136" s="384">
        <v>1</v>
      </c>
      <c r="T136" s="380">
        <v>74147.62</v>
      </c>
      <c r="U136" s="380">
        <v>0</v>
      </c>
      <c r="V136" s="380">
        <v>27959.91</v>
      </c>
      <c r="W136" s="380">
        <v>72800</v>
      </c>
      <c r="X136" s="380">
        <v>26946</v>
      </c>
      <c r="Y136" s="380">
        <v>72800</v>
      </c>
      <c r="Z136" s="380">
        <v>26567.439999999999</v>
      </c>
      <c r="AA136" s="376" t="s">
        <v>612</v>
      </c>
      <c r="AB136" s="376" t="s">
        <v>613</v>
      </c>
      <c r="AC136" s="376" t="s">
        <v>392</v>
      </c>
      <c r="AD136" s="376" t="s">
        <v>610</v>
      </c>
      <c r="AE136" s="376" t="s">
        <v>596</v>
      </c>
      <c r="AF136" s="376" t="s">
        <v>177</v>
      </c>
      <c r="AG136" s="376" t="s">
        <v>178</v>
      </c>
      <c r="AH136" s="379">
        <v>35</v>
      </c>
      <c r="AI136" s="379">
        <v>14594</v>
      </c>
      <c r="AJ136" s="376" t="s">
        <v>179</v>
      </c>
      <c r="AK136" s="376" t="s">
        <v>180</v>
      </c>
      <c r="AL136" s="376" t="s">
        <v>170</v>
      </c>
      <c r="AM136" s="376" t="s">
        <v>181</v>
      </c>
      <c r="AN136" s="376" t="s">
        <v>68</v>
      </c>
      <c r="AO136" s="379">
        <v>80</v>
      </c>
      <c r="AP136" s="384">
        <v>1</v>
      </c>
      <c r="AQ136" s="384">
        <v>1</v>
      </c>
      <c r="AR136" s="382" t="s">
        <v>182</v>
      </c>
      <c r="AS136" s="386">
        <f t="shared" si="169"/>
        <v>1</v>
      </c>
      <c r="AT136">
        <f t="shared" si="170"/>
        <v>1</v>
      </c>
      <c r="AU136" s="386">
        <f>IF(AT136=0,"",IF(AND(AT136=1,M136="F",SUMIF(C2:C167,C136,AS2:AS167)&lt;=1),SUMIF(C2:C167,C136,AS2:AS167),IF(AND(AT136=1,M136="F",SUMIF(C2:C167,C136,AS2:AS167)&gt;1),1,"")))</f>
        <v>1</v>
      </c>
      <c r="AV136" s="386" t="str">
        <f>IF(AT136=0,"",IF(AND(AT136=3,M136="F",SUMIF(C2:C167,C136,AS2:AS167)&lt;=1),SUMIF(C2:C167,C136,AS2:AS167),IF(AND(AT136=3,M136="F",SUMIF(C2:C167,C136,AS2:AS167)&gt;1),1,"")))</f>
        <v/>
      </c>
      <c r="AW136" s="386">
        <f>SUMIF(C2:C167,C136,O2:O167)</f>
        <v>1</v>
      </c>
      <c r="AX136" s="386">
        <f>IF(AND(M136="F",AS136&lt;&gt;0),SUMIF(C2:C167,C136,W2:W167),0)</f>
        <v>72800</v>
      </c>
      <c r="AY136" s="386">
        <f t="shared" si="171"/>
        <v>72800</v>
      </c>
      <c r="AZ136" s="386" t="str">
        <f t="shared" si="172"/>
        <v/>
      </c>
      <c r="BA136" s="386">
        <f t="shared" si="173"/>
        <v>0</v>
      </c>
      <c r="BB136" s="386">
        <f t="shared" si="142"/>
        <v>11650</v>
      </c>
      <c r="BC136" s="386">
        <f t="shared" si="143"/>
        <v>0</v>
      </c>
      <c r="BD136" s="386">
        <f t="shared" si="144"/>
        <v>4513.6000000000004</v>
      </c>
      <c r="BE136" s="386">
        <f t="shared" si="145"/>
        <v>1055.6000000000001</v>
      </c>
      <c r="BF136" s="386">
        <f t="shared" si="146"/>
        <v>8692.32</v>
      </c>
      <c r="BG136" s="386">
        <f t="shared" si="147"/>
        <v>524.88800000000003</v>
      </c>
      <c r="BH136" s="386">
        <f t="shared" si="148"/>
        <v>356.71999999999997</v>
      </c>
      <c r="BI136" s="386">
        <f t="shared" si="149"/>
        <v>0</v>
      </c>
      <c r="BJ136" s="386">
        <f t="shared" si="150"/>
        <v>152.88</v>
      </c>
      <c r="BK136" s="386">
        <f t="shared" si="151"/>
        <v>0</v>
      </c>
      <c r="BL136" s="386">
        <f t="shared" si="174"/>
        <v>15296.008</v>
      </c>
      <c r="BM136" s="386">
        <f t="shared" si="175"/>
        <v>0</v>
      </c>
      <c r="BN136" s="386">
        <f t="shared" si="152"/>
        <v>11650</v>
      </c>
      <c r="BO136" s="386">
        <f t="shared" si="153"/>
        <v>0</v>
      </c>
      <c r="BP136" s="386">
        <f t="shared" si="154"/>
        <v>4513.6000000000004</v>
      </c>
      <c r="BQ136" s="386">
        <f t="shared" si="155"/>
        <v>1055.6000000000001</v>
      </c>
      <c r="BR136" s="386">
        <f t="shared" si="156"/>
        <v>8692.32</v>
      </c>
      <c r="BS136" s="386">
        <f t="shared" si="157"/>
        <v>524.88800000000003</v>
      </c>
      <c r="BT136" s="386">
        <f t="shared" si="158"/>
        <v>0</v>
      </c>
      <c r="BU136" s="386">
        <f t="shared" si="159"/>
        <v>0</v>
      </c>
      <c r="BV136" s="386">
        <f t="shared" si="160"/>
        <v>131.04</v>
      </c>
      <c r="BW136" s="386">
        <f t="shared" si="161"/>
        <v>0</v>
      </c>
      <c r="BX136" s="386">
        <f t="shared" si="176"/>
        <v>14917.448000000002</v>
      </c>
      <c r="BY136" s="386">
        <f t="shared" si="177"/>
        <v>0</v>
      </c>
      <c r="BZ136" s="386">
        <f t="shared" si="178"/>
        <v>0</v>
      </c>
      <c r="CA136" s="386">
        <f t="shared" si="179"/>
        <v>0</v>
      </c>
      <c r="CB136" s="386">
        <f t="shared" si="180"/>
        <v>0</v>
      </c>
      <c r="CC136" s="386">
        <f t="shared" si="162"/>
        <v>0</v>
      </c>
      <c r="CD136" s="386">
        <f t="shared" si="163"/>
        <v>0</v>
      </c>
      <c r="CE136" s="386">
        <f t="shared" si="164"/>
        <v>0</v>
      </c>
      <c r="CF136" s="386">
        <f t="shared" si="165"/>
        <v>-356.71999999999997</v>
      </c>
      <c r="CG136" s="386">
        <f t="shared" si="166"/>
        <v>0</v>
      </c>
      <c r="CH136" s="386">
        <f t="shared" si="167"/>
        <v>-21.839999999999993</v>
      </c>
      <c r="CI136" s="386">
        <f t="shared" si="168"/>
        <v>0</v>
      </c>
      <c r="CJ136" s="386">
        <f t="shared" si="181"/>
        <v>-378.55999999999995</v>
      </c>
      <c r="CK136" s="386" t="str">
        <f t="shared" si="182"/>
        <v/>
      </c>
      <c r="CL136" s="386" t="str">
        <f t="shared" si="183"/>
        <v/>
      </c>
      <c r="CM136" s="386" t="str">
        <f t="shared" si="184"/>
        <v/>
      </c>
      <c r="CN136" s="386" t="str">
        <f t="shared" si="185"/>
        <v>0480-00</v>
      </c>
    </row>
    <row r="137" spans="1:92" ht="15.75" thickBot="1" x14ac:dyDescent="0.3">
      <c r="A137" s="376" t="s">
        <v>161</v>
      </c>
      <c r="B137" s="376" t="s">
        <v>162</v>
      </c>
      <c r="C137" s="376" t="s">
        <v>267</v>
      </c>
      <c r="D137" s="376" t="s">
        <v>268</v>
      </c>
      <c r="E137" s="376" t="s">
        <v>501</v>
      </c>
      <c r="F137" s="377" t="s">
        <v>166</v>
      </c>
      <c r="G137" s="376" t="s">
        <v>502</v>
      </c>
      <c r="H137" s="378"/>
      <c r="I137" s="378"/>
      <c r="J137" s="376" t="s">
        <v>168</v>
      </c>
      <c r="K137" s="376" t="s">
        <v>269</v>
      </c>
      <c r="L137" s="376" t="s">
        <v>166</v>
      </c>
      <c r="M137" s="376" t="s">
        <v>171</v>
      </c>
      <c r="N137" s="376" t="s">
        <v>270</v>
      </c>
      <c r="O137" s="379">
        <v>0</v>
      </c>
      <c r="P137" s="384">
        <v>0</v>
      </c>
      <c r="Q137" s="384">
        <v>0</v>
      </c>
      <c r="R137" s="380">
        <v>0</v>
      </c>
      <c r="S137" s="384">
        <v>0</v>
      </c>
      <c r="T137" s="380">
        <v>8996.1200000000008</v>
      </c>
      <c r="U137" s="380">
        <v>0</v>
      </c>
      <c r="V137" s="380">
        <v>5270.89</v>
      </c>
      <c r="W137" s="380">
        <v>0</v>
      </c>
      <c r="X137" s="380">
        <v>0</v>
      </c>
      <c r="Y137" s="380">
        <v>0</v>
      </c>
      <c r="Z137" s="380">
        <v>0</v>
      </c>
      <c r="AA137" s="378"/>
      <c r="AB137" s="376" t="s">
        <v>45</v>
      </c>
      <c r="AC137" s="376" t="s">
        <v>45</v>
      </c>
      <c r="AD137" s="378"/>
      <c r="AE137" s="378"/>
      <c r="AF137" s="378"/>
      <c r="AG137" s="378"/>
      <c r="AH137" s="379">
        <v>0</v>
      </c>
      <c r="AI137" s="379">
        <v>0</v>
      </c>
      <c r="AJ137" s="378"/>
      <c r="AK137" s="378"/>
      <c r="AL137" s="376" t="s">
        <v>170</v>
      </c>
      <c r="AM137" s="378"/>
      <c r="AN137" s="378"/>
      <c r="AO137" s="379">
        <v>0</v>
      </c>
      <c r="AP137" s="384">
        <v>0</v>
      </c>
      <c r="AQ137" s="384">
        <v>0</v>
      </c>
      <c r="AR137" s="383"/>
      <c r="AS137" s="386">
        <f t="shared" si="169"/>
        <v>0</v>
      </c>
      <c r="AT137">
        <f t="shared" si="170"/>
        <v>0</v>
      </c>
      <c r="AU137" s="386" t="str">
        <f>IF(AT137=0,"",IF(AND(AT137=1,M137="F",SUMIF(C2:C167,C137,AS2:AS167)&lt;=1),SUMIF(C2:C167,C137,AS2:AS167),IF(AND(AT137=1,M137="F",SUMIF(C2:C167,C137,AS2:AS167)&gt;1),1,"")))</f>
        <v/>
      </c>
      <c r="AV137" s="386" t="str">
        <f>IF(AT137=0,"",IF(AND(AT137=3,M137="F",SUMIF(C2:C167,C137,AS2:AS167)&lt;=1),SUMIF(C2:C167,C137,AS2:AS167),IF(AND(AT137=3,M137="F",SUMIF(C2:C167,C137,AS2:AS167)&gt;1),1,"")))</f>
        <v/>
      </c>
      <c r="AW137" s="386">
        <f>SUMIF(C2:C167,C137,O2:O167)</f>
        <v>0</v>
      </c>
      <c r="AX137" s="386">
        <f>IF(AND(M137="F",AS137&lt;&gt;0),SUMIF(C2:C167,C137,W2:W167),0)</f>
        <v>0</v>
      </c>
      <c r="AY137" s="386" t="str">
        <f t="shared" si="171"/>
        <v/>
      </c>
      <c r="AZ137" s="386" t="str">
        <f t="shared" si="172"/>
        <v/>
      </c>
      <c r="BA137" s="386">
        <f t="shared" si="173"/>
        <v>0</v>
      </c>
      <c r="BB137" s="386">
        <f t="shared" si="142"/>
        <v>0</v>
      </c>
      <c r="BC137" s="386">
        <f t="shared" si="143"/>
        <v>0</v>
      </c>
      <c r="BD137" s="386">
        <f t="shared" si="144"/>
        <v>0</v>
      </c>
      <c r="BE137" s="386">
        <f t="shared" si="145"/>
        <v>0</v>
      </c>
      <c r="BF137" s="386">
        <f t="shared" si="146"/>
        <v>0</v>
      </c>
      <c r="BG137" s="386">
        <f t="shared" si="147"/>
        <v>0</v>
      </c>
      <c r="BH137" s="386">
        <f t="shared" si="148"/>
        <v>0</v>
      </c>
      <c r="BI137" s="386">
        <f t="shared" si="149"/>
        <v>0</v>
      </c>
      <c r="BJ137" s="386">
        <f t="shared" si="150"/>
        <v>0</v>
      </c>
      <c r="BK137" s="386">
        <f t="shared" si="151"/>
        <v>0</v>
      </c>
      <c r="BL137" s="386">
        <f t="shared" si="174"/>
        <v>0</v>
      </c>
      <c r="BM137" s="386">
        <f t="shared" si="175"/>
        <v>0</v>
      </c>
      <c r="BN137" s="386">
        <f t="shared" si="152"/>
        <v>0</v>
      </c>
      <c r="BO137" s="386">
        <f t="shared" si="153"/>
        <v>0</v>
      </c>
      <c r="BP137" s="386">
        <f t="shared" si="154"/>
        <v>0</v>
      </c>
      <c r="BQ137" s="386">
        <f t="shared" si="155"/>
        <v>0</v>
      </c>
      <c r="BR137" s="386">
        <f t="shared" si="156"/>
        <v>0</v>
      </c>
      <c r="BS137" s="386">
        <f t="shared" si="157"/>
        <v>0</v>
      </c>
      <c r="BT137" s="386">
        <f t="shared" si="158"/>
        <v>0</v>
      </c>
      <c r="BU137" s="386">
        <f t="shared" si="159"/>
        <v>0</v>
      </c>
      <c r="BV137" s="386">
        <f t="shared" si="160"/>
        <v>0</v>
      </c>
      <c r="BW137" s="386">
        <f t="shared" si="161"/>
        <v>0</v>
      </c>
      <c r="BX137" s="386">
        <f t="shared" si="176"/>
        <v>0</v>
      </c>
      <c r="BY137" s="386">
        <f t="shared" si="177"/>
        <v>0</v>
      </c>
      <c r="BZ137" s="386">
        <f t="shared" si="178"/>
        <v>0</v>
      </c>
      <c r="CA137" s="386">
        <f t="shared" si="179"/>
        <v>0</v>
      </c>
      <c r="CB137" s="386">
        <f t="shared" si="180"/>
        <v>0</v>
      </c>
      <c r="CC137" s="386">
        <f t="shared" si="162"/>
        <v>0</v>
      </c>
      <c r="CD137" s="386">
        <f t="shared" si="163"/>
        <v>0</v>
      </c>
      <c r="CE137" s="386">
        <f t="shared" si="164"/>
        <v>0</v>
      </c>
      <c r="CF137" s="386">
        <f t="shared" si="165"/>
        <v>0</v>
      </c>
      <c r="CG137" s="386">
        <f t="shared" si="166"/>
        <v>0</v>
      </c>
      <c r="CH137" s="386">
        <f t="shared" si="167"/>
        <v>0</v>
      </c>
      <c r="CI137" s="386">
        <f t="shared" si="168"/>
        <v>0</v>
      </c>
      <c r="CJ137" s="386">
        <f t="shared" si="181"/>
        <v>0</v>
      </c>
      <c r="CK137" s="386" t="str">
        <f t="shared" si="182"/>
        <v/>
      </c>
      <c r="CL137" s="386">
        <f t="shared" si="183"/>
        <v>8996.1200000000008</v>
      </c>
      <c r="CM137" s="386">
        <f t="shared" si="184"/>
        <v>5270.89</v>
      </c>
      <c r="CN137" s="386" t="str">
        <f t="shared" si="185"/>
        <v>0480-00</v>
      </c>
    </row>
    <row r="138" spans="1:92" ht="15.75" thickBot="1" x14ac:dyDescent="0.3">
      <c r="A138" s="376" t="s">
        <v>161</v>
      </c>
      <c r="B138" s="376" t="s">
        <v>162</v>
      </c>
      <c r="C138" s="376" t="s">
        <v>614</v>
      </c>
      <c r="D138" s="376" t="s">
        <v>615</v>
      </c>
      <c r="E138" s="376" t="s">
        <v>501</v>
      </c>
      <c r="F138" s="377" t="s">
        <v>166</v>
      </c>
      <c r="G138" s="376" t="s">
        <v>502</v>
      </c>
      <c r="H138" s="378"/>
      <c r="I138" s="378"/>
      <c r="J138" s="376" t="s">
        <v>168</v>
      </c>
      <c r="K138" s="376" t="s">
        <v>616</v>
      </c>
      <c r="L138" s="376" t="s">
        <v>187</v>
      </c>
      <c r="M138" s="376" t="s">
        <v>171</v>
      </c>
      <c r="N138" s="376" t="s">
        <v>172</v>
      </c>
      <c r="O138" s="379">
        <v>1</v>
      </c>
      <c r="P138" s="384">
        <v>1</v>
      </c>
      <c r="Q138" s="384">
        <v>1</v>
      </c>
      <c r="R138" s="380">
        <v>80</v>
      </c>
      <c r="S138" s="384">
        <v>1</v>
      </c>
      <c r="T138" s="380">
        <v>95143.91</v>
      </c>
      <c r="U138" s="380">
        <v>0</v>
      </c>
      <c r="V138" s="380">
        <v>31007.87</v>
      </c>
      <c r="W138" s="380">
        <v>96408</v>
      </c>
      <c r="X138" s="380">
        <v>31906.25</v>
      </c>
      <c r="Y138" s="380">
        <v>96408</v>
      </c>
      <c r="Z138" s="380">
        <v>31404.94</v>
      </c>
      <c r="AA138" s="376" t="s">
        <v>617</v>
      </c>
      <c r="AB138" s="376" t="s">
        <v>618</v>
      </c>
      <c r="AC138" s="376" t="s">
        <v>619</v>
      </c>
      <c r="AD138" s="376" t="s">
        <v>265</v>
      </c>
      <c r="AE138" s="376" t="s">
        <v>616</v>
      </c>
      <c r="AF138" s="376" t="s">
        <v>177</v>
      </c>
      <c r="AG138" s="376" t="s">
        <v>178</v>
      </c>
      <c r="AH138" s="381">
        <v>46.35</v>
      </c>
      <c r="AI138" s="381">
        <v>61813.2</v>
      </c>
      <c r="AJ138" s="376" t="s">
        <v>179</v>
      </c>
      <c r="AK138" s="376" t="s">
        <v>180</v>
      </c>
      <c r="AL138" s="376" t="s">
        <v>170</v>
      </c>
      <c r="AM138" s="376" t="s">
        <v>181</v>
      </c>
      <c r="AN138" s="376" t="s">
        <v>68</v>
      </c>
      <c r="AO138" s="379">
        <v>80</v>
      </c>
      <c r="AP138" s="384">
        <v>1</v>
      </c>
      <c r="AQ138" s="384">
        <v>1</v>
      </c>
      <c r="AR138" s="382" t="s">
        <v>182</v>
      </c>
      <c r="AS138" s="386">
        <f t="shared" si="169"/>
        <v>1</v>
      </c>
      <c r="AT138">
        <f t="shared" si="170"/>
        <v>1</v>
      </c>
      <c r="AU138" s="386">
        <f>IF(AT138=0,"",IF(AND(AT138=1,M138="F",SUMIF(C2:C167,C138,AS2:AS167)&lt;=1),SUMIF(C2:C167,C138,AS2:AS167),IF(AND(AT138=1,M138="F",SUMIF(C2:C167,C138,AS2:AS167)&gt;1),1,"")))</f>
        <v>1</v>
      </c>
      <c r="AV138" s="386" t="str">
        <f>IF(AT138=0,"",IF(AND(AT138=3,M138="F",SUMIF(C2:C167,C138,AS2:AS167)&lt;=1),SUMIF(C2:C167,C138,AS2:AS167),IF(AND(AT138=3,M138="F",SUMIF(C2:C167,C138,AS2:AS167)&gt;1),1,"")))</f>
        <v/>
      </c>
      <c r="AW138" s="386">
        <f>SUMIF(C2:C167,C138,O2:O167)</f>
        <v>1</v>
      </c>
      <c r="AX138" s="386">
        <f>IF(AND(M138="F",AS138&lt;&gt;0),SUMIF(C2:C167,C138,W2:W167),0)</f>
        <v>96408</v>
      </c>
      <c r="AY138" s="386">
        <f t="shared" si="171"/>
        <v>96408</v>
      </c>
      <c r="AZ138" s="386" t="str">
        <f t="shared" si="172"/>
        <v/>
      </c>
      <c r="BA138" s="386">
        <f t="shared" si="173"/>
        <v>0</v>
      </c>
      <c r="BB138" s="386">
        <f t="shared" si="142"/>
        <v>11650</v>
      </c>
      <c r="BC138" s="386">
        <f t="shared" si="143"/>
        <v>0</v>
      </c>
      <c r="BD138" s="386">
        <f t="shared" si="144"/>
        <v>5977.2960000000003</v>
      </c>
      <c r="BE138" s="386">
        <f t="shared" si="145"/>
        <v>1397.9160000000002</v>
      </c>
      <c r="BF138" s="386">
        <f t="shared" si="146"/>
        <v>11511.1152</v>
      </c>
      <c r="BG138" s="386">
        <f t="shared" si="147"/>
        <v>695.10167999999999</v>
      </c>
      <c r="BH138" s="386">
        <f t="shared" si="148"/>
        <v>472.39920000000001</v>
      </c>
      <c r="BI138" s="386">
        <f t="shared" si="149"/>
        <v>0</v>
      </c>
      <c r="BJ138" s="386">
        <f t="shared" si="150"/>
        <v>202.45679999999999</v>
      </c>
      <c r="BK138" s="386">
        <f t="shared" si="151"/>
        <v>0</v>
      </c>
      <c r="BL138" s="386">
        <f t="shared" si="174"/>
        <v>20256.284879999999</v>
      </c>
      <c r="BM138" s="386">
        <f t="shared" si="175"/>
        <v>0</v>
      </c>
      <c r="BN138" s="386">
        <f t="shared" si="152"/>
        <v>11650</v>
      </c>
      <c r="BO138" s="386">
        <f t="shared" si="153"/>
        <v>0</v>
      </c>
      <c r="BP138" s="386">
        <f t="shared" si="154"/>
        <v>5977.2960000000003</v>
      </c>
      <c r="BQ138" s="386">
        <f t="shared" si="155"/>
        <v>1397.9160000000002</v>
      </c>
      <c r="BR138" s="386">
        <f t="shared" si="156"/>
        <v>11511.1152</v>
      </c>
      <c r="BS138" s="386">
        <f t="shared" si="157"/>
        <v>695.10167999999999</v>
      </c>
      <c r="BT138" s="386">
        <f t="shared" si="158"/>
        <v>0</v>
      </c>
      <c r="BU138" s="386">
        <f t="shared" si="159"/>
        <v>0</v>
      </c>
      <c r="BV138" s="386">
        <f t="shared" si="160"/>
        <v>173.53440000000001</v>
      </c>
      <c r="BW138" s="386">
        <f t="shared" si="161"/>
        <v>0</v>
      </c>
      <c r="BX138" s="386">
        <f t="shared" si="176"/>
        <v>19754.96328</v>
      </c>
      <c r="BY138" s="386">
        <f t="shared" si="177"/>
        <v>0</v>
      </c>
      <c r="BZ138" s="386">
        <f t="shared" si="178"/>
        <v>0</v>
      </c>
      <c r="CA138" s="386">
        <f t="shared" si="179"/>
        <v>0</v>
      </c>
      <c r="CB138" s="386">
        <f t="shared" si="180"/>
        <v>0</v>
      </c>
      <c r="CC138" s="386">
        <f t="shared" si="162"/>
        <v>0</v>
      </c>
      <c r="CD138" s="386">
        <f t="shared" si="163"/>
        <v>0</v>
      </c>
      <c r="CE138" s="386">
        <f t="shared" si="164"/>
        <v>0</v>
      </c>
      <c r="CF138" s="386">
        <f t="shared" si="165"/>
        <v>-472.39920000000001</v>
      </c>
      <c r="CG138" s="386">
        <f t="shared" si="166"/>
        <v>0</v>
      </c>
      <c r="CH138" s="386">
        <f t="shared" si="167"/>
        <v>-28.922399999999993</v>
      </c>
      <c r="CI138" s="386">
        <f t="shared" si="168"/>
        <v>0</v>
      </c>
      <c r="CJ138" s="386">
        <f t="shared" si="181"/>
        <v>-501.32159999999999</v>
      </c>
      <c r="CK138" s="386" t="str">
        <f t="shared" si="182"/>
        <v/>
      </c>
      <c r="CL138" s="386" t="str">
        <f t="shared" si="183"/>
        <v/>
      </c>
      <c r="CM138" s="386" t="str">
        <f t="shared" si="184"/>
        <v/>
      </c>
      <c r="CN138" s="386" t="str">
        <f t="shared" si="185"/>
        <v>0480-00</v>
      </c>
    </row>
    <row r="139" spans="1:92" ht="15.75" thickBot="1" x14ac:dyDescent="0.3">
      <c r="A139" s="376" t="s">
        <v>161</v>
      </c>
      <c r="B139" s="376" t="s">
        <v>162</v>
      </c>
      <c r="C139" s="376" t="s">
        <v>620</v>
      </c>
      <c r="D139" s="376" t="s">
        <v>526</v>
      </c>
      <c r="E139" s="376" t="s">
        <v>501</v>
      </c>
      <c r="F139" s="377" t="s">
        <v>166</v>
      </c>
      <c r="G139" s="376" t="s">
        <v>502</v>
      </c>
      <c r="H139" s="378"/>
      <c r="I139" s="378"/>
      <c r="J139" s="376" t="s">
        <v>168</v>
      </c>
      <c r="K139" s="376" t="s">
        <v>621</v>
      </c>
      <c r="L139" s="376" t="s">
        <v>304</v>
      </c>
      <c r="M139" s="376" t="s">
        <v>171</v>
      </c>
      <c r="N139" s="376" t="s">
        <v>172</v>
      </c>
      <c r="O139" s="379">
        <v>1</v>
      </c>
      <c r="P139" s="384">
        <v>1</v>
      </c>
      <c r="Q139" s="384">
        <v>1</v>
      </c>
      <c r="R139" s="380">
        <v>80</v>
      </c>
      <c r="S139" s="384">
        <v>1</v>
      </c>
      <c r="T139" s="380">
        <v>21924.799999999999</v>
      </c>
      <c r="U139" s="380">
        <v>0</v>
      </c>
      <c r="V139" s="380">
        <v>8832.1200000000008</v>
      </c>
      <c r="W139" s="380">
        <v>58240</v>
      </c>
      <c r="X139" s="380">
        <v>23886.79</v>
      </c>
      <c r="Y139" s="380">
        <v>58240</v>
      </c>
      <c r="Z139" s="380">
        <v>23583.95</v>
      </c>
      <c r="AA139" s="376" t="s">
        <v>622</v>
      </c>
      <c r="AB139" s="376" t="s">
        <v>623</v>
      </c>
      <c r="AC139" s="376" t="s">
        <v>624</v>
      </c>
      <c r="AD139" s="376" t="s">
        <v>176</v>
      </c>
      <c r="AE139" s="376" t="s">
        <v>621</v>
      </c>
      <c r="AF139" s="376" t="s">
        <v>177</v>
      </c>
      <c r="AG139" s="376" t="s">
        <v>178</v>
      </c>
      <c r="AH139" s="379">
        <v>28</v>
      </c>
      <c r="AI139" s="381">
        <v>8798.1</v>
      </c>
      <c r="AJ139" s="376" t="s">
        <v>179</v>
      </c>
      <c r="AK139" s="376" t="s">
        <v>180</v>
      </c>
      <c r="AL139" s="376" t="s">
        <v>170</v>
      </c>
      <c r="AM139" s="376" t="s">
        <v>181</v>
      </c>
      <c r="AN139" s="376" t="s">
        <v>68</v>
      </c>
      <c r="AO139" s="379">
        <v>80</v>
      </c>
      <c r="AP139" s="384">
        <v>1</v>
      </c>
      <c r="AQ139" s="384">
        <v>1</v>
      </c>
      <c r="AR139" s="382" t="s">
        <v>182</v>
      </c>
      <c r="AS139" s="386">
        <f t="shared" si="169"/>
        <v>1</v>
      </c>
      <c r="AT139">
        <f t="shared" si="170"/>
        <v>1</v>
      </c>
      <c r="AU139" s="386">
        <f>IF(AT139=0,"",IF(AND(AT139=1,M139="F",SUMIF(C2:C167,C139,AS2:AS167)&lt;=1),SUMIF(C2:C167,C139,AS2:AS167),IF(AND(AT139=1,M139="F",SUMIF(C2:C167,C139,AS2:AS167)&gt;1),1,"")))</f>
        <v>1</v>
      </c>
      <c r="AV139" s="386" t="str">
        <f>IF(AT139=0,"",IF(AND(AT139=3,M139="F",SUMIF(C2:C167,C139,AS2:AS167)&lt;=1),SUMIF(C2:C167,C139,AS2:AS167),IF(AND(AT139=3,M139="F",SUMIF(C2:C167,C139,AS2:AS167)&gt;1),1,"")))</f>
        <v/>
      </c>
      <c r="AW139" s="386">
        <f>SUMIF(C2:C167,C139,O2:O167)</f>
        <v>1</v>
      </c>
      <c r="AX139" s="386">
        <f>IF(AND(M139="F",AS139&lt;&gt;0),SUMIF(C2:C167,C139,W2:W167),0)</f>
        <v>58240</v>
      </c>
      <c r="AY139" s="386">
        <f t="shared" si="171"/>
        <v>58240</v>
      </c>
      <c r="AZ139" s="386" t="str">
        <f t="shared" si="172"/>
        <v/>
      </c>
      <c r="BA139" s="386">
        <f t="shared" si="173"/>
        <v>0</v>
      </c>
      <c r="BB139" s="386">
        <f t="shared" si="142"/>
        <v>11650</v>
      </c>
      <c r="BC139" s="386">
        <f t="shared" si="143"/>
        <v>0</v>
      </c>
      <c r="BD139" s="386">
        <f t="shared" si="144"/>
        <v>3610.88</v>
      </c>
      <c r="BE139" s="386">
        <f t="shared" si="145"/>
        <v>844.48</v>
      </c>
      <c r="BF139" s="386">
        <f t="shared" si="146"/>
        <v>6953.8560000000007</v>
      </c>
      <c r="BG139" s="386">
        <f t="shared" si="147"/>
        <v>419.91040000000004</v>
      </c>
      <c r="BH139" s="386">
        <f t="shared" si="148"/>
        <v>285.37599999999998</v>
      </c>
      <c r="BI139" s="386">
        <f t="shared" si="149"/>
        <v>0</v>
      </c>
      <c r="BJ139" s="386">
        <f t="shared" si="150"/>
        <v>122.30399999999999</v>
      </c>
      <c r="BK139" s="386">
        <f t="shared" si="151"/>
        <v>0</v>
      </c>
      <c r="BL139" s="386">
        <f t="shared" si="174"/>
        <v>12236.806400000001</v>
      </c>
      <c r="BM139" s="386">
        <f t="shared" si="175"/>
        <v>0</v>
      </c>
      <c r="BN139" s="386">
        <f t="shared" si="152"/>
        <v>11650</v>
      </c>
      <c r="BO139" s="386">
        <f t="shared" si="153"/>
        <v>0</v>
      </c>
      <c r="BP139" s="386">
        <f t="shared" si="154"/>
        <v>3610.88</v>
      </c>
      <c r="BQ139" s="386">
        <f t="shared" si="155"/>
        <v>844.48</v>
      </c>
      <c r="BR139" s="386">
        <f t="shared" si="156"/>
        <v>6953.8560000000007</v>
      </c>
      <c r="BS139" s="386">
        <f t="shared" si="157"/>
        <v>419.91040000000004</v>
      </c>
      <c r="BT139" s="386">
        <f t="shared" si="158"/>
        <v>0</v>
      </c>
      <c r="BU139" s="386">
        <f t="shared" si="159"/>
        <v>0</v>
      </c>
      <c r="BV139" s="386">
        <f t="shared" si="160"/>
        <v>104.83199999999999</v>
      </c>
      <c r="BW139" s="386">
        <f t="shared" si="161"/>
        <v>0</v>
      </c>
      <c r="BX139" s="386">
        <f t="shared" si="176"/>
        <v>11933.958400000001</v>
      </c>
      <c r="BY139" s="386">
        <f t="shared" si="177"/>
        <v>0</v>
      </c>
      <c r="BZ139" s="386">
        <f t="shared" si="178"/>
        <v>0</v>
      </c>
      <c r="CA139" s="386">
        <f t="shared" si="179"/>
        <v>0</v>
      </c>
      <c r="CB139" s="386">
        <f t="shared" si="180"/>
        <v>0</v>
      </c>
      <c r="CC139" s="386">
        <f t="shared" si="162"/>
        <v>0</v>
      </c>
      <c r="CD139" s="386">
        <f t="shared" si="163"/>
        <v>0</v>
      </c>
      <c r="CE139" s="386">
        <f t="shared" si="164"/>
        <v>0</v>
      </c>
      <c r="CF139" s="386">
        <f t="shared" si="165"/>
        <v>-285.37599999999998</v>
      </c>
      <c r="CG139" s="386">
        <f t="shared" si="166"/>
        <v>0</v>
      </c>
      <c r="CH139" s="386">
        <f t="shared" si="167"/>
        <v>-17.471999999999994</v>
      </c>
      <c r="CI139" s="386">
        <f t="shared" si="168"/>
        <v>0</v>
      </c>
      <c r="CJ139" s="386">
        <f t="shared" si="181"/>
        <v>-302.84799999999996</v>
      </c>
      <c r="CK139" s="386" t="str">
        <f t="shared" si="182"/>
        <v/>
      </c>
      <c r="CL139" s="386" t="str">
        <f t="shared" si="183"/>
        <v/>
      </c>
      <c r="CM139" s="386" t="str">
        <f t="shared" si="184"/>
        <v/>
      </c>
      <c r="CN139" s="386" t="str">
        <f t="shared" si="185"/>
        <v>0480-00</v>
      </c>
    </row>
    <row r="140" spans="1:92" ht="15.75" thickBot="1" x14ac:dyDescent="0.3">
      <c r="A140" s="376" t="s">
        <v>161</v>
      </c>
      <c r="B140" s="376" t="s">
        <v>162</v>
      </c>
      <c r="C140" s="376" t="s">
        <v>625</v>
      </c>
      <c r="D140" s="376" t="s">
        <v>535</v>
      </c>
      <c r="E140" s="376" t="s">
        <v>501</v>
      </c>
      <c r="F140" s="377" t="s">
        <v>166</v>
      </c>
      <c r="G140" s="376" t="s">
        <v>502</v>
      </c>
      <c r="H140" s="378"/>
      <c r="I140" s="378"/>
      <c r="J140" s="376" t="s">
        <v>168</v>
      </c>
      <c r="K140" s="376" t="s">
        <v>536</v>
      </c>
      <c r="L140" s="376" t="s">
        <v>170</v>
      </c>
      <c r="M140" s="376" t="s">
        <v>171</v>
      </c>
      <c r="N140" s="376" t="s">
        <v>172</v>
      </c>
      <c r="O140" s="379">
        <v>1</v>
      </c>
      <c r="P140" s="384">
        <v>1</v>
      </c>
      <c r="Q140" s="384">
        <v>1</v>
      </c>
      <c r="R140" s="380">
        <v>80</v>
      </c>
      <c r="S140" s="384">
        <v>1</v>
      </c>
      <c r="T140" s="380">
        <v>94466.98</v>
      </c>
      <c r="U140" s="380">
        <v>0</v>
      </c>
      <c r="V140" s="380">
        <v>30610.1</v>
      </c>
      <c r="W140" s="380">
        <v>93412.800000000003</v>
      </c>
      <c r="X140" s="380">
        <v>31276.93</v>
      </c>
      <c r="Y140" s="380">
        <v>93412.800000000003</v>
      </c>
      <c r="Z140" s="380">
        <v>30791.19</v>
      </c>
      <c r="AA140" s="376" t="s">
        <v>626</v>
      </c>
      <c r="AB140" s="376" t="s">
        <v>368</v>
      </c>
      <c r="AC140" s="376" t="s">
        <v>627</v>
      </c>
      <c r="AD140" s="376" t="s">
        <v>524</v>
      </c>
      <c r="AE140" s="376" t="s">
        <v>536</v>
      </c>
      <c r="AF140" s="376" t="s">
        <v>177</v>
      </c>
      <c r="AG140" s="376" t="s">
        <v>178</v>
      </c>
      <c r="AH140" s="381">
        <v>44.91</v>
      </c>
      <c r="AI140" s="379">
        <v>37348</v>
      </c>
      <c r="AJ140" s="376" t="s">
        <v>179</v>
      </c>
      <c r="AK140" s="376" t="s">
        <v>180</v>
      </c>
      <c r="AL140" s="376" t="s">
        <v>170</v>
      </c>
      <c r="AM140" s="376" t="s">
        <v>181</v>
      </c>
      <c r="AN140" s="376" t="s">
        <v>68</v>
      </c>
      <c r="AO140" s="379">
        <v>80</v>
      </c>
      <c r="AP140" s="384">
        <v>1</v>
      </c>
      <c r="AQ140" s="384">
        <v>1</v>
      </c>
      <c r="AR140" s="382" t="s">
        <v>182</v>
      </c>
      <c r="AS140" s="386">
        <f t="shared" si="169"/>
        <v>1</v>
      </c>
      <c r="AT140">
        <f t="shared" si="170"/>
        <v>1</v>
      </c>
      <c r="AU140" s="386">
        <f>IF(AT140=0,"",IF(AND(AT140=1,M140="F",SUMIF(C2:C167,C140,AS2:AS167)&lt;=1),SUMIF(C2:C167,C140,AS2:AS167),IF(AND(AT140=1,M140="F",SUMIF(C2:C167,C140,AS2:AS167)&gt;1),1,"")))</f>
        <v>1</v>
      </c>
      <c r="AV140" s="386" t="str">
        <f>IF(AT140=0,"",IF(AND(AT140=3,M140="F",SUMIF(C2:C167,C140,AS2:AS167)&lt;=1),SUMIF(C2:C167,C140,AS2:AS167),IF(AND(AT140=3,M140="F",SUMIF(C2:C167,C140,AS2:AS167)&gt;1),1,"")))</f>
        <v/>
      </c>
      <c r="AW140" s="386">
        <f>SUMIF(C2:C167,C140,O2:O167)</f>
        <v>1</v>
      </c>
      <c r="AX140" s="386">
        <f>IF(AND(M140="F",AS140&lt;&gt;0),SUMIF(C2:C167,C140,W2:W167),0)</f>
        <v>93412.800000000003</v>
      </c>
      <c r="AY140" s="386">
        <f t="shared" si="171"/>
        <v>93412.800000000003</v>
      </c>
      <c r="AZ140" s="386" t="str">
        <f t="shared" si="172"/>
        <v/>
      </c>
      <c r="BA140" s="386">
        <f t="shared" si="173"/>
        <v>0</v>
      </c>
      <c r="BB140" s="386">
        <f t="shared" si="142"/>
        <v>11650</v>
      </c>
      <c r="BC140" s="386">
        <f t="shared" si="143"/>
        <v>0</v>
      </c>
      <c r="BD140" s="386">
        <f t="shared" si="144"/>
        <v>5791.5936000000002</v>
      </c>
      <c r="BE140" s="386">
        <f t="shared" si="145"/>
        <v>1354.4856000000002</v>
      </c>
      <c r="BF140" s="386">
        <f t="shared" si="146"/>
        <v>11153.48832</v>
      </c>
      <c r="BG140" s="386">
        <f t="shared" si="147"/>
        <v>673.50628800000004</v>
      </c>
      <c r="BH140" s="386">
        <f t="shared" si="148"/>
        <v>457.72271999999998</v>
      </c>
      <c r="BI140" s="386">
        <f t="shared" si="149"/>
        <v>0</v>
      </c>
      <c r="BJ140" s="386">
        <f t="shared" si="150"/>
        <v>196.16687999999999</v>
      </c>
      <c r="BK140" s="386">
        <f t="shared" si="151"/>
        <v>0</v>
      </c>
      <c r="BL140" s="386">
        <f t="shared" si="174"/>
        <v>19626.963408000003</v>
      </c>
      <c r="BM140" s="386">
        <f t="shared" si="175"/>
        <v>0</v>
      </c>
      <c r="BN140" s="386">
        <f t="shared" si="152"/>
        <v>11650</v>
      </c>
      <c r="BO140" s="386">
        <f t="shared" si="153"/>
        <v>0</v>
      </c>
      <c r="BP140" s="386">
        <f t="shared" si="154"/>
        <v>5791.5936000000002</v>
      </c>
      <c r="BQ140" s="386">
        <f t="shared" si="155"/>
        <v>1354.4856000000002</v>
      </c>
      <c r="BR140" s="386">
        <f t="shared" si="156"/>
        <v>11153.48832</v>
      </c>
      <c r="BS140" s="386">
        <f t="shared" si="157"/>
        <v>673.50628800000004</v>
      </c>
      <c r="BT140" s="386">
        <f t="shared" si="158"/>
        <v>0</v>
      </c>
      <c r="BU140" s="386">
        <f t="shared" si="159"/>
        <v>0</v>
      </c>
      <c r="BV140" s="386">
        <f t="shared" si="160"/>
        <v>168.14304000000001</v>
      </c>
      <c r="BW140" s="386">
        <f t="shared" si="161"/>
        <v>0</v>
      </c>
      <c r="BX140" s="386">
        <f t="shared" si="176"/>
        <v>19141.216848</v>
      </c>
      <c r="BY140" s="386">
        <f t="shared" si="177"/>
        <v>0</v>
      </c>
      <c r="BZ140" s="386">
        <f t="shared" si="178"/>
        <v>0</v>
      </c>
      <c r="CA140" s="386">
        <f t="shared" si="179"/>
        <v>0</v>
      </c>
      <c r="CB140" s="386">
        <f t="shared" si="180"/>
        <v>0</v>
      </c>
      <c r="CC140" s="386">
        <f t="shared" si="162"/>
        <v>0</v>
      </c>
      <c r="CD140" s="386">
        <f t="shared" si="163"/>
        <v>0</v>
      </c>
      <c r="CE140" s="386">
        <f t="shared" si="164"/>
        <v>0</v>
      </c>
      <c r="CF140" s="386">
        <f t="shared" si="165"/>
        <v>-457.72271999999998</v>
      </c>
      <c r="CG140" s="386">
        <f t="shared" si="166"/>
        <v>0</v>
      </c>
      <c r="CH140" s="386">
        <f t="shared" si="167"/>
        <v>-28.023839999999993</v>
      </c>
      <c r="CI140" s="386">
        <f t="shared" si="168"/>
        <v>0</v>
      </c>
      <c r="CJ140" s="386">
        <f t="shared" si="181"/>
        <v>-485.74655999999999</v>
      </c>
      <c r="CK140" s="386" t="str">
        <f t="shared" si="182"/>
        <v/>
      </c>
      <c r="CL140" s="386" t="str">
        <f t="shared" si="183"/>
        <v/>
      </c>
      <c r="CM140" s="386" t="str">
        <f t="shared" si="184"/>
        <v/>
      </c>
      <c r="CN140" s="386" t="str">
        <f t="shared" si="185"/>
        <v>0480-00</v>
      </c>
    </row>
    <row r="141" spans="1:92" ht="15.75" thickBot="1" x14ac:dyDescent="0.3">
      <c r="A141" s="376" t="s">
        <v>161</v>
      </c>
      <c r="B141" s="376" t="s">
        <v>162</v>
      </c>
      <c r="C141" s="376" t="s">
        <v>628</v>
      </c>
      <c r="D141" s="376" t="s">
        <v>629</v>
      </c>
      <c r="E141" s="376" t="s">
        <v>501</v>
      </c>
      <c r="F141" s="377" t="s">
        <v>166</v>
      </c>
      <c r="G141" s="376" t="s">
        <v>502</v>
      </c>
      <c r="H141" s="378"/>
      <c r="I141" s="378"/>
      <c r="J141" s="376" t="s">
        <v>168</v>
      </c>
      <c r="K141" s="376" t="s">
        <v>630</v>
      </c>
      <c r="L141" s="376" t="s">
        <v>516</v>
      </c>
      <c r="M141" s="376" t="s">
        <v>171</v>
      </c>
      <c r="N141" s="376" t="s">
        <v>172</v>
      </c>
      <c r="O141" s="379">
        <v>1</v>
      </c>
      <c r="P141" s="384">
        <v>1</v>
      </c>
      <c r="Q141" s="384">
        <v>1</v>
      </c>
      <c r="R141" s="380">
        <v>80</v>
      </c>
      <c r="S141" s="384">
        <v>1</v>
      </c>
      <c r="T141" s="380">
        <v>44419.199999999997</v>
      </c>
      <c r="U141" s="380">
        <v>0</v>
      </c>
      <c r="V141" s="380">
        <v>20005.150000000001</v>
      </c>
      <c r="W141" s="380">
        <v>44553.599999999999</v>
      </c>
      <c r="X141" s="380">
        <v>21011.13</v>
      </c>
      <c r="Y141" s="380">
        <v>44553.599999999999</v>
      </c>
      <c r="Z141" s="380">
        <v>20779.45</v>
      </c>
      <c r="AA141" s="376" t="s">
        <v>631</v>
      </c>
      <c r="AB141" s="376" t="s">
        <v>632</v>
      </c>
      <c r="AC141" s="376" t="s">
        <v>633</v>
      </c>
      <c r="AD141" s="376" t="s">
        <v>524</v>
      </c>
      <c r="AE141" s="376" t="s">
        <v>630</v>
      </c>
      <c r="AF141" s="376" t="s">
        <v>177</v>
      </c>
      <c r="AG141" s="376" t="s">
        <v>178</v>
      </c>
      <c r="AH141" s="381">
        <v>21.42</v>
      </c>
      <c r="AI141" s="381">
        <v>12340.8</v>
      </c>
      <c r="AJ141" s="376" t="s">
        <v>179</v>
      </c>
      <c r="AK141" s="376" t="s">
        <v>180</v>
      </c>
      <c r="AL141" s="376" t="s">
        <v>170</v>
      </c>
      <c r="AM141" s="376" t="s">
        <v>181</v>
      </c>
      <c r="AN141" s="376" t="s">
        <v>68</v>
      </c>
      <c r="AO141" s="379">
        <v>80</v>
      </c>
      <c r="AP141" s="384">
        <v>1</v>
      </c>
      <c r="AQ141" s="384">
        <v>1</v>
      </c>
      <c r="AR141" s="382" t="s">
        <v>182</v>
      </c>
      <c r="AS141" s="386">
        <f t="shared" si="169"/>
        <v>1</v>
      </c>
      <c r="AT141">
        <f t="shared" si="170"/>
        <v>1</v>
      </c>
      <c r="AU141" s="386">
        <f>IF(AT141=0,"",IF(AND(AT141=1,M141="F",SUMIF(C2:C167,C141,AS2:AS167)&lt;=1),SUMIF(C2:C167,C141,AS2:AS167),IF(AND(AT141=1,M141="F",SUMIF(C2:C167,C141,AS2:AS167)&gt;1),1,"")))</f>
        <v>1</v>
      </c>
      <c r="AV141" s="386" t="str">
        <f>IF(AT141=0,"",IF(AND(AT141=3,M141="F",SUMIF(C2:C167,C141,AS2:AS167)&lt;=1),SUMIF(C2:C167,C141,AS2:AS167),IF(AND(AT141=3,M141="F",SUMIF(C2:C167,C141,AS2:AS167)&gt;1),1,"")))</f>
        <v/>
      </c>
      <c r="AW141" s="386">
        <f>SUMIF(C2:C167,C141,O2:O167)</f>
        <v>1</v>
      </c>
      <c r="AX141" s="386">
        <f>IF(AND(M141="F",AS141&lt;&gt;0),SUMIF(C2:C167,C141,W2:W167),0)</f>
        <v>44553.599999999999</v>
      </c>
      <c r="AY141" s="386">
        <f t="shared" si="171"/>
        <v>44553.599999999999</v>
      </c>
      <c r="AZ141" s="386" t="str">
        <f t="shared" si="172"/>
        <v/>
      </c>
      <c r="BA141" s="386">
        <f t="shared" si="173"/>
        <v>0</v>
      </c>
      <c r="BB141" s="386">
        <f t="shared" si="142"/>
        <v>11650</v>
      </c>
      <c r="BC141" s="386">
        <f t="shared" si="143"/>
        <v>0</v>
      </c>
      <c r="BD141" s="386">
        <f t="shared" si="144"/>
        <v>2762.3231999999998</v>
      </c>
      <c r="BE141" s="386">
        <f t="shared" si="145"/>
        <v>646.02719999999999</v>
      </c>
      <c r="BF141" s="386">
        <f t="shared" si="146"/>
        <v>5319.6998400000002</v>
      </c>
      <c r="BG141" s="386">
        <f t="shared" si="147"/>
        <v>321.23145599999998</v>
      </c>
      <c r="BH141" s="386">
        <f t="shared" si="148"/>
        <v>218.31263999999999</v>
      </c>
      <c r="BI141" s="386">
        <f t="shared" si="149"/>
        <v>0</v>
      </c>
      <c r="BJ141" s="386">
        <f t="shared" si="150"/>
        <v>93.562559999999991</v>
      </c>
      <c r="BK141" s="386">
        <f t="shared" si="151"/>
        <v>0</v>
      </c>
      <c r="BL141" s="386">
        <f t="shared" si="174"/>
        <v>9361.1568960000004</v>
      </c>
      <c r="BM141" s="386">
        <f t="shared" si="175"/>
        <v>0</v>
      </c>
      <c r="BN141" s="386">
        <f t="shared" si="152"/>
        <v>11650</v>
      </c>
      <c r="BO141" s="386">
        <f t="shared" si="153"/>
        <v>0</v>
      </c>
      <c r="BP141" s="386">
        <f t="shared" si="154"/>
        <v>2762.3231999999998</v>
      </c>
      <c r="BQ141" s="386">
        <f t="shared" si="155"/>
        <v>646.02719999999999</v>
      </c>
      <c r="BR141" s="386">
        <f t="shared" si="156"/>
        <v>5319.6998400000002</v>
      </c>
      <c r="BS141" s="386">
        <f t="shared" si="157"/>
        <v>321.23145599999998</v>
      </c>
      <c r="BT141" s="386">
        <f t="shared" si="158"/>
        <v>0</v>
      </c>
      <c r="BU141" s="386">
        <f t="shared" si="159"/>
        <v>0</v>
      </c>
      <c r="BV141" s="386">
        <f t="shared" si="160"/>
        <v>80.196479999999994</v>
      </c>
      <c r="BW141" s="386">
        <f t="shared" si="161"/>
        <v>0</v>
      </c>
      <c r="BX141" s="386">
        <f t="shared" si="176"/>
        <v>9129.4781760000005</v>
      </c>
      <c r="BY141" s="386">
        <f t="shared" si="177"/>
        <v>0</v>
      </c>
      <c r="BZ141" s="386">
        <f t="shared" si="178"/>
        <v>0</v>
      </c>
      <c r="CA141" s="386">
        <f t="shared" si="179"/>
        <v>0</v>
      </c>
      <c r="CB141" s="386">
        <f t="shared" si="180"/>
        <v>0</v>
      </c>
      <c r="CC141" s="386">
        <f t="shared" si="162"/>
        <v>0</v>
      </c>
      <c r="CD141" s="386">
        <f t="shared" si="163"/>
        <v>0</v>
      </c>
      <c r="CE141" s="386">
        <f t="shared" si="164"/>
        <v>0</v>
      </c>
      <c r="CF141" s="386">
        <f t="shared" si="165"/>
        <v>-218.31263999999999</v>
      </c>
      <c r="CG141" s="386">
        <f t="shared" si="166"/>
        <v>0</v>
      </c>
      <c r="CH141" s="386">
        <f t="shared" si="167"/>
        <v>-13.366079999999997</v>
      </c>
      <c r="CI141" s="386">
        <f t="shared" si="168"/>
        <v>0</v>
      </c>
      <c r="CJ141" s="386">
        <f t="shared" si="181"/>
        <v>-231.67872</v>
      </c>
      <c r="CK141" s="386" t="str">
        <f t="shared" si="182"/>
        <v/>
      </c>
      <c r="CL141" s="386" t="str">
        <f t="shared" si="183"/>
        <v/>
      </c>
      <c r="CM141" s="386" t="str">
        <f t="shared" si="184"/>
        <v/>
      </c>
      <c r="CN141" s="386" t="str">
        <f t="shared" si="185"/>
        <v>0480-00</v>
      </c>
    </row>
    <row r="142" spans="1:92" ht="15.75" thickBot="1" x14ac:dyDescent="0.3">
      <c r="A142" s="376" t="s">
        <v>161</v>
      </c>
      <c r="B142" s="376" t="s">
        <v>162</v>
      </c>
      <c r="C142" s="376" t="s">
        <v>634</v>
      </c>
      <c r="D142" s="376" t="s">
        <v>635</v>
      </c>
      <c r="E142" s="376" t="s">
        <v>501</v>
      </c>
      <c r="F142" s="377" t="s">
        <v>166</v>
      </c>
      <c r="G142" s="376" t="s">
        <v>502</v>
      </c>
      <c r="H142" s="378"/>
      <c r="I142" s="378"/>
      <c r="J142" s="376" t="s">
        <v>168</v>
      </c>
      <c r="K142" s="376" t="s">
        <v>636</v>
      </c>
      <c r="L142" s="376" t="s">
        <v>166</v>
      </c>
      <c r="M142" s="376" t="s">
        <v>171</v>
      </c>
      <c r="N142" s="376" t="s">
        <v>172</v>
      </c>
      <c r="O142" s="379">
        <v>1</v>
      </c>
      <c r="P142" s="384">
        <v>1</v>
      </c>
      <c r="Q142" s="384">
        <v>1</v>
      </c>
      <c r="R142" s="380">
        <v>80</v>
      </c>
      <c r="S142" s="384">
        <v>1</v>
      </c>
      <c r="T142" s="380">
        <v>58126.99</v>
      </c>
      <c r="U142" s="380">
        <v>0</v>
      </c>
      <c r="V142" s="380">
        <v>23136.09</v>
      </c>
      <c r="W142" s="380">
        <v>58697.599999999999</v>
      </c>
      <c r="X142" s="380">
        <v>23982.92</v>
      </c>
      <c r="Y142" s="380">
        <v>58697.599999999999</v>
      </c>
      <c r="Z142" s="380">
        <v>23677.7</v>
      </c>
      <c r="AA142" s="376" t="s">
        <v>637</v>
      </c>
      <c r="AB142" s="376" t="s">
        <v>638</v>
      </c>
      <c r="AC142" s="376" t="s">
        <v>639</v>
      </c>
      <c r="AD142" s="376" t="s">
        <v>298</v>
      </c>
      <c r="AE142" s="376" t="s">
        <v>636</v>
      </c>
      <c r="AF142" s="376" t="s">
        <v>177</v>
      </c>
      <c r="AG142" s="376" t="s">
        <v>178</v>
      </c>
      <c r="AH142" s="381">
        <v>28.22</v>
      </c>
      <c r="AI142" s="381">
        <v>23573.8</v>
      </c>
      <c r="AJ142" s="376" t="s">
        <v>179</v>
      </c>
      <c r="AK142" s="376" t="s">
        <v>180</v>
      </c>
      <c r="AL142" s="376" t="s">
        <v>170</v>
      </c>
      <c r="AM142" s="376" t="s">
        <v>181</v>
      </c>
      <c r="AN142" s="376" t="s">
        <v>68</v>
      </c>
      <c r="AO142" s="379">
        <v>80</v>
      </c>
      <c r="AP142" s="384">
        <v>1</v>
      </c>
      <c r="AQ142" s="384">
        <v>1</v>
      </c>
      <c r="AR142" s="382" t="s">
        <v>182</v>
      </c>
      <c r="AS142" s="386">
        <f t="shared" si="169"/>
        <v>1</v>
      </c>
      <c r="AT142">
        <f t="shared" si="170"/>
        <v>1</v>
      </c>
      <c r="AU142" s="386">
        <f>IF(AT142=0,"",IF(AND(AT142=1,M142="F",SUMIF(C2:C167,C142,AS2:AS167)&lt;=1),SUMIF(C2:C167,C142,AS2:AS167),IF(AND(AT142=1,M142="F",SUMIF(C2:C167,C142,AS2:AS167)&gt;1),1,"")))</f>
        <v>1</v>
      </c>
      <c r="AV142" s="386" t="str">
        <f>IF(AT142=0,"",IF(AND(AT142=3,M142="F",SUMIF(C2:C167,C142,AS2:AS167)&lt;=1),SUMIF(C2:C167,C142,AS2:AS167),IF(AND(AT142=3,M142="F",SUMIF(C2:C167,C142,AS2:AS167)&gt;1),1,"")))</f>
        <v/>
      </c>
      <c r="AW142" s="386">
        <f>SUMIF(C2:C167,C142,O2:O167)</f>
        <v>1</v>
      </c>
      <c r="AX142" s="386">
        <f>IF(AND(M142="F",AS142&lt;&gt;0),SUMIF(C2:C167,C142,W2:W167),0)</f>
        <v>58697.599999999999</v>
      </c>
      <c r="AY142" s="386">
        <f t="shared" si="171"/>
        <v>58697.599999999999</v>
      </c>
      <c r="AZ142" s="386" t="str">
        <f t="shared" si="172"/>
        <v/>
      </c>
      <c r="BA142" s="386">
        <f t="shared" si="173"/>
        <v>0</v>
      </c>
      <c r="BB142" s="386">
        <f t="shared" si="142"/>
        <v>11650</v>
      </c>
      <c r="BC142" s="386">
        <f t="shared" si="143"/>
        <v>0</v>
      </c>
      <c r="BD142" s="386">
        <f t="shared" si="144"/>
        <v>3639.2511999999997</v>
      </c>
      <c r="BE142" s="386">
        <f t="shared" si="145"/>
        <v>851.11520000000007</v>
      </c>
      <c r="BF142" s="386">
        <f t="shared" si="146"/>
        <v>7008.4934400000002</v>
      </c>
      <c r="BG142" s="386">
        <f t="shared" si="147"/>
        <v>423.20969600000001</v>
      </c>
      <c r="BH142" s="386">
        <f t="shared" si="148"/>
        <v>287.61823999999996</v>
      </c>
      <c r="BI142" s="386">
        <f t="shared" si="149"/>
        <v>0</v>
      </c>
      <c r="BJ142" s="386">
        <f t="shared" si="150"/>
        <v>123.26495999999999</v>
      </c>
      <c r="BK142" s="386">
        <f t="shared" si="151"/>
        <v>0</v>
      </c>
      <c r="BL142" s="386">
        <f t="shared" si="174"/>
        <v>12332.952736000001</v>
      </c>
      <c r="BM142" s="386">
        <f t="shared" si="175"/>
        <v>0</v>
      </c>
      <c r="BN142" s="386">
        <f t="shared" si="152"/>
        <v>11650</v>
      </c>
      <c r="BO142" s="386">
        <f t="shared" si="153"/>
        <v>0</v>
      </c>
      <c r="BP142" s="386">
        <f t="shared" si="154"/>
        <v>3639.2511999999997</v>
      </c>
      <c r="BQ142" s="386">
        <f t="shared" si="155"/>
        <v>851.11520000000007</v>
      </c>
      <c r="BR142" s="386">
        <f t="shared" si="156"/>
        <v>7008.4934400000002</v>
      </c>
      <c r="BS142" s="386">
        <f t="shared" si="157"/>
        <v>423.20969600000001</v>
      </c>
      <c r="BT142" s="386">
        <f t="shared" si="158"/>
        <v>0</v>
      </c>
      <c r="BU142" s="386">
        <f t="shared" si="159"/>
        <v>0</v>
      </c>
      <c r="BV142" s="386">
        <f t="shared" si="160"/>
        <v>105.65567999999999</v>
      </c>
      <c r="BW142" s="386">
        <f t="shared" si="161"/>
        <v>0</v>
      </c>
      <c r="BX142" s="386">
        <f t="shared" si="176"/>
        <v>12027.725216000001</v>
      </c>
      <c r="BY142" s="386">
        <f t="shared" si="177"/>
        <v>0</v>
      </c>
      <c r="BZ142" s="386">
        <f t="shared" si="178"/>
        <v>0</v>
      </c>
      <c r="CA142" s="386">
        <f t="shared" si="179"/>
        <v>0</v>
      </c>
      <c r="CB142" s="386">
        <f t="shared" si="180"/>
        <v>0</v>
      </c>
      <c r="CC142" s="386">
        <f t="shared" si="162"/>
        <v>0</v>
      </c>
      <c r="CD142" s="386">
        <f t="shared" si="163"/>
        <v>0</v>
      </c>
      <c r="CE142" s="386">
        <f t="shared" si="164"/>
        <v>0</v>
      </c>
      <c r="CF142" s="386">
        <f t="shared" si="165"/>
        <v>-287.61823999999996</v>
      </c>
      <c r="CG142" s="386">
        <f t="shared" si="166"/>
        <v>0</v>
      </c>
      <c r="CH142" s="386">
        <f t="shared" si="167"/>
        <v>-17.609279999999995</v>
      </c>
      <c r="CI142" s="386">
        <f t="shared" si="168"/>
        <v>0</v>
      </c>
      <c r="CJ142" s="386">
        <f t="shared" si="181"/>
        <v>-305.22751999999997</v>
      </c>
      <c r="CK142" s="386" t="str">
        <f t="shared" si="182"/>
        <v/>
      </c>
      <c r="CL142" s="386" t="str">
        <f t="shared" si="183"/>
        <v/>
      </c>
      <c r="CM142" s="386" t="str">
        <f t="shared" si="184"/>
        <v/>
      </c>
      <c r="CN142" s="386" t="str">
        <f t="shared" si="185"/>
        <v>0480-00</v>
      </c>
    </row>
    <row r="143" spans="1:92" ht="15.75" thickBot="1" x14ac:dyDescent="0.3">
      <c r="A143" s="376" t="s">
        <v>161</v>
      </c>
      <c r="B143" s="376" t="s">
        <v>162</v>
      </c>
      <c r="C143" s="376" t="s">
        <v>640</v>
      </c>
      <c r="D143" s="376" t="s">
        <v>641</v>
      </c>
      <c r="E143" s="376" t="s">
        <v>501</v>
      </c>
      <c r="F143" s="377" t="s">
        <v>166</v>
      </c>
      <c r="G143" s="376" t="s">
        <v>502</v>
      </c>
      <c r="H143" s="378"/>
      <c r="I143" s="378"/>
      <c r="J143" s="376" t="s">
        <v>168</v>
      </c>
      <c r="K143" s="376" t="s">
        <v>642</v>
      </c>
      <c r="L143" s="376" t="s">
        <v>166</v>
      </c>
      <c r="M143" s="376" t="s">
        <v>171</v>
      </c>
      <c r="N143" s="376" t="s">
        <v>172</v>
      </c>
      <c r="O143" s="379">
        <v>1</v>
      </c>
      <c r="P143" s="384">
        <v>1</v>
      </c>
      <c r="Q143" s="384">
        <v>1</v>
      </c>
      <c r="R143" s="380">
        <v>80</v>
      </c>
      <c r="S143" s="384">
        <v>1</v>
      </c>
      <c r="T143" s="380">
        <v>110745.33</v>
      </c>
      <c r="U143" s="380">
        <v>0</v>
      </c>
      <c r="V143" s="380">
        <v>34031.660000000003</v>
      </c>
      <c r="W143" s="380">
        <v>109990.39999999999</v>
      </c>
      <c r="X143" s="380">
        <v>34760.06</v>
      </c>
      <c r="Y143" s="380">
        <v>109990.39999999999</v>
      </c>
      <c r="Z143" s="380">
        <v>34188.120000000003</v>
      </c>
      <c r="AA143" s="376" t="s">
        <v>643</v>
      </c>
      <c r="AB143" s="376" t="s">
        <v>644</v>
      </c>
      <c r="AC143" s="376" t="s">
        <v>197</v>
      </c>
      <c r="AD143" s="376" t="s">
        <v>403</v>
      </c>
      <c r="AE143" s="376" t="s">
        <v>642</v>
      </c>
      <c r="AF143" s="376" t="s">
        <v>177</v>
      </c>
      <c r="AG143" s="376" t="s">
        <v>178</v>
      </c>
      <c r="AH143" s="381">
        <v>52.88</v>
      </c>
      <c r="AI143" s="381">
        <v>28857.5</v>
      </c>
      <c r="AJ143" s="376" t="s">
        <v>179</v>
      </c>
      <c r="AK143" s="376" t="s">
        <v>180</v>
      </c>
      <c r="AL143" s="376" t="s">
        <v>170</v>
      </c>
      <c r="AM143" s="376" t="s">
        <v>181</v>
      </c>
      <c r="AN143" s="376" t="s">
        <v>68</v>
      </c>
      <c r="AO143" s="379">
        <v>80</v>
      </c>
      <c r="AP143" s="384">
        <v>1</v>
      </c>
      <c r="AQ143" s="384">
        <v>1</v>
      </c>
      <c r="AR143" s="382" t="s">
        <v>182</v>
      </c>
      <c r="AS143" s="386">
        <f t="shared" si="169"/>
        <v>1</v>
      </c>
      <c r="AT143">
        <f t="shared" si="170"/>
        <v>1</v>
      </c>
      <c r="AU143" s="386">
        <f>IF(AT143=0,"",IF(AND(AT143=1,M143="F",SUMIF(C2:C167,C143,AS2:AS167)&lt;=1),SUMIF(C2:C167,C143,AS2:AS167),IF(AND(AT143=1,M143="F",SUMIF(C2:C167,C143,AS2:AS167)&gt;1),1,"")))</f>
        <v>1</v>
      </c>
      <c r="AV143" s="386" t="str">
        <f>IF(AT143=0,"",IF(AND(AT143=3,M143="F",SUMIF(C2:C167,C143,AS2:AS167)&lt;=1),SUMIF(C2:C167,C143,AS2:AS167),IF(AND(AT143=3,M143="F",SUMIF(C2:C167,C143,AS2:AS167)&gt;1),1,"")))</f>
        <v/>
      </c>
      <c r="AW143" s="386">
        <f>SUMIF(C2:C167,C143,O2:O167)</f>
        <v>1</v>
      </c>
      <c r="AX143" s="386">
        <f>IF(AND(M143="F",AS143&lt;&gt;0),SUMIF(C2:C167,C143,W2:W167),0)</f>
        <v>109990.39999999999</v>
      </c>
      <c r="AY143" s="386">
        <f t="shared" si="171"/>
        <v>109990.39999999999</v>
      </c>
      <c r="AZ143" s="386" t="str">
        <f t="shared" si="172"/>
        <v/>
      </c>
      <c r="BA143" s="386">
        <f t="shared" si="173"/>
        <v>0</v>
      </c>
      <c r="BB143" s="386">
        <f t="shared" si="142"/>
        <v>11650</v>
      </c>
      <c r="BC143" s="386">
        <f t="shared" si="143"/>
        <v>0</v>
      </c>
      <c r="BD143" s="386">
        <f t="shared" si="144"/>
        <v>6819.4047999999993</v>
      </c>
      <c r="BE143" s="386">
        <f t="shared" si="145"/>
        <v>1594.8607999999999</v>
      </c>
      <c r="BF143" s="386">
        <f t="shared" si="146"/>
        <v>13132.85376</v>
      </c>
      <c r="BG143" s="386">
        <f t="shared" si="147"/>
        <v>793.03078400000004</v>
      </c>
      <c r="BH143" s="386">
        <f t="shared" si="148"/>
        <v>538.95295999999996</v>
      </c>
      <c r="BI143" s="386">
        <f t="shared" si="149"/>
        <v>0</v>
      </c>
      <c r="BJ143" s="386">
        <f t="shared" si="150"/>
        <v>230.97983999999997</v>
      </c>
      <c r="BK143" s="386">
        <f t="shared" si="151"/>
        <v>0</v>
      </c>
      <c r="BL143" s="386">
        <f t="shared" si="174"/>
        <v>23110.082943999994</v>
      </c>
      <c r="BM143" s="386">
        <f t="shared" si="175"/>
        <v>0</v>
      </c>
      <c r="BN143" s="386">
        <f t="shared" si="152"/>
        <v>11650</v>
      </c>
      <c r="BO143" s="386">
        <f t="shared" si="153"/>
        <v>0</v>
      </c>
      <c r="BP143" s="386">
        <f t="shared" si="154"/>
        <v>6819.4047999999993</v>
      </c>
      <c r="BQ143" s="386">
        <f t="shared" si="155"/>
        <v>1594.8607999999999</v>
      </c>
      <c r="BR143" s="386">
        <f t="shared" si="156"/>
        <v>13132.85376</v>
      </c>
      <c r="BS143" s="386">
        <f t="shared" si="157"/>
        <v>793.03078400000004</v>
      </c>
      <c r="BT143" s="386">
        <f t="shared" si="158"/>
        <v>0</v>
      </c>
      <c r="BU143" s="386">
        <f t="shared" si="159"/>
        <v>0</v>
      </c>
      <c r="BV143" s="386">
        <f t="shared" si="160"/>
        <v>197.98271999999997</v>
      </c>
      <c r="BW143" s="386">
        <f t="shared" si="161"/>
        <v>0</v>
      </c>
      <c r="BX143" s="386">
        <f t="shared" si="176"/>
        <v>22538.132863999996</v>
      </c>
      <c r="BY143" s="386">
        <f t="shared" si="177"/>
        <v>0</v>
      </c>
      <c r="BZ143" s="386">
        <f t="shared" si="178"/>
        <v>0</v>
      </c>
      <c r="CA143" s="386">
        <f t="shared" si="179"/>
        <v>0</v>
      </c>
      <c r="CB143" s="386">
        <f t="shared" si="180"/>
        <v>0</v>
      </c>
      <c r="CC143" s="386">
        <f t="shared" si="162"/>
        <v>0</v>
      </c>
      <c r="CD143" s="386">
        <f t="shared" si="163"/>
        <v>0</v>
      </c>
      <c r="CE143" s="386">
        <f t="shared" si="164"/>
        <v>0</v>
      </c>
      <c r="CF143" s="386">
        <f t="shared" si="165"/>
        <v>-538.95295999999996</v>
      </c>
      <c r="CG143" s="386">
        <f t="shared" si="166"/>
        <v>0</v>
      </c>
      <c r="CH143" s="386">
        <f t="shared" si="167"/>
        <v>-32.997119999999988</v>
      </c>
      <c r="CI143" s="386">
        <f t="shared" si="168"/>
        <v>0</v>
      </c>
      <c r="CJ143" s="386">
        <f t="shared" si="181"/>
        <v>-571.95007999999996</v>
      </c>
      <c r="CK143" s="386" t="str">
        <f t="shared" si="182"/>
        <v/>
      </c>
      <c r="CL143" s="386" t="str">
        <f t="shared" si="183"/>
        <v/>
      </c>
      <c r="CM143" s="386" t="str">
        <f t="shared" si="184"/>
        <v/>
      </c>
      <c r="CN143" s="386" t="str">
        <f t="shared" si="185"/>
        <v>0480-00</v>
      </c>
    </row>
    <row r="144" spans="1:92" ht="15.75" thickBot="1" x14ac:dyDescent="0.3">
      <c r="A144" s="376" t="s">
        <v>161</v>
      </c>
      <c r="B144" s="376" t="s">
        <v>162</v>
      </c>
      <c r="C144" s="376" t="s">
        <v>645</v>
      </c>
      <c r="D144" s="376" t="s">
        <v>438</v>
      </c>
      <c r="E144" s="376" t="s">
        <v>501</v>
      </c>
      <c r="F144" s="377" t="s">
        <v>166</v>
      </c>
      <c r="G144" s="376" t="s">
        <v>502</v>
      </c>
      <c r="H144" s="378"/>
      <c r="I144" s="378"/>
      <c r="J144" s="376" t="s">
        <v>168</v>
      </c>
      <c r="K144" s="376" t="s">
        <v>596</v>
      </c>
      <c r="L144" s="376" t="s">
        <v>289</v>
      </c>
      <c r="M144" s="376" t="s">
        <v>171</v>
      </c>
      <c r="N144" s="376" t="s">
        <v>172</v>
      </c>
      <c r="O144" s="379">
        <v>1</v>
      </c>
      <c r="P144" s="384">
        <v>1</v>
      </c>
      <c r="Q144" s="384">
        <v>1</v>
      </c>
      <c r="R144" s="380">
        <v>80</v>
      </c>
      <c r="S144" s="384">
        <v>1</v>
      </c>
      <c r="T144" s="380">
        <v>74511.520000000004</v>
      </c>
      <c r="U144" s="380">
        <v>0</v>
      </c>
      <c r="V144" s="380">
        <v>26596.91</v>
      </c>
      <c r="W144" s="380">
        <v>71572.800000000003</v>
      </c>
      <c r="X144" s="380">
        <v>26688.13</v>
      </c>
      <c r="Y144" s="380">
        <v>71572.800000000003</v>
      </c>
      <c r="Z144" s="380">
        <v>26315.96</v>
      </c>
      <c r="AA144" s="376" t="s">
        <v>646</v>
      </c>
      <c r="AB144" s="376" t="s">
        <v>647</v>
      </c>
      <c r="AC144" s="376" t="s">
        <v>648</v>
      </c>
      <c r="AD144" s="376" t="s">
        <v>176</v>
      </c>
      <c r="AE144" s="376" t="s">
        <v>596</v>
      </c>
      <c r="AF144" s="376" t="s">
        <v>177</v>
      </c>
      <c r="AG144" s="376" t="s">
        <v>178</v>
      </c>
      <c r="AH144" s="381">
        <v>34.409999999999997</v>
      </c>
      <c r="AI144" s="381">
        <v>28974.1</v>
      </c>
      <c r="AJ144" s="376" t="s">
        <v>179</v>
      </c>
      <c r="AK144" s="376" t="s">
        <v>180</v>
      </c>
      <c r="AL144" s="376" t="s">
        <v>170</v>
      </c>
      <c r="AM144" s="376" t="s">
        <v>181</v>
      </c>
      <c r="AN144" s="376" t="s">
        <v>68</v>
      </c>
      <c r="AO144" s="379">
        <v>80</v>
      </c>
      <c r="AP144" s="384">
        <v>1</v>
      </c>
      <c r="AQ144" s="384">
        <v>1</v>
      </c>
      <c r="AR144" s="382" t="s">
        <v>182</v>
      </c>
      <c r="AS144" s="386">
        <f t="shared" si="169"/>
        <v>1</v>
      </c>
      <c r="AT144">
        <f t="shared" si="170"/>
        <v>1</v>
      </c>
      <c r="AU144" s="386">
        <f>IF(AT144=0,"",IF(AND(AT144=1,M144="F",SUMIF(C2:C167,C144,AS2:AS167)&lt;=1),SUMIF(C2:C167,C144,AS2:AS167),IF(AND(AT144=1,M144="F",SUMIF(C2:C167,C144,AS2:AS167)&gt;1),1,"")))</f>
        <v>1</v>
      </c>
      <c r="AV144" s="386" t="str">
        <f>IF(AT144=0,"",IF(AND(AT144=3,M144="F",SUMIF(C2:C167,C144,AS2:AS167)&lt;=1),SUMIF(C2:C167,C144,AS2:AS167),IF(AND(AT144=3,M144="F",SUMIF(C2:C167,C144,AS2:AS167)&gt;1),1,"")))</f>
        <v/>
      </c>
      <c r="AW144" s="386">
        <f>SUMIF(C2:C167,C144,O2:O167)</f>
        <v>1</v>
      </c>
      <c r="AX144" s="386">
        <f>IF(AND(M144="F",AS144&lt;&gt;0),SUMIF(C2:C167,C144,W2:W167),0)</f>
        <v>71572.800000000003</v>
      </c>
      <c r="AY144" s="386">
        <f t="shared" si="171"/>
        <v>71572.800000000003</v>
      </c>
      <c r="AZ144" s="386" t="str">
        <f t="shared" si="172"/>
        <v/>
      </c>
      <c r="BA144" s="386">
        <f t="shared" si="173"/>
        <v>0</v>
      </c>
      <c r="BB144" s="386">
        <f t="shared" si="142"/>
        <v>11650</v>
      </c>
      <c r="BC144" s="386">
        <f t="shared" si="143"/>
        <v>0</v>
      </c>
      <c r="BD144" s="386">
        <f t="shared" si="144"/>
        <v>4437.5136000000002</v>
      </c>
      <c r="BE144" s="386">
        <f t="shared" si="145"/>
        <v>1037.8056000000001</v>
      </c>
      <c r="BF144" s="386">
        <f t="shared" si="146"/>
        <v>8545.7923200000005</v>
      </c>
      <c r="BG144" s="386">
        <f t="shared" si="147"/>
        <v>516.03988800000002</v>
      </c>
      <c r="BH144" s="386">
        <f t="shared" si="148"/>
        <v>350.70672000000002</v>
      </c>
      <c r="BI144" s="386">
        <f t="shared" si="149"/>
        <v>0</v>
      </c>
      <c r="BJ144" s="386">
        <f t="shared" si="150"/>
        <v>150.30287999999999</v>
      </c>
      <c r="BK144" s="386">
        <f t="shared" si="151"/>
        <v>0</v>
      </c>
      <c r="BL144" s="386">
        <f t="shared" si="174"/>
        <v>15038.161007999999</v>
      </c>
      <c r="BM144" s="386">
        <f t="shared" si="175"/>
        <v>0</v>
      </c>
      <c r="BN144" s="386">
        <f t="shared" si="152"/>
        <v>11650</v>
      </c>
      <c r="BO144" s="386">
        <f t="shared" si="153"/>
        <v>0</v>
      </c>
      <c r="BP144" s="386">
        <f t="shared" si="154"/>
        <v>4437.5136000000002</v>
      </c>
      <c r="BQ144" s="386">
        <f t="shared" si="155"/>
        <v>1037.8056000000001</v>
      </c>
      <c r="BR144" s="386">
        <f t="shared" si="156"/>
        <v>8545.7923200000005</v>
      </c>
      <c r="BS144" s="386">
        <f t="shared" si="157"/>
        <v>516.03988800000002</v>
      </c>
      <c r="BT144" s="386">
        <f t="shared" si="158"/>
        <v>0</v>
      </c>
      <c r="BU144" s="386">
        <f t="shared" si="159"/>
        <v>0</v>
      </c>
      <c r="BV144" s="386">
        <f t="shared" si="160"/>
        <v>128.83104</v>
      </c>
      <c r="BW144" s="386">
        <f t="shared" si="161"/>
        <v>0</v>
      </c>
      <c r="BX144" s="386">
        <f t="shared" si="176"/>
        <v>14665.982447999999</v>
      </c>
      <c r="BY144" s="386">
        <f t="shared" si="177"/>
        <v>0</v>
      </c>
      <c r="BZ144" s="386">
        <f t="shared" si="178"/>
        <v>0</v>
      </c>
      <c r="CA144" s="386">
        <f t="shared" si="179"/>
        <v>0</v>
      </c>
      <c r="CB144" s="386">
        <f t="shared" si="180"/>
        <v>0</v>
      </c>
      <c r="CC144" s="386">
        <f t="shared" si="162"/>
        <v>0</v>
      </c>
      <c r="CD144" s="386">
        <f t="shared" si="163"/>
        <v>0</v>
      </c>
      <c r="CE144" s="386">
        <f t="shared" si="164"/>
        <v>0</v>
      </c>
      <c r="CF144" s="386">
        <f t="shared" si="165"/>
        <v>-350.70672000000002</v>
      </c>
      <c r="CG144" s="386">
        <f t="shared" si="166"/>
        <v>0</v>
      </c>
      <c r="CH144" s="386">
        <f t="shared" si="167"/>
        <v>-21.471839999999997</v>
      </c>
      <c r="CI144" s="386">
        <f t="shared" si="168"/>
        <v>0</v>
      </c>
      <c r="CJ144" s="386">
        <f t="shared" si="181"/>
        <v>-372.17856</v>
      </c>
      <c r="CK144" s="386" t="str">
        <f t="shared" si="182"/>
        <v/>
      </c>
      <c r="CL144" s="386" t="str">
        <f t="shared" si="183"/>
        <v/>
      </c>
      <c r="CM144" s="386" t="str">
        <f t="shared" si="184"/>
        <v/>
      </c>
      <c r="CN144" s="386" t="str">
        <f t="shared" si="185"/>
        <v>0480-00</v>
      </c>
    </row>
    <row r="145" spans="1:92" ht="15.75" thickBot="1" x14ac:dyDescent="0.3">
      <c r="A145" s="376" t="s">
        <v>161</v>
      </c>
      <c r="B145" s="376" t="s">
        <v>162</v>
      </c>
      <c r="C145" s="376" t="s">
        <v>649</v>
      </c>
      <c r="D145" s="376" t="s">
        <v>438</v>
      </c>
      <c r="E145" s="376" t="s">
        <v>501</v>
      </c>
      <c r="F145" s="377" t="s">
        <v>166</v>
      </c>
      <c r="G145" s="376" t="s">
        <v>502</v>
      </c>
      <c r="H145" s="378"/>
      <c r="I145" s="378"/>
      <c r="J145" s="376" t="s">
        <v>168</v>
      </c>
      <c r="K145" s="376" t="s">
        <v>601</v>
      </c>
      <c r="L145" s="376" t="s">
        <v>304</v>
      </c>
      <c r="M145" s="376" t="s">
        <v>171</v>
      </c>
      <c r="N145" s="376" t="s">
        <v>172</v>
      </c>
      <c r="O145" s="379">
        <v>1</v>
      </c>
      <c r="P145" s="384">
        <v>1</v>
      </c>
      <c r="Q145" s="384">
        <v>1</v>
      </c>
      <c r="R145" s="380">
        <v>80</v>
      </c>
      <c r="S145" s="384">
        <v>1</v>
      </c>
      <c r="T145" s="380">
        <v>59551.75</v>
      </c>
      <c r="U145" s="380">
        <v>0</v>
      </c>
      <c r="V145" s="380">
        <v>23740.81</v>
      </c>
      <c r="W145" s="380">
        <v>58843.199999999997</v>
      </c>
      <c r="X145" s="380">
        <v>24013.51</v>
      </c>
      <c r="Y145" s="380">
        <v>58843.199999999997</v>
      </c>
      <c r="Z145" s="380">
        <v>23707.52</v>
      </c>
      <c r="AA145" s="376" t="s">
        <v>650</v>
      </c>
      <c r="AB145" s="376" t="s">
        <v>651</v>
      </c>
      <c r="AC145" s="376" t="s">
        <v>652</v>
      </c>
      <c r="AD145" s="376" t="s">
        <v>653</v>
      </c>
      <c r="AE145" s="376" t="s">
        <v>601</v>
      </c>
      <c r="AF145" s="376" t="s">
        <v>177</v>
      </c>
      <c r="AG145" s="376" t="s">
        <v>178</v>
      </c>
      <c r="AH145" s="381">
        <v>28.29</v>
      </c>
      <c r="AI145" s="381">
        <v>23881.7</v>
      </c>
      <c r="AJ145" s="376" t="s">
        <v>179</v>
      </c>
      <c r="AK145" s="376" t="s">
        <v>180</v>
      </c>
      <c r="AL145" s="376" t="s">
        <v>170</v>
      </c>
      <c r="AM145" s="376" t="s">
        <v>181</v>
      </c>
      <c r="AN145" s="376" t="s">
        <v>68</v>
      </c>
      <c r="AO145" s="379">
        <v>80</v>
      </c>
      <c r="AP145" s="384">
        <v>1</v>
      </c>
      <c r="AQ145" s="384">
        <v>1</v>
      </c>
      <c r="AR145" s="382" t="s">
        <v>182</v>
      </c>
      <c r="AS145" s="386">
        <f t="shared" si="169"/>
        <v>1</v>
      </c>
      <c r="AT145">
        <f t="shared" si="170"/>
        <v>1</v>
      </c>
      <c r="AU145" s="386">
        <f>IF(AT145=0,"",IF(AND(AT145=1,M145="F",SUMIF(C2:C167,C145,AS2:AS167)&lt;=1),SUMIF(C2:C167,C145,AS2:AS167),IF(AND(AT145=1,M145="F",SUMIF(C2:C167,C145,AS2:AS167)&gt;1),1,"")))</f>
        <v>1</v>
      </c>
      <c r="AV145" s="386" t="str">
        <f>IF(AT145=0,"",IF(AND(AT145=3,M145="F",SUMIF(C2:C167,C145,AS2:AS167)&lt;=1),SUMIF(C2:C167,C145,AS2:AS167),IF(AND(AT145=3,M145="F",SUMIF(C2:C167,C145,AS2:AS167)&gt;1),1,"")))</f>
        <v/>
      </c>
      <c r="AW145" s="386">
        <f>SUMIF(C2:C167,C145,O2:O167)</f>
        <v>1</v>
      </c>
      <c r="AX145" s="386">
        <f>IF(AND(M145="F",AS145&lt;&gt;0),SUMIF(C2:C167,C145,W2:W167),0)</f>
        <v>58843.199999999997</v>
      </c>
      <c r="AY145" s="386">
        <f t="shared" si="171"/>
        <v>58843.199999999997</v>
      </c>
      <c r="AZ145" s="386" t="str">
        <f t="shared" si="172"/>
        <v/>
      </c>
      <c r="BA145" s="386">
        <f t="shared" si="173"/>
        <v>0</v>
      </c>
      <c r="BB145" s="386">
        <f t="shared" si="142"/>
        <v>11650</v>
      </c>
      <c r="BC145" s="386">
        <f t="shared" si="143"/>
        <v>0</v>
      </c>
      <c r="BD145" s="386">
        <f t="shared" si="144"/>
        <v>3648.2783999999997</v>
      </c>
      <c r="BE145" s="386">
        <f t="shared" si="145"/>
        <v>853.22640000000001</v>
      </c>
      <c r="BF145" s="386">
        <f t="shared" si="146"/>
        <v>7025.8780800000004</v>
      </c>
      <c r="BG145" s="386">
        <f t="shared" si="147"/>
        <v>424.25947200000002</v>
      </c>
      <c r="BH145" s="386">
        <f t="shared" si="148"/>
        <v>288.33167999999995</v>
      </c>
      <c r="BI145" s="386">
        <f t="shared" si="149"/>
        <v>0</v>
      </c>
      <c r="BJ145" s="386">
        <f t="shared" si="150"/>
        <v>123.57071999999998</v>
      </c>
      <c r="BK145" s="386">
        <f t="shared" si="151"/>
        <v>0</v>
      </c>
      <c r="BL145" s="386">
        <f t="shared" si="174"/>
        <v>12363.544752</v>
      </c>
      <c r="BM145" s="386">
        <f t="shared" si="175"/>
        <v>0</v>
      </c>
      <c r="BN145" s="386">
        <f t="shared" si="152"/>
        <v>11650</v>
      </c>
      <c r="BO145" s="386">
        <f t="shared" si="153"/>
        <v>0</v>
      </c>
      <c r="BP145" s="386">
        <f t="shared" si="154"/>
        <v>3648.2783999999997</v>
      </c>
      <c r="BQ145" s="386">
        <f t="shared" si="155"/>
        <v>853.22640000000001</v>
      </c>
      <c r="BR145" s="386">
        <f t="shared" si="156"/>
        <v>7025.8780800000004</v>
      </c>
      <c r="BS145" s="386">
        <f t="shared" si="157"/>
        <v>424.25947200000002</v>
      </c>
      <c r="BT145" s="386">
        <f t="shared" si="158"/>
        <v>0</v>
      </c>
      <c r="BU145" s="386">
        <f t="shared" si="159"/>
        <v>0</v>
      </c>
      <c r="BV145" s="386">
        <f t="shared" si="160"/>
        <v>105.91775999999999</v>
      </c>
      <c r="BW145" s="386">
        <f t="shared" si="161"/>
        <v>0</v>
      </c>
      <c r="BX145" s="386">
        <f t="shared" si="176"/>
        <v>12057.560112000001</v>
      </c>
      <c r="BY145" s="386">
        <f t="shared" si="177"/>
        <v>0</v>
      </c>
      <c r="BZ145" s="386">
        <f t="shared" si="178"/>
        <v>0</v>
      </c>
      <c r="CA145" s="386">
        <f t="shared" si="179"/>
        <v>0</v>
      </c>
      <c r="CB145" s="386">
        <f t="shared" si="180"/>
        <v>0</v>
      </c>
      <c r="CC145" s="386">
        <f t="shared" si="162"/>
        <v>0</v>
      </c>
      <c r="CD145" s="386">
        <f t="shared" si="163"/>
        <v>0</v>
      </c>
      <c r="CE145" s="386">
        <f t="shared" si="164"/>
        <v>0</v>
      </c>
      <c r="CF145" s="386">
        <f t="shared" si="165"/>
        <v>-288.33167999999995</v>
      </c>
      <c r="CG145" s="386">
        <f t="shared" si="166"/>
        <v>0</v>
      </c>
      <c r="CH145" s="386">
        <f t="shared" si="167"/>
        <v>-17.652959999999993</v>
      </c>
      <c r="CI145" s="386">
        <f t="shared" si="168"/>
        <v>0</v>
      </c>
      <c r="CJ145" s="386">
        <f t="shared" si="181"/>
        <v>-305.98463999999996</v>
      </c>
      <c r="CK145" s="386" t="str">
        <f t="shared" si="182"/>
        <v/>
      </c>
      <c r="CL145" s="386" t="str">
        <f t="shared" si="183"/>
        <v/>
      </c>
      <c r="CM145" s="386" t="str">
        <f t="shared" si="184"/>
        <v/>
      </c>
      <c r="CN145" s="386" t="str">
        <f t="shared" si="185"/>
        <v>0480-00</v>
      </c>
    </row>
    <row r="146" spans="1:92" ht="15.75" thickBot="1" x14ac:dyDescent="0.3">
      <c r="A146" s="376" t="s">
        <v>161</v>
      </c>
      <c r="B146" s="376" t="s">
        <v>162</v>
      </c>
      <c r="C146" s="376" t="s">
        <v>165</v>
      </c>
      <c r="D146" s="376" t="s">
        <v>213</v>
      </c>
      <c r="E146" s="376" t="s">
        <v>501</v>
      </c>
      <c r="F146" s="377" t="s">
        <v>166</v>
      </c>
      <c r="G146" s="376" t="s">
        <v>502</v>
      </c>
      <c r="H146" s="378"/>
      <c r="I146" s="378"/>
      <c r="J146" s="376" t="s">
        <v>168</v>
      </c>
      <c r="K146" s="376" t="s">
        <v>214</v>
      </c>
      <c r="L146" s="376" t="s">
        <v>166</v>
      </c>
      <c r="M146" s="376" t="s">
        <v>171</v>
      </c>
      <c r="N146" s="376" t="s">
        <v>172</v>
      </c>
      <c r="O146" s="379">
        <v>1</v>
      </c>
      <c r="P146" s="384">
        <v>1</v>
      </c>
      <c r="Q146" s="384">
        <v>1</v>
      </c>
      <c r="R146" s="380">
        <v>80</v>
      </c>
      <c r="S146" s="384">
        <v>1</v>
      </c>
      <c r="T146" s="380">
        <v>119732</v>
      </c>
      <c r="U146" s="380">
        <v>0</v>
      </c>
      <c r="V146" s="380">
        <v>35818.839999999997</v>
      </c>
      <c r="W146" s="380">
        <v>124758.39999999999</v>
      </c>
      <c r="X146" s="380">
        <v>37862.959999999999</v>
      </c>
      <c r="Y146" s="380">
        <v>124758.39999999999</v>
      </c>
      <c r="Z146" s="380">
        <v>37214.22</v>
      </c>
      <c r="AA146" s="376" t="s">
        <v>654</v>
      </c>
      <c r="AB146" s="376" t="s">
        <v>655</v>
      </c>
      <c r="AC146" s="376" t="s">
        <v>656</v>
      </c>
      <c r="AD146" s="376" t="s">
        <v>524</v>
      </c>
      <c r="AE146" s="376" t="s">
        <v>214</v>
      </c>
      <c r="AF146" s="376" t="s">
        <v>177</v>
      </c>
      <c r="AG146" s="376" t="s">
        <v>178</v>
      </c>
      <c r="AH146" s="381">
        <v>59.98</v>
      </c>
      <c r="AI146" s="379">
        <v>6880</v>
      </c>
      <c r="AJ146" s="376" t="s">
        <v>179</v>
      </c>
      <c r="AK146" s="376" t="s">
        <v>180</v>
      </c>
      <c r="AL146" s="376" t="s">
        <v>170</v>
      </c>
      <c r="AM146" s="376" t="s">
        <v>181</v>
      </c>
      <c r="AN146" s="376" t="s">
        <v>68</v>
      </c>
      <c r="AO146" s="379">
        <v>80</v>
      </c>
      <c r="AP146" s="384">
        <v>1</v>
      </c>
      <c r="AQ146" s="384">
        <v>1</v>
      </c>
      <c r="AR146" s="382" t="s">
        <v>182</v>
      </c>
      <c r="AS146" s="386">
        <f t="shared" si="169"/>
        <v>1</v>
      </c>
      <c r="AT146">
        <f t="shared" si="170"/>
        <v>1</v>
      </c>
      <c r="AU146" s="386">
        <f>IF(AT146=0,"",IF(AND(AT146=1,M146="F",SUMIF(C2:C167,C146,AS2:AS167)&lt;=1),SUMIF(C2:C167,C146,AS2:AS167),IF(AND(AT146=1,M146="F",SUMIF(C2:C167,C146,AS2:AS167)&gt;1),1,"")))</f>
        <v>1</v>
      </c>
      <c r="AV146" s="386" t="str">
        <f>IF(AT146=0,"",IF(AND(AT146=3,M146="F",SUMIF(C2:C167,C146,AS2:AS167)&lt;=1),SUMIF(C2:C167,C146,AS2:AS167),IF(AND(AT146=3,M146="F",SUMIF(C2:C167,C146,AS2:AS167)&gt;1),1,"")))</f>
        <v/>
      </c>
      <c r="AW146" s="386">
        <f>SUMIF(C2:C167,C146,O2:O167)</f>
        <v>1</v>
      </c>
      <c r="AX146" s="386">
        <f>IF(AND(M146="F",AS146&lt;&gt;0),SUMIF(C2:C167,C146,W2:W167),0)</f>
        <v>124758.39999999999</v>
      </c>
      <c r="AY146" s="386">
        <f t="shared" si="171"/>
        <v>124758.39999999999</v>
      </c>
      <c r="AZ146" s="386" t="str">
        <f t="shared" si="172"/>
        <v/>
      </c>
      <c r="BA146" s="386">
        <f t="shared" si="173"/>
        <v>0</v>
      </c>
      <c r="BB146" s="386">
        <f t="shared" si="142"/>
        <v>11650</v>
      </c>
      <c r="BC146" s="386">
        <f t="shared" si="143"/>
        <v>0</v>
      </c>
      <c r="BD146" s="386">
        <f t="shared" si="144"/>
        <v>7735.0207999999993</v>
      </c>
      <c r="BE146" s="386">
        <f t="shared" si="145"/>
        <v>1808.9967999999999</v>
      </c>
      <c r="BF146" s="386">
        <f t="shared" si="146"/>
        <v>14896.152959999999</v>
      </c>
      <c r="BG146" s="386">
        <f t="shared" si="147"/>
        <v>899.50806399999999</v>
      </c>
      <c r="BH146" s="386">
        <f t="shared" si="148"/>
        <v>611.31615999999997</v>
      </c>
      <c r="BI146" s="386">
        <f t="shared" si="149"/>
        <v>0</v>
      </c>
      <c r="BJ146" s="386">
        <f t="shared" si="150"/>
        <v>261.99263999999999</v>
      </c>
      <c r="BK146" s="386">
        <f t="shared" si="151"/>
        <v>0</v>
      </c>
      <c r="BL146" s="386">
        <f t="shared" si="174"/>
        <v>26212.987423999999</v>
      </c>
      <c r="BM146" s="386">
        <f t="shared" si="175"/>
        <v>0</v>
      </c>
      <c r="BN146" s="386">
        <f t="shared" si="152"/>
        <v>11650</v>
      </c>
      <c r="BO146" s="386">
        <f t="shared" si="153"/>
        <v>0</v>
      </c>
      <c r="BP146" s="386">
        <f t="shared" si="154"/>
        <v>7735.0207999999993</v>
      </c>
      <c r="BQ146" s="386">
        <f t="shared" si="155"/>
        <v>1808.9967999999999</v>
      </c>
      <c r="BR146" s="386">
        <f t="shared" si="156"/>
        <v>14896.152959999999</v>
      </c>
      <c r="BS146" s="386">
        <f t="shared" si="157"/>
        <v>899.50806399999999</v>
      </c>
      <c r="BT146" s="386">
        <f t="shared" si="158"/>
        <v>0</v>
      </c>
      <c r="BU146" s="386">
        <f t="shared" si="159"/>
        <v>0</v>
      </c>
      <c r="BV146" s="386">
        <f t="shared" si="160"/>
        <v>224.56511999999998</v>
      </c>
      <c r="BW146" s="386">
        <f t="shared" si="161"/>
        <v>0</v>
      </c>
      <c r="BX146" s="386">
        <f t="shared" si="176"/>
        <v>25564.243743999999</v>
      </c>
      <c r="BY146" s="386">
        <f t="shared" si="177"/>
        <v>0</v>
      </c>
      <c r="BZ146" s="386">
        <f t="shared" si="178"/>
        <v>0</v>
      </c>
      <c r="CA146" s="386">
        <f t="shared" si="179"/>
        <v>0</v>
      </c>
      <c r="CB146" s="386">
        <f t="shared" si="180"/>
        <v>0</v>
      </c>
      <c r="CC146" s="386">
        <f t="shared" si="162"/>
        <v>0</v>
      </c>
      <c r="CD146" s="386">
        <f t="shared" si="163"/>
        <v>0</v>
      </c>
      <c r="CE146" s="386">
        <f t="shared" si="164"/>
        <v>0</v>
      </c>
      <c r="CF146" s="386">
        <f t="shared" si="165"/>
        <v>-611.31615999999997</v>
      </c>
      <c r="CG146" s="386">
        <f t="shared" si="166"/>
        <v>0</v>
      </c>
      <c r="CH146" s="386">
        <f t="shared" si="167"/>
        <v>-37.427519999999987</v>
      </c>
      <c r="CI146" s="386">
        <f t="shared" si="168"/>
        <v>0</v>
      </c>
      <c r="CJ146" s="386">
        <f t="shared" si="181"/>
        <v>-648.74367999999993</v>
      </c>
      <c r="CK146" s="386" t="str">
        <f t="shared" si="182"/>
        <v/>
      </c>
      <c r="CL146" s="386" t="str">
        <f t="shared" si="183"/>
        <v/>
      </c>
      <c r="CM146" s="386" t="str">
        <f t="shared" si="184"/>
        <v/>
      </c>
      <c r="CN146" s="386" t="str">
        <f t="shared" si="185"/>
        <v>0480-00</v>
      </c>
    </row>
    <row r="147" spans="1:92" ht="15.75" thickBot="1" x14ac:dyDescent="0.3">
      <c r="A147" s="376" t="s">
        <v>161</v>
      </c>
      <c r="B147" s="376" t="s">
        <v>162</v>
      </c>
      <c r="C147" s="376" t="s">
        <v>437</v>
      </c>
      <c r="D147" s="376" t="s">
        <v>438</v>
      </c>
      <c r="E147" s="376" t="s">
        <v>501</v>
      </c>
      <c r="F147" s="377" t="s">
        <v>166</v>
      </c>
      <c r="G147" s="376" t="s">
        <v>502</v>
      </c>
      <c r="H147" s="378"/>
      <c r="I147" s="378"/>
      <c r="J147" s="376" t="s">
        <v>168</v>
      </c>
      <c r="K147" s="376" t="s">
        <v>439</v>
      </c>
      <c r="L147" s="376" t="s">
        <v>298</v>
      </c>
      <c r="M147" s="376" t="s">
        <v>171</v>
      </c>
      <c r="N147" s="376" t="s">
        <v>172</v>
      </c>
      <c r="O147" s="379">
        <v>1</v>
      </c>
      <c r="P147" s="384">
        <v>1</v>
      </c>
      <c r="Q147" s="384">
        <v>1</v>
      </c>
      <c r="R147" s="380">
        <v>80</v>
      </c>
      <c r="S147" s="384">
        <v>1</v>
      </c>
      <c r="T147" s="380">
        <v>82054.58</v>
      </c>
      <c r="U147" s="380">
        <v>0</v>
      </c>
      <c r="V147" s="380">
        <v>27974.720000000001</v>
      </c>
      <c r="W147" s="380">
        <v>82950.399999999994</v>
      </c>
      <c r="X147" s="380">
        <v>29078.68</v>
      </c>
      <c r="Y147" s="380">
        <v>82950.399999999994</v>
      </c>
      <c r="Z147" s="380">
        <v>28647.35</v>
      </c>
      <c r="AA147" s="376" t="s">
        <v>440</v>
      </c>
      <c r="AB147" s="376" t="s">
        <v>441</v>
      </c>
      <c r="AC147" s="376" t="s">
        <v>442</v>
      </c>
      <c r="AD147" s="376" t="s">
        <v>265</v>
      </c>
      <c r="AE147" s="376" t="s">
        <v>439</v>
      </c>
      <c r="AF147" s="376" t="s">
        <v>177</v>
      </c>
      <c r="AG147" s="376" t="s">
        <v>178</v>
      </c>
      <c r="AH147" s="381">
        <v>39.880000000000003</v>
      </c>
      <c r="AI147" s="379">
        <v>11869</v>
      </c>
      <c r="AJ147" s="376" t="s">
        <v>179</v>
      </c>
      <c r="AK147" s="376" t="s">
        <v>180</v>
      </c>
      <c r="AL147" s="376" t="s">
        <v>170</v>
      </c>
      <c r="AM147" s="376" t="s">
        <v>181</v>
      </c>
      <c r="AN147" s="376" t="s">
        <v>68</v>
      </c>
      <c r="AO147" s="379">
        <v>80</v>
      </c>
      <c r="AP147" s="384">
        <v>1</v>
      </c>
      <c r="AQ147" s="384">
        <v>1</v>
      </c>
      <c r="AR147" s="382" t="s">
        <v>182</v>
      </c>
      <c r="AS147" s="386">
        <f t="shared" si="169"/>
        <v>1</v>
      </c>
      <c r="AT147">
        <f t="shared" si="170"/>
        <v>1</v>
      </c>
      <c r="AU147" s="386">
        <f>IF(AT147=0,"",IF(AND(AT147=1,M147="F",SUMIF(C2:C167,C147,AS2:AS167)&lt;=1),SUMIF(C2:C167,C147,AS2:AS167),IF(AND(AT147=1,M147="F",SUMIF(C2:C167,C147,AS2:AS167)&gt;1),1,"")))</f>
        <v>1</v>
      </c>
      <c r="AV147" s="386" t="str">
        <f>IF(AT147=0,"",IF(AND(AT147=3,M147="F",SUMIF(C2:C167,C147,AS2:AS167)&lt;=1),SUMIF(C2:C167,C147,AS2:AS167),IF(AND(AT147=3,M147="F",SUMIF(C2:C167,C147,AS2:AS167)&gt;1),1,"")))</f>
        <v/>
      </c>
      <c r="AW147" s="386">
        <f>SUMIF(C2:C167,C147,O2:O167)</f>
        <v>2</v>
      </c>
      <c r="AX147" s="386">
        <f>IF(AND(M147="F",AS147&lt;&gt;0),SUMIF(C2:C167,C147,W2:W167),0)</f>
        <v>82950.399999999994</v>
      </c>
      <c r="AY147" s="386">
        <f t="shared" si="171"/>
        <v>82950.399999999994</v>
      </c>
      <c r="AZ147" s="386" t="str">
        <f t="shared" si="172"/>
        <v/>
      </c>
      <c r="BA147" s="386">
        <f t="shared" si="173"/>
        <v>0</v>
      </c>
      <c r="BB147" s="386">
        <f t="shared" si="142"/>
        <v>11650</v>
      </c>
      <c r="BC147" s="386">
        <f t="shared" si="143"/>
        <v>0</v>
      </c>
      <c r="BD147" s="386">
        <f t="shared" si="144"/>
        <v>5142.9247999999998</v>
      </c>
      <c r="BE147" s="386">
        <f t="shared" si="145"/>
        <v>1202.7808</v>
      </c>
      <c r="BF147" s="386">
        <f t="shared" si="146"/>
        <v>9904.277759999999</v>
      </c>
      <c r="BG147" s="386">
        <f t="shared" si="147"/>
        <v>598.07238399999994</v>
      </c>
      <c r="BH147" s="386">
        <f t="shared" si="148"/>
        <v>406.45695999999998</v>
      </c>
      <c r="BI147" s="386">
        <f t="shared" si="149"/>
        <v>0</v>
      </c>
      <c r="BJ147" s="386">
        <f t="shared" si="150"/>
        <v>174.19583999999998</v>
      </c>
      <c r="BK147" s="386">
        <f t="shared" si="151"/>
        <v>0</v>
      </c>
      <c r="BL147" s="386">
        <f t="shared" si="174"/>
        <v>17428.708543999997</v>
      </c>
      <c r="BM147" s="386">
        <f t="shared" si="175"/>
        <v>0</v>
      </c>
      <c r="BN147" s="386">
        <f t="shared" si="152"/>
        <v>11650</v>
      </c>
      <c r="BO147" s="386">
        <f t="shared" si="153"/>
        <v>0</v>
      </c>
      <c r="BP147" s="386">
        <f t="shared" si="154"/>
        <v>5142.9247999999998</v>
      </c>
      <c r="BQ147" s="386">
        <f t="shared" si="155"/>
        <v>1202.7808</v>
      </c>
      <c r="BR147" s="386">
        <f t="shared" si="156"/>
        <v>9904.277759999999</v>
      </c>
      <c r="BS147" s="386">
        <f t="shared" si="157"/>
        <v>598.07238399999994</v>
      </c>
      <c r="BT147" s="386">
        <f t="shared" si="158"/>
        <v>0</v>
      </c>
      <c r="BU147" s="386">
        <f t="shared" si="159"/>
        <v>0</v>
      </c>
      <c r="BV147" s="386">
        <f t="shared" si="160"/>
        <v>149.31071999999998</v>
      </c>
      <c r="BW147" s="386">
        <f t="shared" si="161"/>
        <v>0</v>
      </c>
      <c r="BX147" s="386">
        <f t="shared" si="176"/>
        <v>16997.366463999999</v>
      </c>
      <c r="BY147" s="386">
        <f t="shared" si="177"/>
        <v>0</v>
      </c>
      <c r="BZ147" s="386">
        <f t="shared" si="178"/>
        <v>0</v>
      </c>
      <c r="CA147" s="386">
        <f t="shared" si="179"/>
        <v>0</v>
      </c>
      <c r="CB147" s="386">
        <f t="shared" si="180"/>
        <v>0</v>
      </c>
      <c r="CC147" s="386">
        <f t="shared" si="162"/>
        <v>0</v>
      </c>
      <c r="CD147" s="386">
        <f t="shared" si="163"/>
        <v>0</v>
      </c>
      <c r="CE147" s="386">
        <f t="shared" si="164"/>
        <v>0</v>
      </c>
      <c r="CF147" s="386">
        <f t="shared" si="165"/>
        <v>-406.45695999999998</v>
      </c>
      <c r="CG147" s="386">
        <f t="shared" si="166"/>
        <v>0</v>
      </c>
      <c r="CH147" s="386">
        <f t="shared" si="167"/>
        <v>-24.88511999999999</v>
      </c>
      <c r="CI147" s="386">
        <f t="shared" si="168"/>
        <v>0</v>
      </c>
      <c r="CJ147" s="386">
        <f t="shared" si="181"/>
        <v>-431.34207999999995</v>
      </c>
      <c r="CK147" s="386" t="str">
        <f t="shared" si="182"/>
        <v/>
      </c>
      <c r="CL147" s="386" t="str">
        <f t="shared" si="183"/>
        <v/>
      </c>
      <c r="CM147" s="386" t="str">
        <f t="shared" si="184"/>
        <v/>
      </c>
      <c r="CN147" s="386" t="str">
        <f t="shared" si="185"/>
        <v>0480-00</v>
      </c>
    </row>
    <row r="148" spans="1:92" ht="15.75" thickBot="1" x14ac:dyDescent="0.3">
      <c r="A148" s="376" t="s">
        <v>161</v>
      </c>
      <c r="B148" s="376" t="s">
        <v>162</v>
      </c>
      <c r="C148" s="376" t="s">
        <v>212</v>
      </c>
      <c r="D148" s="376" t="s">
        <v>213</v>
      </c>
      <c r="E148" s="376" t="s">
        <v>501</v>
      </c>
      <c r="F148" s="377" t="s">
        <v>166</v>
      </c>
      <c r="G148" s="376" t="s">
        <v>502</v>
      </c>
      <c r="H148" s="378"/>
      <c r="I148" s="378"/>
      <c r="J148" s="376" t="s">
        <v>185</v>
      </c>
      <c r="K148" s="376" t="s">
        <v>214</v>
      </c>
      <c r="L148" s="376" t="s">
        <v>166</v>
      </c>
      <c r="M148" s="376" t="s">
        <v>171</v>
      </c>
      <c r="N148" s="376" t="s">
        <v>172</v>
      </c>
      <c r="O148" s="379">
        <v>1</v>
      </c>
      <c r="P148" s="384">
        <v>0.15</v>
      </c>
      <c r="Q148" s="384">
        <v>0.15</v>
      </c>
      <c r="R148" s="380">
        <v>80</v>
      </c>
      <c r="S148" s="384">
        <v>0.15</v>
      </c>
      <c r="T148" s="380">
        <v>15293.13</v>
      </c>
      <c r="U148" s="380">
        <v>0</v>
      </c>
      <c r="V148" s="380">
        <v>4723.71</v>
      </c>
      <c r="W148" s="380">
        <v>17740.32</v>
      </c>
      <c r="X148" s="380">
        <v>5474.91</v>
      </c>
      <c r="Y148" s="380">
        <v>17740.32</v>
      </c>
      <c r="Z148" s="380">
        <v>5382.66</v>
      </c>
      <c r="AA148" s="376" t="s">
        <v>215</v>
      </c>
      <c r="AB148" s="376" t="s">
        <v>216</v>
      </c>
      <c r="AC148" s="376" t="s">
        <v>217</v>
      </c>
      <c r="AD148" s="376" t="s">
        <v>170</v>
      </c>
      <c r="AE148" s="376" t="s">
        <v>214</v>
      </c>
      <c r="AF148" s="376" t="s">
        <v>177</v>
      </c>
      <c r="AG148" s="376" t="s">
        <v>178</v>
      </c>
      <c r="AH148" s="381">
        <v>56.86</v>
      </c>
      <c r="AI148" s="379">
        <v>2817</v>
      </c>
      <c r="AJ148" s="376" t="s">
        <v>179</v>
      </c>
      <c r="AK148" s="376" t="s">
        <v>180</v>
      </c>
      <c r="AL148" s="376" t="s">
        <v>170</v>
      </c>
      <c r="AM148" s="376" t="s">
        <v>181</v>
      </c>
      <c r="AN148" s="376" t="s">
        <v>68</v>
      </c>
      <c r="AO148" s="379">
        <v>80</v>
      </c>
      <c r="AP148" s="384">
        <v>1</v>
      </c>
      <c r="AQ148" s="384">
        <v>0.15</v>
      </c>
      <c r="AR148" s="382" t="s">
        <v>182</v>
      </c>
      <c r="AS148" s="386">
        <f t="shared" si="169"/>
        <v>0.15</v>
      </c>
      <c r="AT148">
        <f t="shared" si="170"/>
        <v>1</v>
      </c>
      <c r="AU148" s="386">
        <f>IF(AT148=0,"",IF(AND(AT148=1,M148="F",SUMIF(C2:C167,C148,AS2:AS167)&lt;=1),SUMIF(C2:C167,C148,AS2:AS167),IF(AND(AT148=1,M148="F",SUMIF(C2:C167,C148,AS2:AS167)&gt;1),1,"")))</f>
        <v>1</v>
      </c>
      <c r="AV148" s="386" t="str">
        <f>IF(AT148=0,"",IF(AND(AT148=3,M148="F",SUMIF(C2:C167,C148,AS2:AS167)&lt;=1),SUMIF(C2:C167,C148,AS2:AS167),IF(AND(AT148=3,M148="F",SUMIF(C2:C167,C148,AS2:AS167)&gt;1),1,"")))</f>
        <v/>
      </c>
      <c r="AW148" s="386">
        <f>SUMIF(C2:C167,C148,O2:O167)</f>
        <v>5</v>
      </c>
      <c r="AX148" s="386">
        <f>IF(AND(M148="F",AS148&lt;&gt;0),SUMIF(C2:C167,C148,W2:W167),0)</f>
        <v>118268.80000000002</v>
      </c>
      <c r="AY148" s="386">
        <f t="shared" si="171"/>
        <v>17740.32</v>
      </c>
      <c r="AZ148" s="386" t="str">
        <f t="shared" si="172"/>
        <v/>
      </c>
      <c r="BA148" s="386">
        <f t="shared" si="173"/>
        <v>0</v>
      </c>
      <c r="BB148" s="386">
        <f t="shared" si="142"/>
        <v>1747.5</v>
      </c>
      <c r="BC148" s="386">
        <f t="shared" si="143"/>
        <v>0</v>
      </c>
      <c r="BD148" s="386">
        <f t="shared" si="144"/>
        <v>1099.89984</v>
      </c>
      <c r="BE148" s="386">
        <f t="shared" si="145"/>
        <v>257.23464000000001</v>
      </c>
      <c r="BF148" s="386">
        <f t="shared" si="146"/>
        <v>2118.1942079999999</v>
      </c>
      <c r="BG148" s="386">
        <f t="shared" si="147"/>
        <v>127.9077072</v>
      </c>
      <c r="BH148" s="386">
        <f t="shared" si="148"/>
        <v>86.927567999999994</v>
      </c>
      <c r="BI148" s="386">
        <f t="shared" si="149"/>
        <v>0</v>
      </c>
      <c r="BJ148" s="386">
        <f t="shared" si="150"/>
        <v>37.254671999999999</v>
      </c>
      <c r="BK148" s="386">
        <f t="shared" si="151"/>
        <v>0</v>
      </c>
      <c r="BL148" s="386">
        <f t="shared" si="174"/>
        <v>3727.4186352000002</v>
      </c>
      <c r="BM148" s="386">
        <f t="shared" si="175"/>
        <v>0</v>
      </c>
      <c r="BN148" s="386">
        <f t="shared" si="152"/>
        <v>1747.5</v>
      </c>
      <c r="BO148" s="386">
        <f t="shared" si="153"/>
        <v>0</v>
      </c>
      <c r="BP148" s="386">
        <f t="shared" si="154"/>
        <v>1099.89984</v>
      </c>
      <c r="BQ148" s="386">
        <f t="shared" si="155"/>
        <v>257.23464000000001</v>
      </c>
      <c r="BR148" s="386">
        <f t="shared" si="156"/>
        <v>2118.1942079999999</v>
      </c>
      <c r="BS148" s="386">
        <f t="shared" si="157"/>
        <v>127.9077072</v>
      </c>
      <c r="BT148" s="386">
        <f t="shared" si="158"/>
        <v>0</v>
      </c>
      <c r="BU148" s="386">
        <f t="shared" si="159"/>
        <v>0</v>
      </c>
      <c r="BV148" s="386">
        <f t="shared" si="160"/>
        <v>31.932575999999997</v>
      </c>
      <c r="BW148" s="386">
        <f t="shared" si="161"/>
        <v>0</v>
      </c>
      <c r="BX148" s="386">
        <f t="shared" si="176"/>
        <v>3635.1689712000002</v>
      </c>
      <c r="BY148" s="386">
        <f t="shared" si="177"/>
        <v>0</v>
      </c>
      <c r="BZ148" s="386">
        <f t="shared" si="178"/>
        <v>0</v>
      </c>
      <c r="CA148" s="386">
        <f t="shared" si="179"/>
        <v>0</v>
      </c>
      <c r="CB148" s="386">
        <f t="shared" si="180"/>
        <v>0</v>
      </c>
      <c r="CC148" s="386">
        <f t="shared" si="162"/>
        <v>0</v>
      </c>
      <c r="CD148" s="386">
        <f t="shared" si="163"/>
        <v>0</v>
      </c>
      <c r="CE148" s="386">
        <f t="shared" si="164"/>
        <v>0</v>
      </c>
      <c r="CF148" s="386">
        <f t="shared" si="165"/>
        <v>-86.927567999999994</v>
      </c>
      <c r="CG148" s="386">
        <f t="shared" si="166"/>
        <v>0</v>
      </c>
      <c r="CH148" s="386">
        <f t="shared" si="167"/>
        <v>-5.3220959999999984</v>
      </c>
      <c r="CI148" s="386">
        <f t="shared" si="168"/>
        <v>0</v>
      </c>
      <c r="CJ148" s="386">
        <f t="shared" si="181"/>
        <v>-92.249663999999996</v>
      </c>
      <c r="CK148" s="386" t="str">
        <f t="shared" si="182"/>
        <v/>
      </c>
      <c r="CL148" s="386" t="str">
        <f t="shared" si="183"/>
        <v/>
      </c>
      <c r="CM148" s="386" t="str">
        <f t="shared" si="184"/>
        <v/>
      </c>
      <c r="CN148" s="386" t="str">
        <f t="shared" si="185"/>
        <v>0480-00</v>
      </c>
    </row>
    <row r="149" spans="1:92" ht="15.75" thickBot="1" x14ac:dyDescent="0.3">
      <c r="A149" s="376" t="s">
        <v>161</v>
      </c>
      <c r="B149" s="376" t="s">
        <v>162</v>
      </c>
      <c r="C149" s="376" t="s">
        <v>218</v>
      </c>
      <c r="D149" s="376" t="s">
        <v>219</v>
      </c>
      <c r="E149" s="376" t="s">
        <v>501</v>
      </c>
      <c r="F149" s="377" t="s">
        <v>166</v>
      </c>
      <c r="G149" s="376" t="s">
        <v>502</v>
      </c>
      <c r="H149" s="378"/>
      <c r="I149" s="378"/>
      <c r="J149" s="376" t="s">
        <v>220</v>
      </c>
      <c r="K149" s="376" t="s">
        <v>221</v>
      </c>
      <c r="L149" s="376" t="s">
        <v>166</v>
      </c>
      <c r="M149" s="376" t="s">
        <v>171</v>
      </c>
      <c r="N149" s="376" t="s">
        <v>172</v>
      </c>
      <c r="O149" s="379">
        <v>1</v>
      </c>
      <c r="P149" s="384">
        <v>0.04</v>
      </c>
      <c r="Q149" s="384">
        <v>0.04</v>
      </c>
      <c r="R149" s="380">
        <v>80</v>
      </c>
      <c r="S149" s="384">
        <v>0.04</v>
      </c>
      <c r="T149" s="380">
        <v>5579.74</v>
      </c>
      <c r="U149" s="380">
        <v>0</v>
      </c>
      <c r="V149" s="380">
        <v>2113.0700000000002</v>
      </c>
      <c r="W149" s="380">
        <v>2545.92</v>
      </c>
      <c r="X149" s="380">
        <v>1000.92</v>
      </c>
      <c r="Y149" s="380">
        <v>2545.92</v>
      </c>
      <c r="Z149" s="380">
        <v>987.68</v>
      </c>
      <c r="AA149" s="376" t="s">
        <v>222</v>
      </c>
      <c r="AB149" s="376" t="s">
        <v>223</v>
      </c>
      <c r="AC149" s="376" t="s">
        <v>224</v>
      </c>
      <c r="AD149" s="376" t="s">
        <v>170</v>
      </c>
      <c r="AE149" s="376" t="s">
        <v>221</v>
      </c>
      <c r="AF149" s="376" t="s">
        <v>177</v>
      </c>
      <c r="AG149" s="376" t="s">
        <v>178</v>
      </c>
      <c r="AH149" s="381">
        <v>30.6</v>
      </c>
      <c r="AI149" s="379">
        <v>6405</v>
      </c>
      <c r="AJ149" s="376" t="s">
        <v>179</v>
      </c>
      <c r="AK149" s="376" t="s">
        <v>180</v>
      </c>
      <c r="AL149" s="376" t="s">
        <v>170</v>
      </c>
      <c r="AM149" s="376" t="s">
        <v>181</v>
      </c>
      <c r="AN149" s="376" t="s">
        <v>68</v>
      </c>
      <c r="AO149" s="379">
        <v>80</v>
      </c>
      <c r="AP149" s="384">
        <v>1</v>
      </c>
      <c r="AQ149" s="384">
        <v>0.04</v>
      </c>
      <c r="AR149" s="382" t="s">
        <v>182</v>
      </c>
      <c r="AS149" s="386">
        <f t="shared" si="169"/>
        <v>0.04</v>
      </c>
      <c r="AT149">
        <f t="shared" si="170"/>
        <v>1</v>
      </c>
      <c r="AU149" s="386">
        <f>IF(AT149=0,"",IF(AND(AT149=1,M149="F",SUMIF(C2:C167,C149,AS2:AS167)&lt;=1),SUMIF(C2:C167,C149,AS2:AS167),IF(AND(AT149=1,M149="F",SUMIF(C2:C167,C149,AS2:AS167)&gt;1),1,"")))</f>
        <v>1</v>
      </c>
      <c r="AV149" s="386" t="str">
        <f>IF(AT149=0,"",IF(AND(AT149=3,M149="F",SUMIF(C2:C167,C149,AS2:AS167)&lt;=1),SUMIF(C2:C167,C149,AS2:AS167),IF(AND(AT149=3,M149="F",SUMIF(C2:C167,C149,AS2:AS167)&gt;1),1,"")))</f>
        <v/>
      </c>
      <c r="AW149" s="386">
        <f>SUMIF(C2:C167,C149,O2:O167)</f>
        <v>5</v>
      </c>
      <c r="AX149" s="386">
        <f>IF(AND(M149="F",AS149&lt;&gt;0),SUMIF(C2:C167,C149,W2:W167),0)</f>
        <v>63647.999999999993</v>
      </c>
      <c r="AY149" s="386">
        <f t="shared" si="171"/>
        <v>2545.92</v>
      </c>
      <c r="AZ149" s="386" t="str">
        <f t="shared" si="172"/>
        <v/>
      </c>
      <c r="BA149" s="386">
        <f t="shared" si="173"/>
        <v>0</v>
      </c>
      <c r="BB149" s="386">
        <f t="shared" si="142"/>
        <v>466</v>
      </c>
      <c r="BC149" s="386">
        <f t="shared" si="143"/>
        <v>0</v>
      </c>
      <c r="BD149" s="386">
        <f t="shared" si="144"/>
        <v>157.84703999999999</v>
      </c>
      <c r="BE149" s="386">
        <f t="shared" si="145"/>
        <v>36.915840000000003</v>
      </c>
      <c r="BF149" s="386">
        <f t="shared" si="146"/>
        <v>303.98284800000005</v>
      </c>
      <c r="BG149" s="386">
        <f t="shared" si="147"/>
        <v>18.3560832</v>
      </c>
      <c r="BH149" s="386">
        <f t="shared" si="148"/>
        <v>12.475008000000001</v>
      </c>
      <c r="BI149" s="386">
        <f t="shared" si="149"/>
        <v>0</v>
      </c>
      <c r="BJ149" s="386">
        <f t="shared" si="150"/>
        <v>5.3464320000000001</v>
      </c>
      <c r="BK149" s="386">
        <f t="shared" si="151"/>
        <v>0</v>
      </c>
      <c r="BL149" s="386">
        <f t="shared" si="174"/>
        <v>534.9232512000001</v>
      </c>
      <c r="BM149" s="386">
        <f t="shared" si="175"/>
        <v>0</v>
      </c>
      <c r="BN149" s="386">
        <f t="shared" si="152"/>
        <v>466</v>
      </c>
      <c r="BO149" s="386">
        <f t="shared" si="153"/>
        <v>0</v>
      </c>
      <c r="BP149" s="386">
        <f t="shared" si="154"/>
        <v>157.84703999999999</v>
      </c>
      <c r="BQ149" s="386">
        <f t="shared" si="155"/>
        <v>36.915840000000003</v>
      </c>
      <c r="BR149" s="386">
        <f t="shared" si="156"/>
        <v>303.98284800000005</v>
      </c>
      <c r="BS149" s="386">
        <f t="shared" si="157"/>
        <v>18.3560832</v>
      </c>
      <c r="BT149" s="386">
        <f t="shared" si="158"/>
        <v>0</v>
      </c>
      <c r="BU149" s="386">
        <f t="shared" si="159"/>
        <v>0</v>
      </c>
      <c r="BV149" s="386">
        <f t="shared" si="160"/>
        <v>4.5826560000000001</v>
      </c>
      <c r="BW149" s="386">
        <f t="shared" si="161"/>
        <v>0</v>
      </c>
      <c r="BX149" s="386">
        <f t="shared" si="176"/>
        <v>521.68446720000009</v>
      </c>
      <c r="BY149" s="386">
        <f t="shared" si="177"/>
        <v>0</v>
      </c>
      <c r="BZ149" s="386">
        <f t="shared" si="178"/>
        <v>0</v>
      </c>
      <c r="CA149" s="386">
        <f t="shared" si="179"/>
        <v>0</v>
      </c>
      <c r="CB149" s="386">
        <f t="shared" si="180"/>
        <v>0</v>
      </c>
      <c r="CC149" s="386">
        <f t="shared" si="162"/>
        <v>0</v>
      </c>
      <c r="CD149" s="386">
        <f t="shared" si="163"/>
        <v>0</v>
      </c>
      <c r="CE149" s="386">
        <f t="shared" si="164"/>
        <v>0</v>
      </c>
      <c r="CF149" s="386">
        <f t="shared" si="165"/>
        <v>-12.475008000000001</v>
      </c>
      <c r="CG149" s="386">
        <f t="shared" si="166"/>
        <v>0</v>
      </c>
      <c r="CH149" s="386">
        <f t="shared" si="167"/>
        <v>-0.76377599999999979</v>
      </c>
      <c r="CI149" s="386">
        <f t="shared" si="168"/>
        <v>0</v>
      </c>
      <c r="CJ149" s="386">
        <f t="shared" si="181"/>
        <v>-13.238784000000001</v>
      </c>
      <c r="CK149" s="386" t="str">
        <f t="shared" si="182"/>
        <v/>
      </c>
      <c r="CL149" s="386" t="str">
        <f t="shared" si="183"/>
        <v/>
      </c>
      <c r="CM149" s="386" t="str">
        <f t="shared" si="184"/>
        <v/>
      </c>
      <c r="CN149" s="386" t="str">
        <f t="shared" si="185"/>
        <v>0480-00</v>
      </c>
    </row>
    <row r="150" spans="1:92" ht="15.75" thickBot="1" x14ac:dyDescent="0.3">
      <c r="A150" s="376" t="s">
        <v>161</v>
      </c>
      <c r="B150" s="376" t="s">
        <v>162</v>
      </c>
      <c r="C150" s="376" t="s">
        <v>657</v>
      </c>
      <c r="D150" s="376" t="s">
        <v>438</v>
      </c>
      <c r="E150" s="376" t="s">
        <v>501</v>
      </c>
      <c r="F150" s="377" t="s">
        <v>166</v>
      </c>
      <c r="G150" s="376" t="s">
        <v>502</v>
      </c>
      <c r="H150" s="378"/>
      <c r="I150" s="378"/>
      <c r="J150" s="376" t="s">
        <v>168</v>
      </c>
      <c r="K150" s="376" t="s">
        <v>596</v>
      </c>
      <c r="L150" s="376" t="s">
        <v>289</v>
      </c>
      <c r="M150" s="376" t="s">
        <v>281</v>
      </c>
      <c r="N150" s="376" t="s">
        <v>172</v>
      </c>
      <c r="O150" s="379">
        <v>0</v>
      </c>
      <c r="P150" s="384">
        <v>1</v>
      </c>
      <c r="Q150" s="384">
        <v>1</v>
      </c>
      <c r="R150" s="380">
        <v>80</v>
      </c>
      <c r="S150" s="384">
        <v>1</v>
      </c>
      <c r="T150" s="380">
        <v>34965.94</v>
      </c>
      <c r="U150" s="380">
        <v>0</v>
      </c>
      <c r="V150" s="380">
        <v>11096.22</v>
      </c>
      <c r="W150" s="380">
        <v>59300.800000000003</v>
      </c>
      <c r="X150" s="380">
        <v>25973.75</v>
      </c>
      <c r="Y150" s="380">
        <v>59300.800000000003</v>
      </c>
      <c r="Z150" s="380">
        <v>25677.24</v>
      </c>
      <c r="AA150" s="378"/>
      <c r="AB150" s="376" t="s">
        <v>45</v>
      </c>
      <c r="AC150" s="376" t="s">
        <v>45</v>
      </c>
      <c r="AD150" s="378"/>
      <c r="AE150" s="378"/>
      <c r="AF150" s="378"/>
      <c r="AG150" s="378"/>
      <c r="AH150" s="379">
        <v>0</v>
      </c>
      <c r="AI150" s="379">
        <v>0</v>
      </c>
      <c r="AJ150" s="378"/>
      <c r="AK150" s="378"/>
      <c r="AL150" s="376" t="s">
        <v>170</v>
      </c>
      <c r="AM150" s="378"/>
      <c r="AN150" s="378"/>
      <c r="AO150" s="379">
        <v>0</v>
      </c>
      <c r="AP150" s="384">
        <v>0</v>
      </c>
      <c r="AQ150" s="384">
        <v>0</v>
      </c>
      <c r="AR150" s="383"/>
      <c r="AS150" s="386">
        <f t="shared" si="169"/>
        <v>0</v>
      </c>
      <c r="AT150">
        <f t="shared" si="170"/>
        <v>0</v>
      </c>
      <c r="AU150" s="386" t="str">
        <f>IF(AT150=0,"",IF(AND(AT150=1,M150="F",SUMIF(C2:C167,C150,AS2:AS167)&lt;=1),SUMIF(C2:C167,C150,AS2:AS167),IF(AND(AT150=1,M150="F",SUMIF(C2:C167,C150,AS2:AS167)&gt;1),1,"")))</f>
        <v/>
      </c>
      <c r="AV150" s="386" t="str">
        <f>IF(AT150=0,"",IF(AND(AT150=3,M150="F",SUMIF(C2:C167,C150,AS2:AS167)&lt;=1),SUMIF(C2:C167,C150,AS2:AS167),IF(AND(AT150=3,M150="F",SUMIF(C2:C167,C150,AS2:AS167)&gt;1),1,"")))</f>
        <v/>
      </c>
      <c r="AW150" s="386">
        <f>SUMIF(C2:C167,C150,O2:O167)</f>
        <v>0</v>
      </c>
      <c r="AX150" s="386">
        <f>IF(AND(M150="F",AS150&lt;&gt;0),SUMIF(C2:C167,C150,W2:W167),0)</f>
        <v>0</v>
      </c>
      <c r="AY150" s="386" t="str">
        <f t="shared" si="171"/>
        <v/>
      </c>
      <c r="AZ150" s="386" t="str">
        <f t="shared" si="172"/>
        <v/>
      </c>
      <c r="BA150" s="386">
        <f t="shared" si="173"/>
        <v>0</v>
      </c>
      <c r="BB150" s="386">
        <f t="shared" si="142"/>
        <v>0</v>
      </c>
      <c r="BC150" s="386">
        <f t="shared" si="143"/>
        <v>0</v>
      </c>
      <c r="BD150" s="386">
        <f t="shared" si="144"/>
        <v>0</v>
      </c>
      <c r="BE150" s="386">
        <f t="shared" si="145"/>
        <v>0</v>
      </c>
      <c r="BF150" s="386">
        <f t="shared" si="146"/>
        <v>0</v>
      </c>
      <c r="BG150" s="386">
        <f t="shared" si="147"/>
        <v>0</v>
      </c>
      <c r="BH150" s="386">
        <f t="shared" si="148"/>
        <v>0</v>
      </c>
      <c r="BI150" s="386">
        <f t="shared" si="149"/>
        <v>0</v>
      </c>
      <c r="BJ150" s="386">
        <f t="shared" si="150"/>
        <v>0</v>
      </c>
      <c r="BK150" s="386">
        <f t="shared" si="151"/>
        <v>0</v>
      </c>
      <c r="BL150" s="386">
        <f t="shared" si="174"/>
        <v>0</v>
      </c>
      <c r="BM150" s="386">
        <f t="shared" si="175"/>
        <v>0</v>
      </c>
      <c r="BN150" s="386">
        <f t="shared" si="152"/>
        <v>0</v>
      </c>
      <c r="BO150" s="386">
        <f t="shared" si="153"/>
        <v>0</v>
      </c>
      <c r="BP150" s="386">
        <f t="shared" si="154"/>
        <v>0</v>
      </c>
      <c r="BQ150" s="386">
        <f t="shared" si="155"/>
        <v>0</v>
      </c>
      <c r="BR150" s="386">
        <f t="shared" si="156"/>
        <v>0</v>
      </c>
      <c r="BS150" s="386">
        <f t="shared" si="157"/>
        <v>0</v>
      </c>
      <c r="BT150" s="386">
        <f t="shared" si="158"/>
        <v>0</v>
      </c>
      <c r="BU150" s="386">
        <f t="shared" si="159"/>
        <v>0</v>
      </c>
      <c r="BV150" s="386">
        <f t="shared" si="160"/>
        <v>0</v>
      </c>
      <c r="BW150" s="386">
        <f t="shared" si="161"/>
        <v>0</v>
      </c>
      <c r="BX150" s="386">
        <f t="shared" si="176"/>
        <v>0</v>
      </c>
      <c r="BY150" s="386">
        <f t="shared" si="177"/>
        <v>0</v>
      </c>
      <c r="BZ150" s="386">
        <f t="shared" si="178"/>
        <v>0</v>
      </c>
      <c r="CA150" s="386">
        <f t="shared" si="179"/>
        <v>0</v>
      </c>
      <c r="CB150" s="386">
        <f t="shared" si="180"/>
        <v>0</v>
      </c>
      <c r="CC150" s="386">
        <f t="shared" si="162"/>
        <v>0</v>
      </c>
      <c r="CD150" s="386">
        <f t="shared" si="163"/>
        <v>0</v>
      </c>
      <c r="CE150" s="386">
        <f t="shared" si="164"/>
        <v>0</v>
      </c>
      <c r="CF150" s="386">
        <f t="shared" si="165"/>
        <v>0</v>
      </c>
      <c r="CG150" s="386">
        <f t="shared" si="166"/>
        <v>0</v>
      </c>
      <c r="CH150" s="386">
        <f t="shared" si="167"/>
        <v>0</v>
      </c>
      <c r="CI150" s="386">
        <f t="shared" si="168"/>
        <v>0</v>
      </c>
      <c r="CJ150" s="386">
        <f t="shared" si="181"/>
        <v>0</v>
      </c>
      <c r="CK150" s="386" t="str">
        <f t="shared" si="182"/>
        <v/>
      </c>
      <c r="CL150" s="386" t="str">
        <f t="shared" si="183"/>
        <v/>
      </c>
      <c r="CM150" s="386" t="str">
        <f t="shared" si="184"/>
        <v/>
      </c>
      <c r="CN150" s="386" t="str">
        <f t="shared" si="185"/>
        <v>0480-00</v>
      </c>
    </row>
    <row r="151" spans="1:92" ht="15.75" thickBot="1" x14ac:dyDescent="0.3">
      <c r="A151" s="376" t="s">
        <v>161</v>
      </c>
      <c r="B151" s="376" t="s">
        <v>162</v>
      </c>
      <c r="C151" s="376" t="s">
        <v>225</v>
      </c>
      <c r="D151" s="376" t="s">
        <v>226</v>
      </c>
      <c r="E151" s="376" t="s">
        <v>501</v>
      </c>
      <c r="F151" s="377" t="s">
        <v>166</v>
      </c>
      <c r="G151" s="376" t="s">
        <v>502</v>
      </c>
      <c r="H151" s="378"/>
      <c r="I151" s="378"/>
      <c r="J151" s="376" t="s">
        <v>185</v>
      </c>
      <c r="K151" s="376" t="s">
        <v>227</v>
      </c>
      <c r="L151" s="376" t="s">
        <v>166</v>
      </c>
      <c r="M151" s="376" t="s">
        <v>171</v>
      </c>
      <c r="N151" s="376" t="s">
        <v>172</v>
      </c>
      <c r="O151" s="379">
        <v>1</v>
      </c>
      <c r="P151" s="384">
        <v>0.55000000000000004</v>
      </c>
      <c r="Q151" s="384">
        <v>0.55000000000000004</v>
      </c>
      <c r="R151" s="380">
        <v>80</v>
      </c>
      <c r="S151" s="384">
        <v>0.55000000000000004</v>
      </c>
      <c r="T151" s="380">
        <v>67350.34</v>
      </c>
      <c r="U151" s="380">
        <v>0</v>
      </c>
      <c r="V151" s="380">
        <v>20079.330000000002</v>
      </c>
      <c r="W151" s="380">
        <v>68994.64</v>
      </c>
      <c r="X151" s="380">
        <v>20903.93</v>
      </c>
      <c r="Y151" s="380">
        <v>68994.64</v>
      </c>
      <c r="Z151" s="380">
        <v>20545.169999999998</v>
      </c>
      <c r="AA151" s="376" t="s">
        <v>228</v>
      </c>
      <c r="AB151" s="376" t="s">
        <v>229</v>
      </c>
      <c r="AC151" s="376" t="s">
        <v>230</v>
      </c>
      <c r="AD151" s="376" t="s">
        <v>231</v>
      </c>
      <c r="AE151" s="376" t="s">
        <v>227</v>
      </c>
      <c r="AF151" s="376" t="s">
        <v>177</v>
      </c>
      <c r="AG151" s="376" t="s">
        <v>178</v>
      </c>
      <c r="AH151" s="381">
        <v>60.31</v>
      </c>
      <c r="AI151" s="381">
        <v>41188.5</v>
      </c>
      <c r="AJ151" s="376" t="s">
        <v>179</v>
      </c>
      <c r="AK151" s="376" t="s">
        <v>180</v>
      </c>
      <c r="AL151" s="376" t="s">
        <v>170</v>
      </c>
      <c r="AM151" s="376" t="s">
        <v>181</v>
      </c>
      <c r="AN151" s="376" t="s">
        <v>68</v>
      </c>
      <c r="AO151" s="379">
        <v>80</v>
      </c>
      <c r="AP151" s="384">
        <v>1</v>
      </c>
      <c r="AQ151" s="384">
        <v>0.55000000000000004</v>
      </c>
      <c r="AR151" s="382" t="s">
        <v>182</v>
      </c>
      <c r="AS151" s="386">
        <f t="shared" si="169"/>
        <v>0.55000000000000004</v>
      </c>
      <c r="AT151">
        <f t="shared" si="170"/>
        <v>1</v>
      </c>
      <c r="AU151" s="386">
        <f>IF(AT151=0,"",IF(AND(AT151=1,M151="F",SUMIF(C2:C167,C151,AS2:AS167)&lt;=1),SUMIF(C2:C167,C151,AS2:AS167),IF(AND(AT151=1,M151="F",SUMIF(C2:C167,C151,AS2:AS167)&gt;1),1,"")))</f>
        <v>1</v>
      </c>
      <c r="AV151" s="386" t="str">
        <f>IF(AT151=0,"",IF(AND(AT151=3,M151="F",SUMIF(C2:C167,C151,AS2:AS167)&lt;=1),SUMIF(C2:C167,C151,AS2:AS167),IF(AND(AT151=3,M151="F",SUMIF(C2:C167,C151,AS2:AS167)&gt;1),1,"")))</f>
        <v/>
      </c>
      <c r="AW151" s="386">
        <f>SUMIF(C2:C167,C151,O2:O167)</f>
        <v>4</v>
      </c>
      <c r="AX151" s="386">
        <f>IF(AND(M151="F",AS151&lt;&gt;0),SUMIF(C2:C167,C151,W2:W167),0)</f>
        <v>125444.79999999999</v>
      </c>
      <c r="AY151" s="386">
        <f t="shared" si="171"/>
        <v>68994.64</v>
      </c>
      <c r="AZ151" s="386" t="str">
        <f t="shared" si="172"/>
        <v/>
      </c>
      <c r="BA151" s="386">
        <f t="shared" si="173"/>
        <v>0</v>
      </c>
      <c r="BB151" s="386">
        <f t="shared" si="142"/>
        <v>6407.5000000000009</v>
      </c>
      <c r="BC151" s="386">
        <f t="shared" si="143"/>
        <v>0</v>
      </c>
      <c r="BD151" s="386">
        <f t="shared" si="144"/>
        <v>4277.6676799999996</v>
      </c>
      <c r="BE151" s="386">
        <f t="shared" si="145"/>
        <v>1000.42228</v>
      </c>
      <c r="BF151" s="386">
        <f t="shared" si="146"/>
        <v>8237.9600160000009</v>
      </c>
      <c r="BG151" s="386">
        <f t="shared" si="147"/>
        <v>497.45135440000001</v>
      </c>
      <c r="BH151" s="386">
        <f t="shared" si="148"/>
        <v>338.073736</v>
      </c>
      <c r="BI151" s="386">
        <f t="shared" si="149"/>
        <v>0</v>
      </c>
      <c r="BJ151" s="386">
        <f t="shared" si="150"/>
        <v>144.888744</v>
      </c>
      <c r="BK151" s="386">
        <f t="shared" si="151"/>
        <v>0</v>
      </c>
      <c r="BL151" s="386">
        <f t="shared" si="174"/>
        <v>14496.463810400001</v>
      </c>
      <c r="BM151" s="386">
        <f t="shared" si="175"/>
        <v>0</v>
      </c>
      <c r="BN151" s="386">
        <f t="shared" si="152"/>
        <v>6407.5000000000009</v>
      </c>
      <c r="BO151" s="386">
        <f t="shared" si="153"/>
        <v>0</v>
      </c>
      <c r="BP151" s="386">
        <f t="shared" si="154"/>
        <v>4277.6676799999996</v>
      </c>
      <c r="BQ151" s="386">
        <f t="shared" si="155"/>
        <v>1000.42228</v>
      </c>
      <c r="BR151" s="386">
        <f t="shared" si="156"/>
        <v>8237.9600160000009</v>
      </c>
      <c r="BS151" s="386">
        <f t="shared" si="157"/>
        <v>497.45135440000001</v>
      </c>
      <c r="BT151" s="386">
        <f t="shared" si="158"/>
        <v>0</v>
      </c>
      <c r="BU151" s="386">
        <f t="shared" si="159"/>
        <v>0</v>
      </c>
      <c r="BV151" s="386">
        <f t="shared" si="160"/>
        <v>124.19035199999999</v>
      </c>
      <c r="BW151" s="386">
        <f t="shared" si="161"/>
        <v>0</v>
      </c>
      <c r="BX151" s="386">
        <f t="shared" si="176"/>
        <v>14137.6916824</v>
      </c>
      <c r="BY151" s="386">
        <f t="shared" si="177"/>
        <v>0</v>
      </c>
      <c r="BZ151" s="386">
        <f t="shared" si="178"/>
        <v>0</v>
      </c>
      <c r="CA151" s="386">
        <f t="shared" si="179"/>
        <v>0</v>
      </c>
      <c r="CB151" s="386">
        <f t="shared" si="180"/>
        <v>0</v>
      </c>
      <c r="CC151" s="386">
        <f t="shared" si="162"/>
        <v>0</v>
      </c>
      <c r="CD151" s="386">
        <f t="shared" si="163"/>
        <v>0</v>
      </c>
      <c r="CE151" s="386">
        <f t="shared" si="164"/>
        <v>0</v>
      </c>
      <c r="CF151" s="386">
        <f t="shared" si="165"/>
        <v>-338.073736</v>
      </c>
      <c r="CG151" s="386">
        <f t="shared" si="166"/>
        <v>0</v>
      </c>
      <c r="CH151" s="386">
        <f t="shared" si="167"/>
        <v>-20.698391999999995</v>
      </c>
      <c r="CI151" s="386">
        <f t="shared" si="168"/>
        <v>0</v>
      </c>
      <c r="CJ151" s="386">
        <f t="shared" si="181"/>
        <v>-358.77212800000001</v>
      </c>
      <c r="CK151" s="386" t="str">
        <f t="shared" si="182"/>
        <v/>
      </c>
      <c r="CL151" s="386" t="str">
        <f t="shared" si="183"/>
        <v/>
      </c>
      <c r="CM151" s="386" t="str">
        <f t="shared" si="184"/>
        <v/>
      </c>
      <c r="CN151" s="386" t="str">
        <f t="shared" si="185"/>
        <v>0480-00</v>
      </c>
    </row>
    <row r="152" spans="1:92" ht="15.75" thickBot="1" x14ac:dyDescent="0.3">
      <c r="A152" s="376" t="s">
        <v>161</v>
      </c>
      <c r="B152" s="376" t="s">
        <v>162</v>
      </c>
      <c r="C152" s="376" t="s">
        <v>658</v>
      </c>
      <c r="D152" s="376" t="s">
        <v>526</v>
      </c>
      <c r="E152" s="376" t="s">
        <v>501</v>
      </c>
      <c r="F152" s="377" t="s">
        <v>166</v>
      </c>
      <c r="G152" s="376" t="s">
        <v>502</v>
      </c>
      <c r="H152" s="378"/>
      <c r="I152" s="378"/>
      <c r="J152" s="376" t="s">
        <v>168</v>
      </c>
      <c r="K152" s="376" t="s">
        <v>527</v>
      </c>
      <c r="L152" s="376" t="s">
        <v>298</v>
      </c>
      <c r="M152" s="376" t="s">
        <v>281</v>
      </c>
      <c r="N152" s="376" t="s">
        <v>172</v>
      </c>
      <c r="O152" s="379">
        <v>0</v>
      </c>
      <c r="P152" s="384">
        <v>1</v>
      </c>
      <c r="Q152" s="384">
        <v>1</v>
      </c>
      <c r="R152" s="380">
        <v>80</v>
      </c>
      <c r="S152" s="384">
        <v>1</v>
      </c>
      <c r="T152" s="380">
        <v>0</v>
      </c>
      <c r="U152" s="380">
        <v>0</v>
      </c>
      <c r="V152" s="380">
        <v>0</v>
      </c>
      <c r="W152" s="380">
        <v>79414.399999999994</v>
      </c>
      <c r="X152" s="380">
        <v>34783.5</v>
      </c>
      <c r="Y152" s="380">
        <v>79414.399999999994</v>
      </c>
      <c r="Z152" s="380">
        <v>34386.43</v>
      </c>
      <c r="AA152" s="378"/>
      <c r="AB152" s="376" t="s">
        <v>45</v>
      </c>
      <c r="AC152" s="376" t="s">
        <v>45</v>
      </c>
      <c r="AD152" s="378"/>
      <c r="AE152" s="378"/>
      <c r="AF152" s="378"/>
      <c r="AG152" s="378"/>
      <c r="AH152" s="379">
        <v>0</v>
      </c>
      <c r="AI152" s="379">
        <v>0</v>
      </c>
      <c r="AJ152" s="378"/>
      <c r="AK152" s="378"/>
      <c r="AL152" s="376" t="s">
        <v>170</v>
      </c>
      <c r="AM152" s="378"/>
      <c r="AN152" s="378"/>
      <c r="AO152" s="379">
        <v>0</v>
      </c>
      <c r="AP152" s="384">
        <v>0</v>
      </c>
      <c r="AQ152" s="384">
        <v>0</v>
      </c>
      <c r="AR152" s="383"/>
      <c r="AS152" s="386">
        <f t="shared" si="169"/>
        <v>0</v>
      </c>
      <c r="AT152">
        <f t="shared" si="170"/>
        <v>0</v>
      </c>
      <c r="AU152" s="386" t="str">
        <f>IF(AT152=0,"",IF(AND(AT152=1,M152="F",SUMIF(C2:C167,C152,AS2:AS167)&lt;=1),SUMIF(C2:C167,C152,AS2:AS167),IF(AND(AT152=1,M152="F",SUMIF(C2:C167,C152,AS2:AS167)&gt;1),1,"")))</f>
        <v/>
      </c>
      <c r="AV152" s="386" t="str">
        <f>IF(AT152=0,"",IF(AND(AT152=3,M152="F",SUMIF(C2:C167,C152,AS2:AS167)&lt;=1),SUMIF(C2:C167,C152,AS2:AS167),IF(AND(AT152=3,M152="F",SUMIF(C2:C167,C152,AS2:AS167)&gt;1),1,"")))</f>
        <v/>
      </c>
      <c r="AW152" s="386">
        <f>SUMIF(C2:C167,C152,O2:O167)</f>
        <v>0</v>
      </c>
      <c r="AX152" s="386">
        <f>IF(AND(M152="F",AS152&lt;&gt;0),SUMIF(C2:C167,C152,W2:W167),0)</f>
        <v>0</v>
      </c>
      <c r="AY152" s="386" t="str">
        <f t="shared" si="171"/>
        <v/>
      </c>
      <c r="AZ152" s="386" t="str">
        <f t="shared" si="172"/>
        <v/>
      </c>
      <c r="BA152" s="386">
        <f t="shared" si="173"/>
        <v>0</v>
      </c>
      <c r="BB152" s="386">
        <f t="shared" si="142"/>
        <v>0</v>
      </c>
      <c r="BC152" s="386">
        <f t="shared" si="143"/>
        <v>0</v>
      </c>
      <c r="BD152" s="386">
        <f t="shared" si="144"/>
        <v>0</v>
      </c>
      <c r="BE152" s="386">
        <f t="shared" si="145"/>
        <v>0</v>
      </c>
      <c r="BF152" s="386">
        <f t="shared" si="146"/>
        <v>0</v>
      </c>
      <c r="BG152" s="386">
        <f t="shared" si="147"/>
        <v>0</v>
      </c>
      <c r="BH152" s="386">
        <f t="shared" si="148"/>
        <v>0</v>
      </c>
      <c r="BI152" s="386">
        <f t="shared" si="149"/>
        <v>0</v>
      </c>
      <c r="BJ152" s="386">
        <f t="shared" si="150"/>
        <v>0</v>
      </c>
      <c r="BK152" s="386">
        <f t="shared" si="151"/>
        <v>0</v>
      </c>
      <c r="BL152" s="386">
        <f t="shared" si="174"/>
        <v>0</v>
      </c>
      <c r="BM152" s="386">
        <f t="shared" si="175"/>
        <v>0</v>
      </c>
      <c r="BN152" s="386">
        <f t="shared" si="152"/>
        <v>0</v>
      </c>
      <c r="BO152" s="386">
        <f t="shared" si="153"/>
        <v>0</v>
      </c>
      <c r="BP152" s="386">
        <f t="shared" si="154"/>
        <v>0</v>
      </c>
      <c r="BQ152" s="386">
        <f t="shared" si="155"/>
        <v>0</v>
      </c>
      <c r="BR152" s="386">
        <f t="shared" si="156"/>
        <v>0</v>
      </c>
      <c r="BS152" s="386">
        <f t="shared" si="157"/>
        <v>0</v>
      </c>
      <c r="BT152" s="386">
        <f t="shared" si="158"/>
        <v>0</v>
      </c>
      <c r="BU152" s="386">
        <f t="shared" si="159"/>
        <v>0</v>
      </c>
      <c r="BV152" s="386">
        <f t="shared" si="160"/>
        <v>0</v>
      </c>
      <c r="BW152" s="386">
        <f t="shared" si="161"/>
        <v>0</v>
      </c>
      <c r="BX152" s="386">
        <f t="shared" si="176"/>
        <v>0</v>
      </c>
      <c r="BY152" s="386">
        <f t="shared" si="177"/>
        <v>0</v>
      </c>
      <c r="BZ152" s="386">
        <f t="shared" si="178"/>
        <v>0</v>
      </c>
      <c r="CA152" s="386">
        <f t="shared" si="179"/>
        <v>0</v>
      </c>
      <c r="CB152" s="386">
        <f t="shared" si="180"/>
        <v>0</v>
      </c>
      <c r="CC152" s="386">
        <f t="shared" si="162"/>
        <v>0</v>
      </c>
      <c r="CD152" s="386">
        <f t="shared" si="163"/>
        <v>0</v>
      </c>
      <c r="CE152" s="386">
        <f t="shared" si="164"/>
        <v>0</v>
      </c>
      <c r="CF152" s="386">
        <f t="shared" si="165"/>
        <v>0</v>
      </c>
      <c r="CG152" s="386">
        <f t="shared" si="166"/>
        <v>0</v>
      </c>
      <c r="CH152" s="386">
        <f t="shared" si="167"/>
        <v>0</v>
      </c>
      <c r="CI152" s="386">
        <f t="shared" si="168"/>
        <v>0</v>
      </c>
      <c r="CJ152" s="386">
        <f t="shared" si="181"/>
        <v>0</v>
      </c>
      <c r="CK152" s="386" t="str">
        <f t="shared" si="182"/>
        <v/>
      </c>
      <c r="CL152" s="386" t="str">
        <f t="shared" si="183"/>
        <v/>
      </c>
      <c r="CM152" s="386" t="str">
        <f t="shared" si="184"/>
        <v/>
      </c>
      <c r="CN152" s="386" t="str">
        <f t="shared" si="185"/>
        <v>0480-00</v>
      </c>
    </row>
    <row r="153" spans="1:92" ht="15.75" thickBot="1" x14ac:dyDescent="0.3">
      <c r="A153" s="376" t="s">
        <v>161</v>
      </c>
      <c r="B153" s="376" t="s">
        <v>162</v>
      </c>
      <c r="C153" s="376" t="s">
        <v>659</v>
      </c>
      <c r="D153" s="376" t="s">
        <v>660</v>
      </c>
      <c r="E153" s="376" t="s">
        <v>501</v>
      </c>
      <c r="F153" s="377" t="s">
        <v>166</v>
      </c>
      <c r="G153" s="376" t="s">
        <v>502</v>
      </c>
      <c r="H153" s="378"/>
      <c r="I153" s="378"/>
      <c r="J153" s="376" t="s">
        <v>168</v>
      </c>
      <c r="K153" s="376" t="s">
        <v>661</v>
      </c>
      <c r="L153" s="376" t="s">
        <v>662</v>
      </c>
      <c r="M153" s="376" t="s">
        <v>171</v>
      </c>
      <c r="N153" s="376" t="s">
        <v>172</v>
      </c>
      <c r="O153" s="379">
        <v>1</v>
      </c>
      <c r="P153" s="384">
        <v>1</v>
      </c>
      <c r="Q153" s="384">
        <v>1</v>
      </c>
      <c r="R153" s="380">
        <v>80</v>
      </c>
      <c r="S153" s="384">
        <v>1</v>
      </c>
      <c r="T153" s="380">
        <v>9532.4</v>
      </c>
      <c r="U153" s="380">
        <v>0</v>
      </c>
      <c r="V153" s="380">
        <v>4304.25</v>
      </c>
      <c r="W153" s="380">
        <v>43680</v>
      </c>
      <c r="X153" s="380">
        <v>20827.59</v>
      </c>
      <c r="Y153" s="380">
        <v>43680</v>
      </c>
      <c r="Z153" s="380">
        <v>20600.46</v>
      </c>
      <c r="AA153" s="376" t="s">
        <v>663</v>
      </c>
      <c r="AB153" s="376" t="s">
        <v>664</v>
      </c>
      <c r="AC153" s="376" t="s">
        <v>665</v>
      </c>
      <c r="AD153" s="376" t="s">
        <v>238</v>
      </c>
      <c r="AE153" s="376" t="s">
        <v>661</v>
      </c>
      <c r="AF153" s="376" t="s">
        <v>177</v>
      </c>
      <c r="AG153" s="376" t="s">
        <v>178</v>
      </c>
      <c r="AH153" s="379">
        <v>21</v>
      </c>
      <c r="AI153" s="381">
        <v>7362.9</v>
      </c>
      <c r="AJ153" s="376" t="s">
        <v>179</v>
      </c>
      <c r="AK153" s="376" t="s">
        <v>180</v>
      </c>
      <c r="AL153" s="376" t="s">
        <v>170</v>
      </c>
      <c r="AM153" s="376" t="s">
        <v>181</v>
      </c>
      <c r="AN153" s="376" t="s">
        <v>68</v>
      </c>
      <c r="AO153" s="379">
        <v>80</v>
      </c>
      <c r="AP153" s="384">
        <v>1</v>
      </c>
      <c r="AQ153" s="384">
        <v>1</v>
      </c>
      <c r="AR153" s="382" t="s">
        <v>182</v>
      </c>
      <c r="AS153" s="386">
        <f t="shared" si="169"/>
        <v>1</v>
      </c>
      <c r="AT153">
        <f t="shared" si="170"/>
        <v>1</v>
      </c>
      <c r="AU153" s="386">
        <f>IF(AT153=0,"",IF(AND(AT153=1,M153="F",SUMIF(C2:C167,C153,AS2:AS167)&lt;=1),SUMIF(C2:C167,C153,AS2:AS167),IF(AND(AT153=1,M153="F",SUMIF(C2:C167,C153,AS2:AS167)&gt;1),1,"")))</f>
        <v>1</v>
      </c>
      <c r="AV153" s="386" t="str">
        <f>IF(AT153=0,"",IF(AND(AT153=3,M153="F",SUMIF(C2:C167,C153,AS2:AS167)&lt;=1),SUMIF(C2:C167,C153,AS2:AS167),IF(AND(AT153=3,M153="F",SUMIF(C2:C167,C153,AS2:AS167)&gt;1),1,"")))</f>
        <v/>
      </c>
      <c r="AW153" s="386">
        <f>SUMIF(C2:C167,C153,O2:O167)</f>
        <v>1</v>
      </c>
      <c r="AX153" s="386">
        <f>IF(AND(M153="F",AS153&lt;&gt;0),SUMIF(C2:C167,C153,W2:W167),0)</f>
        <v>43680</v>
      </c>
      <c r="AY153" s="386">
        <f t="shared" si="171"/>
        <v>43680</v>
      </c>
      <c r="AZ153" s="386" t="str">
        <f t="shared" si="172"/>
        <v/>
      </c>
      <c r="BA153" s="386">
        <f t="shared" si="173"/>
        <v>0</v>
      </c>
      <c r="BB153" s="386">
        <f t="shared" si="142"/>
        <v>11650</v>
      </c>
      <c r="BC153" s="386">
        <f t="shared" si="143"/>
        <v>0</v>
      </c>
      <c r="BD153" s="386">
        <f t="shared" si="144"/>
        <v>2708.16</v>
      </c>
      <c r="BE153" s="386">
        <f t="shared" si="145"/>
        <v>633.36</v>
      </c>
      <c r="BF153" s="386">
        <f t="shared" si="146"/>
        <v>5215.3919999999998</v>
      </c>
      <c r="BG153" s="386">
        <f t="shared" si="147"/>
        <v>314.93279999999999</v>
      </c>
      <c r="BH153" s="386">
        <f t="shared" si="148"/>
        <v>214.03199999999998</v>
      </c>
      <c r="BI153" s="386">
        <f t="shared" si="149"/>
        <v>0</v>
      </c>
      <c r="BJ153" s="386">
        <f t="shared" si="150"/>
        <v>91.727999999999994</v>
      </c>
      <c r="BK153" s="386">
        <f t="shared" si="151"/>
        <v>0</v>
      </c>
      <c r="BL153" s="386">
        <f t="shared" si="174"/>
        <v>9177.6047999999992</v>
      </c>
      <c r="BM153" s="386">
        <f t="shared" si="175"/>
        <v>0</v>
      </c>
      <c r="BN153" s="386">
        <f t="shared" si="152"/>
        <v>11650</v>
      </c>
      <c r="BO153" s="386">
        <f t="shared" si="153"/>
        <v>0</v>
      </c>
      <c r="BP153" s="386">
        <f t="shared" si="154"/>
        <v>2708.16</v>
      </c>
      <c r="BQ153" s="386">
        <f t="shared" si="155"/>
        <v>633.36</v>
      </c>
      <c r="BR153" s="386">
        <f t="shared" si="156"/>
        <v>5215.3919999999998</v>
      </c>
      <c r="BS153" s="386">
        <f t="shared" si="157"/>
        <v>314.93279999999999</v>
      </c>
      <c r="BT153" s="386">
        <f t="shared" si="158"/>
        <v>0</v>
      </c>
      <c r="BU153" s="386">
        <f t="shared" si="159"/>
        <v>0</v>
      </c>
      <c r="BV153" s="386">
        <f t="shared" si="160"/>
        <v>78.623999999999995</v>
      </c>
      <c r="BW153" s="386">
        <f t="shared" si="161"/>
        <v>0</v>
      </c>
      <c r="BX153" s="386">
        <f t="shared" si="176"/>
        <v>8950.4688000000006</v>
      </c>
      <c r="BY153" s="386">
        <f t="shared" si="177"/>
        <v>0</v>
      </c>
      <c r="BZ153" s="386">
        <f t="shared" si="178"/>
        <v>0</v>
      </c>
      <c r="CA153" s="386">
        <f t="shared" si="179"/>
        <v>0</v>
      </c>
      <c r="CB153" s="386">
        <f t="shared" si="180"/>
        <v>0</v>
      </c>
      <c r="CC153" s="386">
        <f t="shared" si="162"/>
        <v>0</v>
      </c>
      <c r="CD153" s="386">
        <f t="shared" si="163"/>
        <v>0</v>
      </c>
      <c r="CE153" s="386">
        <f t="shared" si="164"/>
        <v>0</v>
      </c>
      <c r="CF153" s="386">
        <f t="shared" si="165"/>
        <v>-214.03199999999998</v>
      </c>
      <c r="CG153" s="386">
        <f t="shared" si="166"/>
        <v>0</v>
      </c>
      <c r="CH153" s="386">
        <f t="shared" si="167"/>
        <v>-13.103999999999996</v>
      </c>
      <c r="CI153" s="386">
        <f t="shared" si="168"/>
        <v>0</v>
      </c>
      <c r="CJ153" s="386">
        <f t="shared" si="181"/>
        <v>-227.13599999999997</v>
      </c>
      <c r="CK153" s="386" t="str">
        <f t="shared" si="182"/>
        <v/>
      </c>
      <c r="CL153" s="386" t="str">
        <f t="shared" si="183"/>
        <v/>
      </c>
      <c r="CM153" s="386" t="str">
        <f t="shared" si="184"/>
        <v/>
      </c>
      <c r="CN153" s="386" t="str">
        <f t="shared" si="185"/>
        <v>0480-00</v>
      </c>
    </row>
    <row r="154" spans="1:92" ht="15.75" thickBot="1" x14ac:dyDescent="0.3">
      <c r="A154" s="376" t="s">
        <v>161</v>
      </c>
      <c r="B154" s="376" t="s">
        <v>162</v>
      </c>
      <c r="C154" s="376" t="s">
        <v>232</v>
      </c>
      <c r="D154" s="376" t="s">
        <v>233</v>
      </c>
      <c r="E154" s="376" t="s">
        <v>501</v>
      </c>
      <c r="F154" s="377" t="s">
        <v>166</v>
      </c>
      <c r="G154" s="376" t="s">
        <v>502</v>
      </c>
      <c r="H154" s="378"/>
      <c r="I154" s="378"/>
      <c r="J154" s="376" t="s">
        <v>220</v>
      </c>
      <c r="K154" s="376" t="s">
        <v>234</v>
      </c>
      <c r="L154" s="376" t="s">
        <v>166</v>
      </c>
      <c r="M154" s="376" t="s">
        <v>171</v>
      </c>
      <c r="N154" s="376" t="s">
        <v>172</v>
      </c>
      <c r="O154" s="379">
        <v>1</v>
      </c>
      <c r="P154" s="384">
        <v>0.33</v>
      </c>
      <c r="Q154" s="384">
        <v>0.33</v>
      </c>
      <c r="R154" s="380">
        <v>80</v>
      </c>
      <c r="S154" s="384">
        <v>0.33</v>
      </c>
      <c r="T154" s="380">
        <v>29189.79</v>
      </c>
      <c r="U154" s="380">
        <v>0</v>
      </c>
      <c r="V154" s="380">
        <v>9953.25</v>
      </c>
      <c r="W154" s="380">
        <v>20653.77</v>
      </c>
      <c r="X154" s="380">
        <v>8184.05</v>
      </c>
      <c r="Y154" s="380">
        <v>20653.77</v>
      </c>
      <c r="Z154" s="380">
        <v>8076.65</v>
      </c>
      <c r="AA154" s="376" t="s">
        <v>235</v>
      </c>
      <c r="AB154" s="376" t="s">
        <v>236</v>
      </c>
      <c r="AC154" s="376" t="s">
        <v>237</v>
      </c>
      <c r="AD154" s="376" t="s">
        <v>238</v>
      </c>
      <c r="AE154" s="376" t="s">
        <v>234</v>
      </c>
      <c r="AF154" s="376" t="s">
        <v>177</v>
      </c>
      <c r="AG154" s="376" t="s">
        <v>178</v>
      </c>
      <c r="AH154" s="381">
        <v>30.09</v>
      </c>
      <c r="AI154" s="381">
        <v>4003.5</v>
      </c>
      <c r="AJ154" s="376" t="s">
        <v>179</v>
      </c>
      <c r="AK154" s="376" t="s">
        <v>180</v>
      </c>
      <c r="AL154" s="376" t="s">
        <v>170</v>
      </c>
      <c r="AM154" s="376" t="s">
        <v>181</v>
      </c>
      <c r="AN154" s="376" t="s">
        <v>68</v>
      </c>
      <c r="AO154" s="379">
        <v>80</v>
      </c>
      <c r="AP154" s="384">
        <v>1</v>
      </c>
      <c r="AQ154" s="384">
        <v>0.33</v>
      </c>
      <c r="AR154" s="382" t="s">
        <v>182</v>
      </c>
      <c r="AS154" s="386">
        <f t="shared" si="169"/>
        <v>0.33</v>
      </c>
      <c r="AT154">
        <f t="shared" si="170"/>
        <v>1</v>
      </c>
      <c r="AU154" s="386">
        <f>IF(AT154=0,"",IF(AND(AT154=1,M154="F",SUMIF(C2:C167,C154,AS2:AS167)&lt;=1),SUMIF(C2:C167,C154,AS2:AS167),IF(AND(AT154=1,M154="F",SUMIF(C2:C167,C154,AS2:AS167)&gt;1),1,"")))</f>
        <v>1</v>
      </c>
      <c r="AV154" s="386" t="str">
        <f>IF(AT154=0,"",IF(AND(AT154=3,M154="F",SUMIF(C2:C167,C154,AS2:AS167)&lt;=1),SUMIF(C2:C167,C154,AS2:AS167),IF(AND(AT154=3,M154="F",SUMIF(C2:C167,C154,AS2:AS167)&gt;1),1,"")))</f>
        <v/>
      </c>
      <c r="AW154" s="386">
        <f>SUMIF(C2:C167,C154,O2:O167)</f>
        <v>5</v>
      </c>
      <c r="AX154" s="386">
        <f>IF(AND(M154="F",AS154&lt;&gt;0),SUMIF(C2:C167,C154,W2:W167),0)</f>
        <v>62587.180000000008</v>
      </c>
      <c r="AY154" s="386">
        <f t="shared" si="171"/>
        <v>20653.77</v>
      </c>
      <c r="AZ154" s="386" t="str">
        <f t="shared" si="172"/>
        <v/>
      </c>
      <c r="BA154" s="386">
        <f t="shared" si="173"/>
        <v>0</v>
      </c>
      <c r="BB154" s="386">
        <f t="shared" si="142"/>
        <v>3844.5</v>
      </c>
      <c r="BC154" s="386">
        <f t="shared" si="143"/>
        <v>0</v>
      </c>
      <c r="BD154" s="386">
        <f t="shared" si="144"/>
        <v>1280.5337400000001</v>
      </c>
      <c r="BE154" s="386">
        <f t="shared" si="145"/>
        <v>299.47966500000001</v>
      </c>
      <c r="BF154" s="386">
        <f t="shared" si="146"/>
        <v>2466.0601380000003</v>
      </c>
      <c r="BG154" s="386">
        <f t="shared" si="147"/>
        <v>148.91368170000001</v>
      </c>
      <c r="BH154" s="386">
        <f t="shared" si="148"/>
        <v>101.203473</v>
      </c>
      <c r="BI154" s="386">
        <f t="shared" si="149"/>
        <v>0</v>
      </c>
      <c r="BJ154" s="386">
        <f t="shared" si="150"/>
        <v>43.372917000000001</v>
      </c>
      <c r="BK154" s="386">
        <f t="shared" si="151"/>
        <v>0</v>
      </c>
      <c r="BL154" s="386">
        <f t="shared" si="174"/>
        <v>4339.5636146999996</v>
      </c>
      <c r="BM154" s="386">
        <f t="shared" si="175"/>
        <v>0</v>
      </c>
      <c r="BN154" s="386">
        <f t="shared" si="152"/>
        <v>3844.5</v>
      </c>
      <c r="BO154" s="386">
        <f t="shared" si="153"/>
        <v>0</v>
      </c>
      <c r="BP154" s="386">
        <f t="shared" si="154"/>
        <v>1280.5337400000001</v>
      </c>
      <c r="BQ154" s="386">
        <f t="shared" si="155"/>
        <v>299.47966500000001</v>
      </c>
      <c r="BR154" s="386">
        <f t="shared" si="156"/>
        <v>2466.0601380000003</v>
      </c>
      <c r="BS154" s="386">
        <f t="shared" si="157"/>
        <v>148.91368170000001</v>
      </c>
      <c r="BT154" s="386">
        <f t="shared" si="158"/>
        <v>0</v>
      </c>
      <c r="BU154" s="386">
        <f t="shared" si="159"/>
        <v>0</v>
      </c>
      <c r="BV154" s="386">
        <f t="shared" si="160"/>
        <v>37.176786</v>
      </c>
      <c r="BW154" s="386">
        <f t="shared" si="161"/>
        <v>0</v>
      </c>
      <c r="BX154" s="386">
        <f t="shared" si="176"/>
        <v>4232.1640107000003</v>
      </c>
      <c r="BY154" s="386">
        <f t="shared" si="177"/>
        <v>0</v>
      </c>
      <c r="BZ154" s="386">
        <f t="shared" si="178"/>
        <v>0</v>
      </c>
      <c r="CA154" s="386">
        <f t="shared" si="179"/>
        <v>0</v>
      </c>
      <c r="CB154" s="386">
        <f t="shared" si="180"/>
        <v>0</v>
      </c>
      <c r="CC154" s="386">
        <f t="shared" si="162"/>
        <v>0</v>
      </c>
      <c r="CD154" s="386">
        <f t="shared" si="163"/>
        <v>0</v>
      </c>
      <c r="CE154" s="386">
        <f t="shared" si="164"/>
        <v>0</v>
      </c>
      <c r="CF154" s="386">
        <f t="shared" si="165"/>
        <v>-101.203473</v>
      </c>
      <c r="CG154" s="386">
        <f t="shared" si="166"/>
        <v>0</v>
      </c>
      <c r="CH154" s="386">
        <f t="shared" si="167"/>
        <v>-6.1961309999999985</v>
      </c>
      <c r="CI154" s="386">
        <f t="shared" si="168"/>
        <v>0</v>
      </c>
      <c r="CJ154" s="386">
        <f t="shared" si="181"/>
        <v>-107.399604</v>
      </c>
      <c r="CK154" s="386" t="str">
        <f t="shared" si="182"/>
        <v/>
      </c>
      <c r="CL154" s="386" t="str">
        <f t="shared" si="183"/>
        <v/>
      </c>
      <c r="CM154" s="386" t="str">
        <f t="shared" si="184"/>
        <v/>
      </c>
      <c r="CN154" s="386" t="str">
        <f t="shared" si="185"/>
        <v>0480-00</v>
      </c>
    </row>
    <row r="155" spans="1:92" ht="15.75" thickBot="1" x14ac:dyDescent="0.3">
      <c r="A155" s="376" t="s">
        <v>161</v>
      </c>
      <c r="B155" s="376" t="s">
        <v>162</v>
      </c>
      <c r="C155" s="376" t="s">
        <v>666</v>
      </c>
      <c r="D155" s="376" t="s">
        <v>547</v>
      </c>
      <c r="E155" s="376" t="s">
        <v>501</v>
      </c>
      <c r="F155" s="377" t="s">
        <v>166</v>
      </c>
      <c r="G155" s="376" t="s">
        <v>502</v>
      </c>
      <c r="H155" s="378"/>
      <c r="I155" s="378"/>
      <c r="J155" s="376" t="s">
        <v>168</v>
      </c>
      <c r="K155" s="376" t="s">
        <v>548</v>
      </c>
      <c r="L155" s="376" t="s">
        <v>166</v>
      </c>
      <c r="M155" s="376" t="s">
        <v>281</v>
      </c>
      <c r="N155" s="376" t="s">
        <v>172</v>
      </c>
      <c r="O155" s="379">
        <v>0</v>
      </c>
      <c r="P155" s="384">
        <v>1</v>
      </c>
      <c r="Q155" s="384">
        <v>1</v>
      </c>
      <c r="R155" s="380">
        <v>80</v>
      </c>
      <c r="S155" s="384">
        <v>1</v>
      </c>
      <c r="T155" s="380">
        <v>19961.28</v>
      </c>
      <c r="U155" s="380">
        <v>1797.62</v>
      </c>
      <c r="V155" s="380">
        <v>13694.92</v>
      </c>
      <c r="W155" s="380">
        <v>17900.060000000001</v>
      </c>
      <c r="X155" s="380">
        <v>7840.22</v>
      </c>
      <c r="Y155" s="380">
        <v>17900.060000000001</v>
      </c>
      <c r="Z155" s="380">
        <v>7750.72</v>
      </c>
      <c r="AA155" s="378"/>
      <c r="AB155" s="376" t="s">
        <v>45</v>
      </c>
      <c r="AC155" s="376" t="s">
        <v>45</v>
      </c>
      <c r="AD155" s="378"/>
      <c r="AE155" s="378"/>
      <c r="AF155" s="378"/>
      <c r="AG155" s="378"/>
      <c r="AH155" s="379">
        <v>0</v>
      </c>
      <c r="AI155" s="379">
        <v>0</v>
      </c>
      <c r="AJ155" s="378"/>
      <c r="AK155" s="378"/>
      <c r="AL155" s="376" t="s">
        <v>170</v>
      </c>
      <c r="AM155" s="378"/>
      <c r="AN155" s="378"/>
      <c r="AO155" s="379">
        <v>0</v>
      </c>
      <c r="AP155" s="384">
        <v>0</v>
      </c>
      <c r="AQ155" s="384">
        <v>0</v>
      </c>
      <c r="AR155" s="383"/>
      <c r="AS155" s="386">
        <f t="shared" si="169"/>
        <v>0</v>
      </c>
      <c r="AT155">
        <f t="shared" si="170"/>
        <v>0</v>
      </c>
      <c r="AU155" s="386" t="str">
        <f>IF(AT155=0,"",IF(AND(AT155=1,M155="F",SUMIF(C2:C167,C155,AS2:AS167)&lt;=1),SUMIF(C2:C167,C155,AS2:AS167),IF(AND(AT155=1,M155="F",SUMIF(C2:C167,C155,AS2:AS167)&gt;1),1,"")))</f>
        <v/>
      </c>
      <c r="AV155" s="386" t="str">
        <f>IF(AT155=0,"",IF(AND(AT155=3,M155="F",SUMIF(C2:C167,C155,AS2:AS167)&lt;=1),SUMIF(C2:C167,C155,AS2:AS167),IF(AND(AT155=3,M155="F",SUMIF(C2:C167,C155,AS2:AS167)&gt;1),1,"")))</f>
        <v/>
      </c>
      <c r="AW155" s="386">
        <f>SUMIF(C2:C167,C155,O2:O167)</f>
        <v>0</v>
      </c>
      <c r="AX155" s="386">
        <f>IF(AND(M155="F",AS155&lt;&gt;0),SUMIF(C2:C167,C155,W2:W167),0)</f>
        <v>0</v>
      </c>
      <c r="AY155" s="386" t="str">
        <f t="shared" si="171"/>
        <v/>
      </c>
      <c r="AZ155" s="386" t="str">
        <f t="shared" si="172"/>
        <v/>
      </c>
      <c r="BA155" s="386">
        <f t="shared" si="173"/>
        <v>0</v>
      </c>
      <c r="BB155" s="386">
        <f t="shared" si="142"/>
        <v>0</v>
      </c>
      <c r="BC155" s="386">
        <f t="shared" si="143"/>
        <v>0</v>
      </c>
      <c r="BD155" s="386">
        <f t="shared" si="144"/>
        <v>0</v>
      </c>
      <c r="BE155" s="386">
        <f t="shared" si="145"/>
        <v>0</v>
      </c>
      <c r="BF155" s="386">
        <f t="shared" si="146"/>
        <v>0</v>
      </c>
      <c r="BG155" s="386">
        <f t="shared" si="147"/>
        <v>0</v>
      </c>
      <c r="BH155" s="386">
        <f t="shared" si="148"/>
        <v>0</v>
      </c>
      <c r="BI155" s="386">
        <f t="shared" si="149"/>
        <v>0</v>
      </c>
      <c r="BJ155" s="386">
        <f t="shared" si="150"/>
        <v>0</v>
      </c>
      <c r="BK155" s="386">
        <f t="shared" si="151"/>
        <v>0</v>
      </c>
      <c r="BL155" s="386">
        <f t="shared" si="174"/>
        <v>0</v>
      </c>
      <c r="BM155" s="386">
        <f t="shared" si="175"/>
        <v>0</v>
      </c>
      <c r="BN155" s="386">
        <f t="shared" si="152"/>
        <v>0</v>
      </c>
      <c r="BO155" s="386">
        <f t="shared" si="153"/>
        <v>0</v>
      </c>
      <c r="BP155" s="386">
        <f t="shared" si="154"/>
        <v>0</v>
      </c>
      <c r="BQ155" s="386">
        <f t="shared" si="155"/>
        <v>0</v>
      </c>
      <c r="BR155" s="386">
        <f t="shared" si="156"/>
        <v>0</v>
      </c>
      <c r="BS155" s="386">
        <f t="shared" si="157"/>
        <v>0</v>
      </c>
      <c r="BT155" s="386">
        <f t="shared" si="158"/>
        <v>0</v>
      </c>
      <c r="BU155" s="386">
        <f t="shared" si="159"/>
        <v>0</v>
      </c>
      <c r="BV155" s="386">
        <f t="shared" si="160"/>
        <v>0</v>
      </c>
      <c r="BW155" s="386">
        <f t="shared" si="161"/>
        <v>0</v>
      </c>
      <c r="BX155" s="386">
        <f t="shared" si="176"/>
        <v>0</v>
      </c>
      <c r="BY155" s="386">
        <f t="shared" si="177"/>
        <v>0</v>
      </c>
      <c r="BZ155" s="386">
        <f t="shared" si="178"/>
        <v>0</v>
      </c>
      <c r="CA155" s="386">
        <f t="shared" si="179"/>
        <v>0</v>
      </c>
      <c r="CB155" s="386">
        <f t="shared" si="180"/>
        <v>0</v>
      </c>
      <c r="CC155" s="386">
        <f t="shared" si="162"/>
        <v>0</v>
      </c>
      <c r="CD155" s="386">
        <f t="shared" si="163"/>
        <v>0</v>
      </c>
      <c r="CE155" s="386">
        <f t="shared" si="164"/>
        <v>0</v>
      </c>
      <c r="CF155" s="386">
        <f t="shared" si="165"/>
        <v>0</v>
      </c>
      <c r="CG155" s="386">
        <f t="shared" si="166"/>
        <v>0</v>
      </c>
      <c r="CH155" s="386">
        <f t="shared" si="167"/>
        <v>0</v>
      </c>
      <c r="CI155" s="386">
        <f t="shared" si="168"/>
        <v>0</v>
      </c>
      <c r="CJ155" s="386">
        <f t="shared" si="181"/>
        <v>0</v>
      </c>
      <c r="CK155" s="386" t="str">
        <f t="shared" si="182"/>
        <v/>
      </c>
      <c r="CL155" s="386" t="str">
        <f t="shared" si="183"/>
        <v/>
      </c>
      <c r="CM155" s="386" t="str">
        <f t="shared" si="184"/>
        <v/>
      </c>
      <c r="CN155" s="386" t="str">
        <f t="shared" si="185"/>
        <v>0480-00</v>
      </c>
    </row>
    <row r="156" spans="1:92" ht="15.75" thickBot="1" x14ac:dyDescent="0.3">
      <c r="A156" s="376" t="s">
        <v>161</v>
      </c>
      <c r="B156" s="376" t="s">
        <v>162</v>
      </c>
      <c r="C156" s="376" t="s">
        <v>283</v>
      </c>
      <c r="D156" s="376" t="s">
        <v>284</v>
      </c>
      <c r="E156" s="376" t="s">
        <v>501</v>
      </c>
      <c r="F156" s="377" t="s">
        <v>166</v>
      </c>
      <c r="G156" s="376" t="s">
        <v>502</v>
      </c>
      <c r="H156" s="378"/>
      <c r="I156" s="378"/>
      <c r="J156" s="376" t="s">
        <v>168</v>
      </c>
      <c r="K156" s="376" t="s">
        <v>285</v>
      </c>
      <c r="L156" s="376" t="s">
        <v>166</v>
      </c>
      <c r="M156" s="376" t="s">
        <v>171</v>
      </c>
      <c r="N156" s="376" t="s">
        <v>172</v>
      </c>
      <c r="O156" s="379">
        <v>1</v>
      </c>
      <c r="P156" s="384">
        <v>0</v>
      </c>
      <c r="Q156" s="384">
        <v>0</v>
      </c>
      <c r="R156" s="380">
        <v>80</v>
      </c>
      <c r="S156" s="384">
        <v>0</v>
      </c>
      <c r="T156" s="380">
        <v>5562.5</v>
      </c>
      <c r="U156" s="380">
        <v>0</v>
      </c>
      <c r="V156" s="380">
        <v>2471.3000000000002</v>
      </c>
      <c r="W156" s="380">
        <v>0</v>
      </c>
      <c r="X156" s="380">
        <v>0</v>
      </c>
      <c r="Y156" s="380">
        <v>0</v>
      </c>
      <c r="Z156" s="380">
        <v>0</v>
      </c>
      <c r="AA156" s="376" t="s">
        <v>286</v>
      </c>
      <c r="AB156" s="376" t="s">
        <v>287</v>
      </c>
      <c r="AC156" s="376" t="s">
        <v>288</v>
      </c>
      <c r="AD156" s="376" t="s">
        <v>289</v>
      </c>
      <c r="AE156" s="376" t="s">
        <v>285</v>
      </c>
      <c r="AF156" s="376" t="s">
        <v>177</v>
      </c>
      <c r="AG156" s="376" t="s">
        <v>178</v>
      </c>
      <c r="AH156" s="381">
        <v>25.76</v>
      </c>
      <c r="AI156" s="381">
        <v>10664.2</v>
      </c>
      <c r="AJ156" s="376" t="s">
        <v>179</v>
      </c>
      <c r="AK156" s="376" t="s">
        <v>180</v>
      </c>
      <c r="AL156" s="376" t="s">
        <v>170</v>
      </c>
      <c r="AM156" s="376" t="s">
        <v>181</v>
      </c>
      <c r="AN156" s="376" t="s">
        <v>68</v>
      </c>
      <c r="AO156" s="379">
        <v>80</v>
      </c>
      <c r="AP156" s="384">
        <v>1</v>
      </c>
      <c r="AQ156" s="384">
        <v>0</v>
      </c>
      <c r="AR156" s="382" t="s">
        <v>182</v>
      </c>
      <c r="AS156" s="386">
        <f t="shared" si="169"/>
        <v>0</v>
      </c>
      <c r="AT156">
        <f t="shared" si="170"/>
        <v>0</v>
      </c>
      <c r="AU156" s="386" t="str">
        <f>IF(AT156=0,"",IF(AND(AT156=1,M156="F",SUMIF(C2:C167,C156,AS2:AS167)&lt;=1),SUMIF(C2:C167,C156,AS2:AS167),IF(AND(AT156=1,M156="F",SUMIF(C2:C167,C156,AS2:AS167)&gt;1),1,"")))</f>
        <v/>
      </c>
      <c r="AV156" s="386" t="str">
        <f>IF(AT156=0,"",IF(AND(AT156=3,M156="F",SUMIF(C2:C167,C156,AS2:AS167)&lt;=1),SUMIF(C2:C167,C156,AS2:AS167),IF(AND(AT156=3,M156="F",SUMIF(C2:C167,C156,AS2:AS167)&gt;1),1,"")))</f>
        <v/>
      </c>
      <c r="AW156" s="386">
        <f>SUMIF(C2:C167,C156,O2:O167)</f>
        <v>2</v>
      </c>
      <c r="AX156" s="386">
        <f>IF(AND(M156="F",AS156&lt;&gt;0),SUMIF(C2:C167,C156,W2:W167),0)</f>
        <v>0</v>
      </c>
      <c r="AY156" s="386" t="str">
        <f t="shared" si="171"/>
        <v/>
      </c>
      <c r="AZ156" s="386" t="str">
        <f t="shared" si="172"/>
        <v/>
      </c>
      <c r="BA156" s="386">
        <f t="shared" si="173"/>
        <v>0</v>
      </c>
      <c r="BB156" s="386">
        <f t="shared" si="142"/>
        <v>0</v>
      </c>
      <c r="BC156" s="386">
        <f t="shared" si="143"/>
        <v>0</v>
      </c>
      <c r="BD156" s="386">
        <f t="shared" si="144"/>
        <v>0</v>
      </c>
      <c r="BE156" s="386">
        <f t="shared" si="145"/>
        <v>0</v>
      </c>
      <c r="BF156" s="386">
        <f t="shared" si="146"/>
        <v>0</v>
      </c>
      <c r="BG156" s="386">
        <f t="shared" si="147"/>
        <v>0</v>
      </c>
      <c r="BH156" s="386">
        <f t="shared" si="148"/>
        <v>0</v>
      </c>
      <c r="BI156" s="386">
        <f t="shared" si="149"/>
        <v>0</v>
      </c>
      <c r="BJ156" s="386">
        <f t="shared" si="150"/>
        <v>0</v>
      </c>
      <c r="BK156" s="386">
        <f t="shared" si="151"/>
        <v>0</v>
      </c>
      <c r="BL156" s="386">
        <f t="shared" si="174"/>
        <v>0</v>
      </c>
      <c r="BM156" s="386">
        <f t="shared" si="175"/>
        <v>0</v>
      </c>
      <c r="BN156" s="386">
        <f t="shared" si="152"/>
        <v>0</v>
      </c>
      <c r="BO156" s="386">
        <f t="shared" si="153"/>
        <v>0</v>
      </c>
      <c r="BP156" s="386">
        <f t="shared" si="154"/>
        <v>0</v>
      </c>
      <c r="BQ156" s="386">
        <f t="shared" si="155"/>
        <v>0</v>
      </c>
      <c r="BR156" s="386">
        <f t="shared" si="156"/>
        <v>0</v>
      </c>
      <c r="BS156" s="386">
        <f t="shared" si="157"/>
        <v>0</v>
      </c>
      <c r="BT156" s="386">
        <f t="shared" si="158"/>
        <v>0</v>
      </c>
      <c r="BU156" s="386">
        <f t="shared" si="159"/>
        <v>0</v>
      </c>
      <c r="BV156" s="386">
        <f t="shared" si="160"/>
        <v>0</v>
      </c>
      <c r="BW156" s="386">
        <f t="shared" si="161"/>
        <v>0</v>
      </c>
      <c r="BX156" s="386">
        <f t="shared" si="176"/>
        <v>0</v>
      </c>
      <c r="BY156" s="386">
        <f t="shared" si="177"/>
        <v>0</v>
      </c>
      <c r="BZ156" s="386">
        <f t="shared" si="178"/>
        <v>0</v>
      </c>
      <c r="CA156" s="386">
        <f t="shared" si="179"/>
        <v>0</v>
      </c>
      <c r="CB156" s="386">
        <f t="shared" si="180"/>
        <v>0</v>
      </c>
      <c r="CC156" s="386">
        <f t="shared" si="162"/>
        <v>0</v>
      </c>
      <c r="CD156" s="386">
        <f t="shared" si="163"/>
        <v>0</v>
      </c>
      <c r="CE156" s="386">
        <f t="shared" si="164"/>
        <v>0</v>
      </c>
      <c r="CF156" s="386">
        <f t="shared" si="165"/>
        <v>0</v>
      </c>
      <c r="CG156" s="386">
        <f t="shared" si="166"/>
        <v>0</v>
      </c>
      <c r="CH156" s="386">
        <f t="shared" si="167"/>
        <v>0</v>
      </c>
      <c r="CI156" s="386">
        <f t="shared" si="168"/>
        <v>0</v>
      </c>
      <c r="CJ156" s="386">
        <f t="shared" si="181"/>
        <v>0</v>
      </c>
      <c r="CK156" s="386" t="str">
        <f t="shared" si="182"/>
        <v/>
      </c>
      <c r="CL156" s="386" t="str">
        <f t="shared" si="183"/>
        <v/>
      </c>
      <c r="CM156" s="386" t="str">
        <f t="shared" si="184"/>
        <v/>
      </c>
      <c r="CN156" s="386" t="str">
        <f t="shared" si="185"/>
        <v>0480-00</v>
      </c>
    </row>
    <row r="157" spans="1:92" ht="15.75" thickBot="1" x14ac:dyDescent="0.3">
      <c r="A157" s="376" t="s">
        <v>161</v>
      </c>
      <c r="B157" s="376" t="s">
        <v>162</v>
      </c>
      <c r="C157" s="376" t="s">
        <v>667</v>
      </c>
      <c r="D157" s="376" t="s">
        <v>438</v>
      </c>
      <c r="E157" s="376" t="s">
        <v>501</v>
      </c>
      <c r="F157" s="377" t="s">
        <v>166</v>
      </c>
      <c r="G157" s="376" t="s">
        <v>502</v>
      </c>
      <c r="H157" s="378"/>
      <c r="I157" s="378"/>
      <c r="J157" s="376" t="s">
        <v>168</v>
      </c>
      <c r="K157" s="376" t="s">
        <v>601</v>
      </c>
      <c r="L157" s="376" t="s">
        <v>304</v>
      </c>
      <c r="M157" s="376" t="s">
        <v>281</v>
      </c>
      <c r="N157" s="376" t="s">
        <v>172</v>
      </c>
      <c r="O157" s="379">
        <v>0</v>
      </c>
      <c r="P157" s="384">
        <v>1</v>
      </c>
      <c r="Q157" s="384">
        <v>1</v>
      </c>
      <c r="R157" s="380">
        <v>80</v>
      </c>
      <c r="S157" s="384">
        <v>1</v>
      </c>
      <c r="T157" s="380">
        <v>35133.86</v>
      </c>
      <c r="U157" s="380">
        <v>0</v>
      </c>
      <c r="V157" s="380">
        <v>13888.67</v>
      </c>
      <c r="W157" s="380">
        <v>50752</v>
      </c>
      <c r="X157" s="380">
        <v>22229.37</v>
      </c>
      <c r="Y157" s="380">
        <v>50752</v>
      </c>
      <c r="Z157" s="380">
        <v>21975.61</v>
      </c>
      <c r="AA157" s="378"/>
      <c r="AB157" s="376" t="s">
        <v>45</v>
      </c>
      <c r="AC157" s="376" t="s">
        <v>45</v>
      </c>
      <c r="AD157" s="378"/>
      <c r="AE157" s="378"/>
      <c r="AF157" s="378"/>
      <c r="AG157" s="378"/>
      <c r="AH157" s="379">
        <v>0</v>
      </c>
      <c r="AI157" s="379">
        <v>0</v>
      </c>
      <c r="AJ157" s="378"/>
      <c r="AK157" s="378"/>
      <c r="AL157" s="376" t="s">
        <v>170</v>
      </c>
      <c r="AM157" s="378"/>
      <c r="AN157" s="378"/>
      <c r="AO157" s="379">
        <v>0</v>
      </c>
      <c r="AP157" s="384">
        <v>0</v>
      </c>
      <c r="AQ157" s="384">
        <v>0</v>
      </c>
      <c r="AR157" s="383"/>
      <c r="AS157" s="386">
        <f t="shared" si="169"/>
        <v>0</v>
      </c>
      <c r="AT157">
        <f t="shared" si="170"/>
        <v>0</v>
      </c>
      <c r="AU157" s="386" t="str">
        <f>IF(AT157=0,"",IF(AND(AT157=1,M157="F",SUMIF(C2:C167,C157,AS2:AS167)&lt;=1),SUMIF(C2:C167,C157,AS2:AS167),IF(AND(AT157=1,M157="F",SUMIF(C2:C167,C157,AS2:AS167)&gt;1),1,"")))</f>
        <v/>
      </c>
      <c r="AV157" s="386" t="str">
        <f>IF(AT157=0,"",IF(AND(AT157=3,M157="F",SUMIF(C2:C167,C157,AS2:AS167)&lt;=1),SUMIF(C2:C167,C157,AS2:AS167),IF(AND(AT157=3,M157="F",SUMIF(C2:C167,C157,AS2:AS167)&gt;1),1,"")))</f>
        <v/>
      </c>
      <c r="AW157" s="386">
        <f>SUMIF(C2:C167,C157,O2:O167)</f>
        <v>0</v>
      </c>
      <c r="AX157" s="386">
        <f>IF(AND(M157="F",AS157&lt;&gt;0),SUMIF(C2:C167,C157,W2:W167),0)</f>
        <v>0</v>
      </c>
      <c r="AY157" s="386" t="str">
        <f t="shared" si="171"/>
        <v/>
      </c>
      <c r="AZ157" s="386" t="str">
        <f t="shared" si="172"/>
        <v/>
      </c>
      <c r="BA157" s="386">
        <f t="shared" si="173"/>
        <v>0</v>
      </c>
      <c r="BB157" s="386">
        <f t="shared" si="142"/>
        <v>0</v>
      </c>
      <c r="BC157" s="386">
        <f t="shared" si="143"/>
        <v>0</v>
      </c>
      <c r="BD157" s="386">
        <f t="shared" si="144"/>
        <v>0</v>
      </c>
      <c r="BE157" s="386">
        <f t="shared" si="145"/>
        <v>0</v>
      </c>
      <c r="BF157" s="386">
        <f t="shared" si="146"/>
        <v>0</v>
      </c>
      <c r="BG157" s="386">
        <f t="shared" si="147"/>
        <v>0</v>
      </c>
      <c r="BH157" s="386">
        <f t="shared" si="148"/>
        <v>0</v>
      </c>
      <c r="BI157" s="386">
        <f t="shared" si="149"/>
        <v>0</v>
      </c>
      <c r="BJ157" s="386">
        <f t="shared" si="150"/>
        <v>0</v>
      </c>
      <c r="BK157" s="386">
        <f t="shared" si="151"/>
        <v>0</v>
      </c>
      <c r="BL157" s="386">
        <f t="shared" si="174"/>
        <v>0</v>
      </c>
      <c r="BM157" s="386">
        <f t="shared" si="175"/>
        <v>0</v>
      </c>
      <c r="BN157" s="386">
        <f t="shared" si="152"/>
        <v>0</v>
      </c>
      <c r="BO157" s="386">
        <f t="shared" si="153"/>
        <v>0</v>
      </c>
      <c r="BP157" s="386">
        <f t="shared" si="154"/>
        <v>0</v>
      </c>
      <c r="BQ157" s="386">
        <f t="shared" si="155"/>
        <v>0</v>
      </c>
      <c r="BR157" s="386">
        <f t="shared" si="156"/>
        <v>0</v>
      </c>
      <c r="BS157" s="386">
        <f t="shared" si="157"/>
        <v>0</v>
      </c>
      <c r="BT157" s="386">
        <f t="shared" si="158"/>
        <v>0</v>
      </c>
      <c r="BU157" s="386">
        <f t="shared" si="159"/>
        <v>0</v>
      </c>
      <c r="BV157" s="386">
        <f t="shared" si="160"/>
        <v>0</v>
      </c>
      <c r="BW157" s="386">
        <f t="shared" si="161"/>
        <v>0</v>
      </c>
      <c r="BX157" s="386">
        <f t="shared" si="176"/>
        <v>0</v>
      </c>
      <c r="BY157" s="386">
        <f t="shared" si="177"/>
        <v>0</v>
      </c>
      <c r="BZ157" s="386">
        <f t="shared" si="178"/>
        <v>0</v>
      </c>
      <c r="CA157" s="386">
        <f t="shared" si="179"/>
        <v>0</v>
      </c>
      <c r="CB157" s="386">
        <f t="shared" si="180"/>
        <v>0</v>
      </c>
      <c r="CC157" s="386">
        <f t="shared" si="162"/>
        <v>0</v>
      </c>
      <c r="CD157" s="386">
        <f t="shared" si="163"/>
        <v>0</v>
      </c>
      <c r="CE157" s="386">
        <f t="shared" si="164"/>
        <v>0</v>
      </c>
      <c r="CF157" s="386">
        <f t="shared" si="165"/>
        <v>0</v>
      </c>
      <c r="CG157" s="386">
        <f t="shared" si="166"/>
        <v>0</v>
      </c>
      <c r="CH157" s="386">
        <f t="shared" si="167"/>
        <v>0</v>
      </c>
      <c r="CI157" s="386">
        <f t="shared" si="168"/>
        <v>0</v>
      </c>
      <c r="CJ157" s="386">
        <f t="shared" si="181"/>
        <v>0</v>
      </c>
      <c r="CK157" s="386" t="str">
        <f t="shared" si="182"/>
        <v/>
      </c>
      <c r="CL157" s="386" t="str">
        <f t="shared" si="183"/>
        <v/>
      </c>
      <c r="CM157" s="386" t="str">
        <f t="shared" si="184"/>
        <v/>
      </c>
      <c r="CN157" s="386" t="str">
        <f t="shared" si="185"/>
        <v>0480-00</v>
      </c>
    </row>
    <row r="158" spans="1:92" ht="15.75" thickBot="1" x14ac:dyDescent="0.3">
      <c r="A158" s="376" t="s">
        <v>161</v>
      </c>
      <c r="B158" s="376" t="s">
        <v>162</v>
      </c>
      <c r="C158" s="376" t="s">
        <v>252</v>
      </c>
      <c r="D158" s="376" t="s">
        <v>253</v>
      </c>
      <c r="E158" s="376" t="s">
        <v>501</v>
      </c>
      <c r="F158" s="377" t="s">
        <v>166</v>
      </c>
      <c r="G158" s="376" t="s">
        <v>502</v>
      </c>
      <c r="H158" s="378"/>
      <c r="I158" s="378"/>
      <c r="J158" s="376" t="s">
        <v>185</v>
      </c>
      <c r="K158" s="376" t="s">
        <v>254</v>
      </c>
      <c r="L158" s="376" t="s">
        <v>166</v>
      </c>
      <c r="M158" s="376" t="s">
        <v>171</v>
      </c>
      <c r="N158" s="376" t="s">
        <v>172</v>
      </c>
      <c r="O158" s="379">
        <v>1</v>
      </c>
      <c r="P158" s="384">
        <v>0.7</v>
      </c>
      <c r="Q158" s="384">
        <v>0.7</v>
      </c>
      <c r="R158" s="380">
        <v>80</v>
      </c>
      <c r="S158" s="384">
        <v>0.7</v>
      </c>
      <c r="T158" s="380">
        <v>92664.87</v>
      </c>
      <c r="U158" s="380">
        <v>0</v>
      </c>
      <c r="V158" s="380">
        <v>26887.27</v>
      </c>
      <c r="W158" s="380">
        <v>93446.080000000002</v>
      </c>
      <c r="X158" s="380">
        <v>27788.93</v>
      </c>
      <c r="Y158" s="380">
        <v>93446.080000000002</v>
      </c>
      <c r="Z158" s="380">
        <v>27303.01</v>
      </c>
      <c r="AA158" s="376" t="s">
        <v>255</v>
      </c>
      <c r="AB158" s="376" t="s">
        <v>256</v>
      </c>
      <c r="AC158" s="376" t="s">
        <v>257</v>
      </c>
      <c r="AD158" s="376" t="s">
        <v>211</v>
      </c>
      <c r="AE158" s="376" t="s">
        <v>254</v>
      </c>
      <c r="AF158" s="376" t="s">
        <v>177</v>
      </c>
      <c r="AG158" s="376" t="s">
        <v>178</v>
      </c>
      <c r="AH158" s="381">
        <v>64.180000000000007</v>
      </c>
      <c r="AI158" s="381">
        <v>19898.7</v>
      </c>
      <c r="AJ158" s="376" t="s">
        <v>179</v>
      </c>
      <c r="AK158" s="376" t="s">
        <v>180</v>
      </c>
      <c r="AL158" s="376" t="s">
        <v>170</v>
      </c>
      <c r="AM158" s="376" t="s">
        <v>181</v>
      </c>
      <c r="AN158" s="376" t="s">
        <v>68</v>
      </c>
      <c r="AO158" s="379">
        <v>80</v>
      </c>
      <c r="AP158" s="384">
        <v>1</v>
      </c>
      <c r="AQ158" s="384">
        <v>0.7</v>
      </c>
      <c r="AR158" s="382" t="s">
        <v>182</v>
      </c>
      <c r="AS158" s="386">
        <f t="shared" si="169"/>
        <v>0.7</v>
      </c>
      <c r="AT158">
        <f t="shared" si="170"/>
        <v>1</v>
      </c>
      <c r="AU158" s="386">
        <f>IF(AT158=0,"",IF(AND(AT158=1,M158="F",SUMIF(C2:C167,C158,AS2:AS167)&lt;=1),SUMIF(C2:C167,C158,AS2:AS167),IF(AND(AT158=1,M158="F",SUMIF(C2:C167,C158,AS2:AS167)&gt;1),1,"")))</f>
        <v>1</v>
      </c>
      <c r="AV158" s="386" t="str">
        <f>IF(AT158=0,"",IF(AND(AT158=3,M158="F",SUMIF(C2:C167,C158,AS2:AS167)&lt;=1),SUMIF(C2:C167,C158,AS2:AS167),IF(AND(AT158=3,M158="F",SUMIF(C2:C167,C158,AS2:AS167)&gt;1),1,"")))</f>
        <v/>
      </c>
      <c r="AW158" s="386">
        <f>SUMIF(C2:C167,C158,O2:O167)</f>
        <v>4</v>
      </c>
      <c r="AX158" s="386">
        <f>IF(AND(M158="F",AS158&lt;&gt;0),SUMIF(C2:C167,C158,W2:W167),0)</f>
        <v>133494.39999999999</v>
      </c>
      <c r="AY158" s="386">
        <f t="shared" si="171"/>
        <v>93446.080000000002</v>
      </c>
      <c r="AZ158" s="386" t="str">
        <f t="shared" si="172"/>
        <v/>
      </c>
      <c r="BA158" s="386">
        <f t="shared" si="173"/>
        <v>0</v>
      </c>
      <c r="BB158" s="386">
        <f t="shared" si="142"/>
        <v>8154.9999999999991</v>
      </c>
      <c r="BC158" s="386">
        <f t="shared" si="143"/>
        <v>0</v>
      </c>
      <c r="BD158" s="386">
        <f t="shared" si="144"/>
        <v>5793.6569600000003</v>
      </c>
      <c r="BE158" s="386">
        <f t="shared" si="145"/>
        <v>1354.9681600000001</v>
      </c>
      <c r="BF158" s="386">
        <f t="shared" si="146"/>
        <v>11157.461952000001</v>
      </c>
      <c r="BG158" s="386">
        <f t="shared" si="147"/>
        <v>673.74623680000002</v>
      </c>
      <c r="BH158" s="386">
        <f t="shared" si="148"/>
        <v>457.88579199999998</v>
      </c>
      <c r="BI158" s="386">
        <f t="shared" si="149"/>
        <v>0</v>
      </c>
      <c r="BJ158" s="386">
        <f t="shared" si="150"/>
        <v>196.23676799999998</v>
      </c>
      <c r="BK158" s="386">
        <f t="shared" si="151"/>
        <v>0</v>
      </c>
      <c r="BL158" s="386">
        <f t="shared" si="174"/>
        <v>19633.955868800003</v>
      </c>
      <c r="BM158" s="386">
        <f t="shared" si="175"/>
        <v>0</v>
      </c>
      <c r="BN158" s="386">
        <f t="shared" si="152"/>
        <v>8154.9999999999991</v>
      </c>
      <c r="BO158" s="386">
        <f t="shared" si="153"/>
        <v>0</v>
      </c>
      <c r="BP158" s="386">
        <f t="shared" si="154"/>
        <v>5793.6569600000003</v>
      </c>
      <c r="BQ158" s="386">
        <f t="shared" si="155"/>
        <v>1354.9681600000001</v>
      </c>
      <c r="BR158" s="386">
        <f t="shared" si="156"/>
        <v>11157.461952000001</v>
      </c>
      <c r="BS158" s="386">
        <f t="shared" si="157"/>
        <v>673.74623680000002</v>
      </c>
      <c r="BT158" s="386">
        <f t="shared" si="158"/>
        <v>0</v>
      </c>
      <c r="BU158" s="386">
        <f t="shared" si="159"/>
        <v>0</v>
      </c>
      <c r="BV158" s="386">
        <f t="shared" si="160"/>
        <v>168.202944</v>
      </c>
      <c r="BW158" s="386">
        <f t="shared" si="161"/>
        <v>0</v>
      </c>
      <c r="BX158" s="386">
        <f t="shared" si="176"/>
        <v>19148.036252800004</v>
      </c>
      <c r="BY158" s="386">
        <f t="shared" si="177"/>
        <v>0</v>
      </c>
      <c r="BZ158" s="386">
        <f t="shared" si="178"/>
        <v>0</v>
      </c>
      <c r="CA158" s="386">
        <f t="shared" si="179"/>
        <v>0</v>
      </c>
      <c r="CB158" s="386">
        <f t="shared" si="180"/>
        <v>0</v>
      </c>
      <c r="CC158" s="386">
        <f t="shared" si="162"/>
        <v>0</v>
      </c>
      <c r="CD158" s="386">
        <f t="shared" si="163"/>
        <v>0</v>
      </c>
      <c r="CE158" s="386">
        <f t="shared" si="164"/>
        <v>0</v>
      </c>
      <c r="CF158" s="386">
        <f t="shared" si="165"/>
        <v>-457.88579199999998</v>
      </c>
      <c r="CG158" s="386">
        <f t="shared" si="166"/>
        <v>0</v>
      </c>
      <c r="CH158" s="386">
        <f t="shared" si="167"/>
        <v>-28.033823999999992</v>
      </c>
      <c r="CI158" s="386">
        <f t="shared" si="168"/>
        <v>0</v>
      </c>
      <c r="CJ158" s="386">
        <f t="shared" si="181"/>
        <v>-485.91961599999996</v>
      </c>
      <c r="CK158" s="386" t="str">
        <f t="shared" si="182"/>
        <v/>
      </c>
      <c r="CL158" s="386" t="str">
        <f t="shared" si="183"/>
        <v/>
      </c>
      <c r="CM158" s="386" t="str">
        <f t="shared" si="184"/>
        <v/>
      </c>
      <c r="CN158" s="386" t="str">
        <f t="shared" si="185"/>
        <v>0480-00</v>
      </c>
    </row>
    <row r="159" spans="1:92" ht="15.75" thickBot="1" x14ac:dyDescent="0.3">
      <c r="A159" s="376" t="s">
        <v>161</v>
      </c>
      <c r="B159" s="376" t="s">
        <v>162</v>
      </c>
      <c r="C159" s="376" t="s">
        <v>668</v>
      </c>
      <c r="D159" s="376" t="s">
        <v>500</v>
      </c>
      <c r="E159" s="376" t="s">
        <v>501</v>
      </c>
      <c r="F159" s="377" t="s">
        <v>166</v>
      </c>
      <c r="G159" s="376" t="s">
        <v>502</v>
      </c>
      <c r="H159" s="378"/>
      <c r="I159" s="378"/>
      <c r="J159" s="376" t="s">
        <v>168</v>
      </c>
      <c r="K159" s="376" t="s">
        <v>503</v>
      </c>
      <c r="L159" s="376" t="s">
        <v>166</v>
      </c>
      <c r="M159" s="376" t="s">
        <v>171</v>
      </c>
      <c r="N159" s="376" t="s">
        <v>172</v>
      </c>
      <c r="O159" s="379">
        <v>1</v>
      </c>
      <c r="P159" s="384">
        <v>1</v>
      </c>
      <c r="Q159" s="384">
        <v>1</v>
      </c>
      <c r="R159" s="380">
        <v>80</v>
      </c>
      <c r="S159" s="384">
        <v>1</v>
      </c>
      <c r="T159" s="380">
        <v>56059.4</v>
      </c>
      <c r="U159" s="380">
        <v>0</v>
      </c>
      <c r="V159" s="380">
        <v>22881.01</v>
      </c>
      <c r="W159" s="380">
        <v>56617.599999999999</v>
      </c>
      <c r="X159" s="380">
        <v>23545.9</v>
      </c>
      <c r="Y159" s="380">
        <v>56617.599999999999</v>
      </c>
      <c r="Z159" s="380">
        <v>23251.5</v>
      </c>
      <c r="AA159" s="376" t="s">
        <v>669</v>
      </c>
      <c r="AB159" s="376" t="s">
        <v>670</v>
      </c>
      <c r="AC159" s="376" t="s">
        <v>671</v>
      </c>
      <c r="AD159" s="376" t="s">
        <v>265</v>
      </c>
      <c r="AE159" s="376" t="s">
        <v>503</v>
      </c>
      <c r="AF159" s="376" t="s">
        <v>177</v>
      </c>
      <c r="AG159" s="376" t="s">
        <v>178</v>
      </c>
      <c r="AH159" s="381">
        <v>27.22</v>
      </c>
      <c r="AI159" s="381">
        <v>65763.199999999997</v>
      </c>
      <c r="AJ159" s="376" t="s">
        <v>179</v>
      </c>
      <c r="AK159" s="376" t="s">
        <v>180</v>
      </c>
      <c r="AL159" s="376" t="s">
        <v>170</v>
      </c>
      <c r="AM159" s="376" t="s">
        <v>181</v>
      </c>
      <c r="AN159" s="376" t="s">
        <v>68</v>
      </c>
      <c r="AO159" s="379">
        <v>80</v>
      </c>
      <c r="AP159" s="384">
        <v>1</v>
      </c>
      <c r="AQ159" s="384">
        <v>1</v>
      </c>
      <c r="AR159" s="382" t="s">
        <v>182</v>
      </c>
      <c r="AS159" s="386">
        <f t="shared" si="169"/>
        <v>1</v>
      </c>
      <c r="AT159">
        <f t="shared" si="170"/>
        <v>1</v>
      </c>
      <c r="AU159" s="386">
        <f>IF(AT159=0,"",IF(AND(AT159=1,M159="F",SUMIF(C2:C167,C159,AS2:AS167)&lt;=1),SUMIF(C2:C167,C159,AS2:AS167),IF(AND(AT159=1,M159="F",SUMIF(C2:C167,C159,AS2:AS167)&gt;1),1,"")))</f>
        <v>1</v>
      </c>
      <c r="AV159" s="386" t="str">
        <f>IF(AT159=0,"",IF(AND(AT159=3,M159="F",SUMIF(C2:C167,C159,AS2:AS167)&lt;=1),SUMIF(C2:C167,C159,AS2:AS167),IF(AND(AT159=3,M159="F",SUMIF(C2:C167,C159,AS2:AS167)&gt;1),1,"")))</f>
        <v/>
      </c>
      <c r="AW159" s="386">
        <f>SUMIF(C2:C167,C159,O2:O167)</f>
        <v>1</v>
      </c>
      <c r="AX159" s="386">
        <f>IF(AND(M159="F",AS159&lt;&gt;0),SUMIF(C2:C167,C159,W2:W167),0)</f>
        <v>56617.599999999999</v>
      </c>
      <c r="AY159" s="386">
        <f t="shared" si="171"/>
        <v>56617.599999999999</v>
      </c>
      <c r="AZ159" s="386" t="str">
        <f t="shared" si="172"/>
        <v/>
      </c>
      <c r="BA159" s="386">
        <f t="shared" si="173"/>
        <v>0</v>
      </c>
      <c r="BB159" s="386">
        <f t="shared" si="142"/>
        <v>11650</v>
      </c>
      <c r="BC159" s="386">
        <f t="shared" si="143"/>
        <v>0</v>
      </c>
      <c r="BD159" s="386">
        <f t="shared" si="144"/>
        <v>3510.2911999999997</v>
      </c>
      <c r="BE159" s="386">
        <f t="shared" si="145"/>
        <v>820.95519999999999</v>
      </c>
      <c r="BF159" s="386">
        <f t="shared" si="146"/>
        <v>6760.1414400000003</v>
      </c>
      <c r="BG159" s="386">
        <f t="shared" si="147"/>
        <v>408.212896</v>
      </c>
      <c r="BH159" s="386">
        <f t="shared" si="148"/>
        <v>277.42624000000001</v>
      </c>
      <c r="BI159" s="386">
        <f t="shared" si="149"/>
        <v>0</v>
      </c>
      <c r="BJ159" s="386">
        <f t="shared" si="150"/>
        <v>118.89695999999999</v>
      </c>
      <c r="BK159" s="386">
        <f t="shared" si="151"/>
        <v>0</v>
      </c>
      <c r="BL159" s="386">
        <f t="shared" si="174"/>
        <v>11895.923936000001</v>
      </c>
      <c r="BM159" s="386">
        <f t="shared" si="175"/>
        <v>0</v>
      </c>
      <c r="BN159" s="386">
        <f t="shared" si="152"/>
        <v>11650</v>
      </c>
      <c r="BO159" s="386">
        <f t="shared" si="153"/>
        <v>0</v>
      </c>
      <c r="BP159" s="386">
        <f t="shared" si="154"/>
        <v>3510.2911999999997</v>
      </c>
      <c r="BQ159" s="386">
        <f t="shared" si="155"/>
        <v>820.95519999999999</v>
      </c>
      <c r="BR159" s="386">
        <f t="shared" si="156"/>
        <v>6760.1414400000003</v>
      </c>
      <c r="BS159" s="386">
        <f t="shared" si="157"/>
        <v>408.212896</v>
      </c>
      <c r="BT159" s="386">
        <f t="shared" si="158"/>
        <v>0</v>
      </c>
      <c r="BU159" s="386">
        <f t="shared" si="159"/>
        <v>0</v>
      </c>
      <c r="BV159" s="386">
        <f t="shared" si="160"/>
        <v>101.91167999999999</v>
      </c>
      <c r="BW159" s="386">
        <f t="shared" si="161"/>
        <v>0</v>
      </c>
      <c r="BX159" s="386">
        <f t="shared" si="176"/>
        <v>11601.512416</v>
      </c>
      <c r="BY159" s="386">
        <f t="shared" si="177"/>
        <v>0</v>
      </c>
      <c r="BZ159" s="386">
        <f t="shared" si="178"/>
        <v>0</v>
      </c>
      <c r="CA159" s="386">
        <f t="shared" si="179"/>
        <v>0</v>
      </c>
      <c r="CB159" s="386">
        <f t="shared" si="180"/>
        <v>0</v>
      </c>
      <c r="CC159" s="386">
        <f t="shared" si="162"/>
        <v>0</v>
      </c>
      <c r="CD159" s="386">
        <f t="shared" si="163"/>
        <v>0</v>
      </c>
      <c r="CE159" s="386">
        <f t="shared" si="164"/>
        <v>0</v>
      </c>
      <c r="CF159" s="386">
        <f t="shared" si="165"/>
        <v>-277.42624000000001</v>
      </c>
      <c r="CG159" s="386">
        <f t="shared" si="166"/>
        <v>0</v>
      </c>
      <c r="CH159" s="386">
        <f t="shared" si="167"/>
        <v>-16.985279999999996</v>
      </c>
      <c r="CI159" s="386">
        <f t="shared" si="168"/>
        <v>0</v>
      </c>
      <c r="CJ159" s="386">
        <f t="shared" si="181"/>
        <v>-294.41152</v>
      </c>
      <c r="CK159" s="386" t="str">
        <f t="shared" si="182"/>
        <v/>
      </c>
      <c r="CL159" s="386" t="str">
        <f t="shared" si="183"/>
        <v/>
      </c>
      <c r="CM159" s="386" t="str">
        <f t="shared" si="184"/>
        <v/>
      </c>
      <c r="CN159" s="386" t="str">
        <f t="shared" si="185"/>
        <v>0480-00</v>
      </c>
    </row>
    <row r="160" spans="1:92" ht="15.75" thickBot="1" x14ac:dyDescent="0.3">
      <c r="A160" s="376" t="s">
        <v>161</v>
      </c>
      <c r="B160" s="376" t="s">
        <v>162</v>
      </c>
      <c r="C160" s="376" t="s">
        <v>271</v>
      </c>
      <c r="D160" s="376" t="s">
        <v>272</v>
      </c>
      <c r="E160" s="376" t="s">
        <v>501</v>
      </c>
      <c r="F160" s="377" t="s">
        <v>166</v>
      </c>
      <c r="G160" s="376" t="s">
        <v>502</v>
      </c>
      <c r="H160" s="378"/>
      <c r="I160" s="378"/>
      <c r="J160" s="376" t="s">
        <v>185</v>
      </c>
      <c r="K160" s="376" t="s">
        <v>273</v>
      </c>
      <c r="L160" s="376" t="s">
        <v>187</v>
      </c>
      <c r="M160" s="376" t="s">
        <v>171</v>
      </c>
      <c r="N160" s="376" t="s">
        <v>172</v>
      </c>
      <c r="O160" s="379">
        <v>1</v>
      </c>
      <c r="P160" s="384">
        <v>0.75</v>
      </c>
      <c r="Q160" s="384">
        <v>0.75</v>
      </c>
      <c r="R160" s="380">
        <v>80</v>
      </c>
      <c r="S160" s="384">
        <v>0.75</v>
      </c>
      <c r="T160" s="380">
        <v>69746.460000000006</v>
      </c>
      <c r="U160" s="380">
        <v>0</v>
      </c>
      <c r="V160" s="380">
        <v>22083.83</v>
      </c>
      <c r="W160" s="380">
        <v>71869.2</v>
      </c>
      <c r="X160" s="380">
        <v>23837.91</v>
      </c>
      <c r="Y160" s="380">
        <v>71869.2</v>
      </c>
      <c r="Z160" s="380">
        <v>23464.2</v>
      </c>
      <c r="AA160" s="376" t="s">
        <v>274</v>
      </c>
      <c r="AB160" s="376" t="s">
        <v>275</v>
      </c>
      <c r="AC160" s="376" t="s">
        <v>197</v>
      </c>
      <c r="AD160" s="376" t="s">
        <v>198</v>
      </c>
      <c r="AE160" s="376" t="s">
        <v>273</v>
      </c>
      <c r="AF160" s="376" t="s">
        <v>177</v>
      </c>
      <c r="AG160" s="376" t="s">
        <v>178</v>
      </c>
      <c r="AH160" s="381">
        <v>46.07</v>
      </c>
      <c r="AI160" s="381">
        <v>19869.7</v>
      </c>
      <c r="AJ160" s="376" t="s">
        <v>179</v>
      </c>
      <c r="AK160" s="376" t="s">
        <v>180</v>
      </c>
      <c r="AL160" s="376" t="s">
        <v>170</v>
      </c>
      <c r="AM160" s="376" t="s">
        <v>181</v>
      </c>
      <c r="AN160" s="376" t="s">
        <v>68</v>
      </c>
      <c r="AO160" s="379">
        <v>80</v>
      </c>
      <c r="AP160" s="384">
        <v>1</v>
      </c>
      <c r="AQ160" s="384">
        <v>0.75</v>
      </c>
      <c r="AR160" s="382" t="s">
        <v>182</v>
      </c>
      <c r="AS160" s="386">
        <f t="shared" si="169"/>
        <v>0.75</v>
      </c>
      <c r="AT160">
        <f t="shared" si="170"/>
        <v>1</v>
      </c>
      <c r="AU160" s="386">
        <f>IF(AT160=0,"",IF(AND(AT160=1,M160="F",SUMIF(C2:C167,C160,AS2:AS167)&lt;=1),SUMIF(C2:C167,C160,AS2:AS167),IF(AND(AT160=1,M160="F",SUMIF(C2:C167,C160,AS2:AS167)&gt;1),1,"")))</f>
        <v>1</v>
      </c>
      <c r="AV160" s="386" t="str">
        <f>IF(AT160=0,"",IF(AND(AT160=3,M160="F",SUMIF(C2:C167,C160,AS2:AS167)&lt;=1),SUMIF(C2:C167,C160,AS2:AS167),IF(AND(AT160=3,M160="F",SUMIF(C2:C167,C160,AS2:AS167)&gt;1),1,"")))</f>
        <v/>
      </c>
      <c r="AW160" s="386">
        <f>SUMIF(C2:C167,C160,O2:O167)</f>
        <v>5</v>
      </c>
      <c r="AX160" s="386">
        <f>IF(AND(M160="F",AS160&lt;&gt;0),SUMIF(C2:C167,C160,W2:W167),0)</f>
        <v>95825.599999999991</v>
      </c>
      <c r="AY160" s="386">
        <f t="shared" si="171"/>
        <v>71869.2</v>
      </c>
      <c r="AZ160" s="386" t="str">
        <f t="shared" si="172"/>
        <v/>
      </c>
      <c r="BA160" s="386">
        <f t="shared" si="173"/>
        <v>0</v>
      </c>
      <c r="BB160" s="386">
        <f t="shared" si="142"/>
        <v>8737.5</v>
      </c>
      <c r="BC160" s="386">
        <f t="shared" si="143"/>
        <v>0</v>
      </c>
      <c r="BD160" s="386">
        <f t="shared" si="144"/>
        <v>4455.8904000000002</v>
      </c>
      <c r="BE160" s="386">
        <f t="shared" si="145"/>
        <v>1042.1034</v>
      </c>
      <c r="BF160" s="386">
        <f t="shared" si="146"/>
        <v>8581.1824799999995</v>
      </c>
      <c r="BG160" s="386">
        <f t="shared" si="147"/>
        <v>518.17693199999997</v>
      </c>
      <c r="BH160" s="386">
        <f t="shared" si="148"/>
        <v>352.15907999999996</v>
      </c>
      <c r="BI160" s="386">
        <f t="shared" si="149"/>
        <v>0</v>
      </c>
      <c r="BJ160" s="386">
        <f t="shared" si="150"/>
        <v>150.92531999999997</v>
      </c>
      <c r="BK160" s="386">
        <f t="shared" si="151"/>
        <v>0</v>
      </c>
      <c r="BL160" s="386">
        <f t="shared" si="174"/>
        <v>15100.437612</v>
      </c>
      <c r="BM160" s="386">
        <f t="shared" si="175"/>
        <v>0</v>
      </c>
      <c r="BN160" s="386">
        <f t="shared" si="152"/>
        <v>8737.5</v>
      </c>
      <c r="BO160" s="386">
        <f t="shared" si="153"/>
        <v>0</v>
      </c>
      <c r="BP160" s="386">
        <f t="shared" si="154"/>
        <v>4455.8904000000002</v>
      </c>
      <c r="BQ160" s="386">
        <f t="shared" si="155"/>
        <v>1042.1034</v>
      </c>
      <c r="BR160" s="386">
        <f t="shared" si="156"/>
        <v>8581.1824799999995</v>
      </c>
      <c r="BS160" s="386">
        <f t="shared" si="157"/>
        <v>518.17693199999997</v>
      </c>
      <c r="BT160" s="386">
        <f t="shared" si="158"/>
        <v>0</v>
      </c>
      <c r="BU160" s="386">
        <f t="shared" si="159"/>
        <v>0</v>
      </c>
      <c r="BV160" s="386">
        <f t="shared" si="160"/>
        <v>129.36455999999998</v>
      </c>
      <c r="BW160" s="386">
        <f t="shared" si="161"/>
        <v>0</v>
      </c>
      <c r="BX160" s="386">
        <f t="shared" si="176"/>
        <v>14726.717772</v>
      </c>
      <c r="BY160" s="386">
        <f t="shared" si="177"/>
        <v>0</v>
      </c>
      <c r="BZ160" s="386">
        <f t="shared" si="178"/>
        <v>0</v>
      </c>
      <c r="CA160" s="386">
        <f t="shared" si="179"/>
        <v>0</v>
      </c>
      <c r="CB160" s="386">
        <f t="shared" si="180"/>
        <v>0</v>
      </c>
      <c r="CC160" s="386">
        <f t="shared" si="162"/>
        <v>0</v>
      </c>
      <c r="CD160" s="386">
        <f t="shared" si="163"/>
        <v>0</v>
      </c>
      <c r="CE160" s="386">
        <f t="shared" si="164"/>
        <v>0</v>
      </c>
      <c r="CF160" s="386">
        <f t="shared" si="165"/>
        <v>-352.15907999999996</v>
      </c>
      <c r="CG160" s="386">
        <f t="shared" si="166"/>
        <v>0</v>
      </c>
      <c r="CH160" s="386">
        <f t="shared" si="167"/>
        <v>-21.560759999999995</v>
      </c>
      <c r="CI160" s="386">
        <f t="shared" si="168"/>
        <v>0</v>
      </c>
      <c r="CJ160" s="386">
        <f t="shared" si="181"/>
        <v>-373.71983999999998</v>
      </c>
      <c r="CK160" s="386" t="str">
        <f t="shared" si="182"/>
        <v/>
      </c>
      <c r="CL160" s="386" t="str">
        <f t="shared" si="183"/>
        <v/>
      </c>
      <c r="CM160" s="386" t="str">
        <f t="shared" si="184"/>
        <v/>
      </c>
      <c r="CN160" s="386" t="str">
        <f t="shared" si="185"/>
        <v>0480-00</v>
      </c>
    </row>
    <row r="161" spans="1:92" ht="15.75" thickBot="1" x14ac:dyDescent="0.3">
      <c r="A161" s="376" t="s">
        <v>161</v>
      </c>
      <c r="B161" s="376" t="s">
        <v>162</v>
      </c>
      <c r="C161" s="376" t="s">
        <v>672</v>
      </c>
      <c r="D161" s="376" t="s">
        <v>401</v>
      </c>
      <c r="E161" s="376" t="s">
        <v>501</v>
      </c>
      <c r="F161" s="377" t="s">
        <v>166</v>
      </c>
      <c r="G161" s="376" t="s">
        <v>502</v>
      </c>
      <c r="H161" s="378"/>
      <c r="I161" s="378"/>
      <c r="J161" s="376" t="s">
        <v>168</v>
      </c>
      <c r="K161" s="376" t="s">
        <v>402</v>
      </c>
      <c r="L161" s="376" t="s">
        <v>403</v>
      </c>
      <c r="M161" s="376" t="s">
        <v>171</v>
      </c>
      <c r="N161" s="376" t="s">
        <v>172</v>
      </c>
      <c r="O161" s="379">
        <v>1</v>
      </c>
      <c r="P161" s="384">
        <v>1</v>
      </c>
      <c r="Q161" s="384">
        <v>1</v>
      </c>
      <c r="R161" s="380">
        <v>80</v>
      </c>
      <c r="S161" s="384">
        <v>1</v>
      </c>
      <c r="T161" s="380">
        <v>100345.60000000001</v>
      </c>
      <c r="U161" s="380">
        <v>0</v>
      </c>
      <c r="V161" s="380">
        <v>32123</v>
      </c>
      <c r="W161" s="380">
        <v>101774.39999999999</v>
      </c>
      <c r="X161" s="380">
        <v>33033.79</v>
      </c>
      <c r="Y161" s="380">
        <v>101774.39999999999</v>
      </c>
      <c r="Z161" s="380">
        <v>32504.57</v>
      </c>
      <c r="AA161" s="376" t="s">
        <v>673</v>
      </c>
      <c r="AB161" s="376" t="s">
        <v>674</v>
      </c>
      <c r="AC161" s="376" t="s">
        <v>675</v>
      </c>
      <c r="AD161" s="376" t="s">
        <v>289</v>
      </c>
      <c r="AE161" s="376" t="s">
        <v>402</v>
      </c>
      <c r="AF161" s="376" t="s">
        <v>177</v>
      </c>
      <c r="AG161" s="376" t="s">
        <v>178</v>
      </c>
      <c r="AH161" s="381">
        <v>48.93</v>
      </c>
      <c r="AI161" s="379">
        <v>2284</v>
      </c>
      <c r="AJ161" s="376" t="s">
        <v>179</v>
      </c>
      <c r="AK161" s="376" t="s">
        <v>180</v>
      </c>
      <c r="AL161" s="376" t="s">
        <v>170</v>
      </c>
      <c r="AM161" s="376" t="s">
        <v>181</v>
      </c>
      <c r="AN161" s="376" t="s">
        <v>68</v>
      </c>
      <c r="AO161" s="379">
        <v>80</v>
      </c>
      <c r="AP161" s="384">
        <v>1</v>
      </c>
      <c r="AQ161" s="384">
        <v>1</v>
      </c>
      <c r="AR161" s="382" t="s">
        <v>182</v>
      </c>
      <c r="AS161" s="386">
        <f t="shared" si="169"/>
        <v>1</v>
      </c>
      <c r="AT161">
        <f t="shared" si="170"/>
        <v>1</v>
      </c>
      <c r="AU161" s="386">
        <f>IF(AT161=0,"",IF(AND(AT161=1,M161="F",SUMIF(C2:C167,C161,AS2:AS167)&lt;=1),SUMIF(C2:C167,C161,AS2:AS167),IF(AND(AT161=1,M161="F",SUMIF(C2:C167,C161,AS2:AS167)&gt;1),1,"")))</f>
        <v>1</v>
      </c>
      <c r="AV161" s="386" t="str">
        <f>IF(AT161=0,"",IF(AND(AT161=3,M161="F",SUMIF(C2:C167,C161,AS2:AS167)&lt;=1),SUMIF(C2:C167,C161,AS2:AS167),IF(AND(AT161=3,M161="F",SUMIF(C2:C167,C161,AS2:AS167)&gt;1),1,"")))</f>
        <v/>
      </c>
      <c r="AW161" s="386">
        <f>SUMIF(C2:C167,C161,O2:O167)</f>
        <v>1</v>
      </c>
      <c r="AX161" s="386">
        <f>IF(AND(M161="F",AS161&lt;&gt;0),SUMIF(C2:C167,C161,W2:W167),0)</f>
        <v>101774.39999999999</v>
      </c>
      <c r="AY161" s="386">
        <f t="shared" si="171"/>
        <v>101774.39999999999</v>
      </c>
      <c r="AZ161" s="386" t="str">
        <f t="shared" si="172"/>
        <v/>
      </c>
      <c r="BA161" s="386">
        <f t="shared" si="173"/>
        <v>0</v>
      </c>
      <c r="BB161" s="386">
        <f t="shared" si="142"/>
        <v>11650</v>
      </c>
      <c r="BC161" s="386">
        <f t="shared" si="143"/>
        <v>0</v>
      </c>
      <c r="BD161" s="386">
        <f t="shared" si="144"/>
        <v>6310.0127999999995</v>
      </c>
      <c r="BE161" s="386">
        <f t="shared" si="145"/>
        <v>1475.7288000000001</v>
      </c>
      <c r="BF161" s="386">
        <f t="shared" si="146"/>
        <v>12151.863359999999</v>
      </c>
      <c r="BG161" s="386">
        <f t="shared" si="147"/>
        <v>733.79342399999996</v>
      </c>
      <c r="BH161" s="386">
        <f t="shared" si="148"/>
        <v>498.69455999999997</v>
      </c>
      <c r="BI161" s="386">
        <f t="shared" si="149"/>
        <v>0</v>
      </c>
      <c r="BJ161" s="386">
        <f t="shared" si="150"/>
        <v>213.72623999999996</v>
      </c>
      <c r="BK161" s="386">
        <f t="shared" si="151"/>
        <v>0</v>
      </c>
      <c r="BL161" s="386">
        <f t="shared" si="174"/>
        <v>21383.819183999996</v>
      </c>
      <c r="BM161" s="386">
        <f t="shared" si="175"/>
        <v>0</v>
      </c>
      <c r="BN161" s="386">
        <f t="shared" si="152"/>
        <v>11650</v>
      </c>
      <c r="BO161" s="386">
        <f t="shared" si="153"/>
        <v>0</v>
      </c>
      <c r="BP161" s="386">
        <f t="shared" si="154"/>
        <v>6310.0127999999995</v>
      </c>
      <c r="BQ161" s="386">
        <f t="shared" si="155"/>
        <v>1475.7288000000001</v>
      </c>
      <c r="BR161" s="386">
        <f t="shared" si="156"/>
        <v>12151.863359999999</v>
      </c>
      <c r="BS161" s="386">
        <f t="shared" si="157"/>
        <v>733.79342399999996</v>
      </c>
      <c r="BT161" s="386">
        <f t="shared" si="158"/>
        <v>0</v>
      </c>
      <c r="BU161" s="386">
        <f t="shared" si="159"/>
        <v>0</v>
      </c>
      <c r="BV161" s="386">
        <f t="shared" si="160"/>
        <v>183.19391999999999</v>
      </c>
      <c r="BW161" s="386">
        <f t="shared" si="161"/>
        <v>0</v>
      </c>
      <c r="BX161" s="386">
        <f t="shared" si="176"/>
        <v>20854.592303999998</v>
      </c>
      <c r="BY161" s="386">
        <f t="shared" si="177"/>
        <v>0</v>
      </c>
      <c r="BZ161" s="386">
        <f t="shared" si="178"/>
        <v>0</v>
      </c>
      <c r="CA161" s="386">
        <f t="shared" si="179"/>
        <v>0</v>
      </c>
      <c r="CB161" s="386">
        <f t="shared" si="180"/>
        <v>0</v>
      </c>
      <c r="CC161" s="386">
        <f t="shared" si="162"/>
        <v>0</v>
      </c>
      <c r="CD161" s="386">
        <f t="shared" si="163"/>
        <v>0</v>
      </c>
      <c r="CE161" s="386">
        <f t="shared" si="164"/>
        <v>0</v>
      </c>
      <c r="CF161" s="386">
        <f t="shared" si="165"/>
        <v>-498.69455999999997</v>
      </c>
      <c r="CG161" s="386">
        <f t="shared" si="166"/>
        <v>0</v>
      </c>
      <c r="CH161" s="386">
        <f t="shared" si="167"/>
        <v>-30.532319999999991</v>
      </c>
      <c r="CI161" s="386">
        <f t="shared" si="168"/>
        <v>0</v>
      </c>
      <c r="CJ161" s="386">
        <f t="shared" si="181"/>
        <v>-529.22687999999994</v>
      </c>
      <c r="CK161" s="386" t="str">
        <f t="shared" si="182"/>
        <v/>
      </c>
      <c r="CL161" s="386" t="str">
        <f t="shared" si="183"/>
        <v/>
      </c>
      <c r="CM161" s="386" t="str">
        <f t="shared" si="184"/>
        <v/>
      </c>
      <c r="CN161" s="386" t="str">
        <f t="shared" si="185"/>
        <v>0480-00</v>
      </c>
    </row>
    <row r="162" spans="1:92" ht="15.75" thickBot="1" x14ac:dyDescent="0.3">
      <c r="A162" s="376" t="s">
        <v>161</v>
      </c>
      <c r="B162" s="376" t="s">
        <v>162</v>
      </c>
      <c r="C162" s="376" t="s">
        <v>676</v>
      </c>
      <c r="D162" s="376" t="s">
        <v>583</v>
      </c>
      <c r="E162" s="376" t="s">
        <v>501</v>
      </c>
      <c r="F162" s="377" t="s">
        <v>166</v>
      </c>
      <c r="G162" s="376" t="s">
        <v>502</v>
      </c>
      <c r="H162" s="378"/>
      <c r="I162" s="378"/>
      <c r="J162" s="376" t="s">
        <v>168</v>
      </c>
      <c r="K162" s="376" t="s">
        <v>584</v>
      </c>
      <c r="L162" s="376" t="s">
        <v>187</v>
      </c>
      <c r="M162" s="376" t="s">
        <v>171</v>
      </c>
      <c r="N162" s="376" t="s">
        <v>172</v>
      </c>
      <c r="O162" s="379">
        <v>1</v>
      </c>
      <c r="P162" s="384">
        <v>1</v>
      </c>
      <c r="Q162" s="384">
        <v>1</v>
      </c>
      <c r="R162" s="380">
        <v>80</v>
      </c>
      <c r="S162" s="384">
        <v>1</v>
      </c>
      <c r="T162" s="380">
        <v>102399.63</v>
      </c>
      <c r="U162" s="380">
        <v>0</v>
      </c>
      <c r="V162" s="380">
        <v>32136.97</v>
      </c>
      <c r="W162" s="380">
        <v>97864</v>
      </c>
      <c r="X162" s="380">
        <v>32212.17</v>
      </c>
      <c r="Y162" s="380">
        <v>97864</v>
      </c>
      <c r="Z162" s="380">
        <v>31703.279999999999</v>
      </c>
      <c r="AA162" s="376" t="s">
        <v>677</v>
      </c>
      <c r="AB162" s="376" t="s">
        <v>678</v>
      </c>
      <c r="AC162" s="376" t="s">
        <v>656</v>
      </c>
      <c r="AD162" s="376" t="s">
        <v>459</v>
      </c>
      <c r="AE162" s="376" t="s">
        <v>584</v>
      </c>
      <c r="AF162" s="376" t="s">
        <v>177</v>
      </c>
      <c r="AG162" s="376" t="s">
        <v>178</v>
      </c>
      <c r="AH162" s="381">
        <v>47.05</v>
      </c>
      <c r="AI162" s="381">
        <v>70948.7</v>
      </c>
      <c r="AJ162" s="376" t="s">
        <v>179</v>
      </c>
      <c r="AK162" s="376" t="s">
        <v>180</v>
      </c>
      <c r="AL162" s="376" t="s">
        <v>170</v>
      </c>
      <c r="AM162" s="376" t="s">
        <v>181</v>
      </c>
      <c r="AN162" s="376" t="s">
        <v>68</v>
      </c>
      <c r="AO162" s="379">
        <v>80</v>
      </c>
      <c r="AP162" s="384">
        <v>1</v>
      </c>
      <c r="AQ162" s="384">
        <v>1</v>
      </c>
      <c r="AR162" s="382" t="s">
        <v>182</v>
      </c>
      <c r="AS162" s="386">
        <f t="shared" si="169"/>
        <v>1</v>
      </c>
      <c r="AT162">
        <f t="shared" si="170"/>
        <v>1</v>
      </c>
      <c r="AU162" s="386">
        <f>IF(AT162=0,"",IF(AND(AT162=1,M162="F",SUMIF(C2:C167,C162,AS2:AS167)&lt;=1),SUMIF(C2:C167,C162,AS2:AS167),IF(AND(AT162=1,M162="F",SUMIF(C2:C167,C162,AS2:AS167)&gt;1),1,"")))</f>
        <v>1</v>
      </c>
      <c r="AV162" s="386" t="str">
        <f>IF(AT162=0,"",IF(AND(AT162=3,M162="F",SUMIF(C2:C167,C162,AS2:AS167)&lt;=1),SUMIF(C2:C167,C162,AS2:AS167),IF(AND(AT162=3,M162="F",SUMIF(C2:C167,C162,AS2:AS167)&gt;1),1,"")))</f>
        <v/>
      </c>
      <c r="AW162" s="386">
        <f>SUMIF(C2:C167,C162,O2:O167)</f>
        <v>1</v>
      </c>
      <c r="AX162" s="386">
        <f>IF(AND(M162="F",AS162&lt;&gt;0),SUMIF(C2:C167,C162,W2:W167),0)</f>
        <v>97864</v>
      </c>
      <c r="AY162" s="386">
        <f t="shared" si="171"/>
        <v>97864</v>
      </c>
      <c r="AZ162" s="386" t="str">
        <f t="shared" si="172"/>
        <v/>
      </c>
      <c r="BA162" s="386">
        <f t="shared" si="173"/>
        <v>0</v>
      </c>
      <c r="BB162" s="386">
        <f t="shared" ref="BB162:BB167" si="186">IF(AND(AT162=1,AK162="E",AU162&gt;=0.75,AW162=1),Health,IF(AND(AT162=1,AK162="E",AU162&gt;=0.75),Health*P162,IF(AND(AT162=1,AK162="E",AU162&gt;=0.5,AW162=1),PTHealth,IF(AND(AT162=1,AK162="E",AU162&gt;=0.5),PTHealth*P162,0))))</f>
        <v>11650</v>
      </c>
      <c r="BC162" s="386">
        <f t="shared" ref="BC162:BC167" si="187">IF(AND(AT162=3,AK162="E",AV162&gt;=0.75,AW162=1),Health,IF(AND(AT162=3,AK162="E",AV162&gt;=0.75),Health*P162,IF(AND(AT162=3,AK162="E",AV162&gt;=0.5,AW162=1),PTHealth,IF(AND(AT162=3,AK162="E",AV162&gt;=0.5),PTHealth*P162,0))))</f>
        <v>0</v>
      </c>
      <c r="BD162" s="386">
        <f t="shared" ref="BD162:BD167" si="188">IF(AND(AT162&lt;&gt;0,AX162&gt;=MAXSSDI),SSDI*MAXSSDI*P162,IF(AT162&lt;&gt;0,SSDI*W162,0))</f>
        <v>6067.5680000000002</v>
      </c>
      <c r="BE162" s="386">
        <f t="shared" ref="BE162:BE167" si="189">IF(AT162&lt;&gt;0,SSHI*W162,0)</f>
        <v>1419.028</v>
      </c>
      <c r="BF162" s="386">
        <f t="shared" ref="BF162:BF167" si="190">IF(AND(AT162&lt;&gt;0,AN162&lt;&gt;"NE"),VLOOKUP(AN162,Retirement_Rates,3,FALSE)*W162,0)</f>
        <v>11684.961600000001</v>
      </c>
      <c r="BG162" s="386">
        <f t="shared" ref="BG162:BG167" si="191">IF(AND(AT162&lt;&gt;0,AJ162&lt;&gt;"PF"),Life*W162,0)</f>
        <v>705.59944000000007</v>
      </c>
      <c r="BH162" s="386">
        <f t="shared" ref="BH162:BH167" si="192">IF(AND(AT162&lt;&gt;0,AM162="Y"),UI*W162,0)</f>
        <v>479.53359999999998</v>
      </c>
      <c r="BI162" s="386">
        <f t="shared" ref="BI162:BI167" si="193">IF(AND(AT162&lt;&gt;0,N162&lt;&gt;"NR"),DHR*W162,0)</f>
        <v>0</v>
      </c>
      <c r="BJ162" s="386">
        <f t="shared" ref="BJ162:BJ167" si="194">IF(AT162&lt;&gt;0,WC*W162,0)</f>
        <v>205.51439999999999</v>
      </c>
      <c r="BK162" s="386">
        <f t="shared" ref="BK162:BK167" si="195">IF(OR(AND(AT162&lt;&gt;0,AJ162&lt;&gt;"PF",AN162&lt;&gt;"NE",AG162&lt;&gt;"A"),AND(AL162="E",OR(AT162=1,AT162=3))),Sick*W162,0)</f>
        <v>0</v>
      </c>
      <c r="BL162" s="386">
        <f t="shared" si="174"/>
        <v>20562.205040000001</v>
      </c>
      <c r="BM162" s="386">
        <f t="shared" si="175"/>
        <v>0</v>
      </c>
      <c r="BN162" s="386">
        <f t="shared" ref="BN162:BN167" si="196">IF(AND(AT162=1,AK162="E",AU162&gt;=0.75,AW162=1),HealthBY,IF(AND(AT162=1,AK162="E",AU162&gt;=0.75),HealthBY*P162,IF(AND(AT162=1,AK162="E",AU162&gt;=0.5,AW162=1),PTHealthBY,IF(AND(AT162=1,AK162="E",AU162&gt;=0.5),PTHealthBY*P162,0))))</f>
        <v>11650</v>
      </c>
      <c r="BO162" s="386">
        <f t="shared" ref="BO162:BO167" si="197">IF(AND(AT162=3,AK162="E",AV162&gt;=0.75,AW162=1),HealthBY,IF(AND(AT162=3,AK162="E",AV162&gt;=0.75),HealthBY*P162,IF(AND(AT162=3,AK162="E",AV162&gt;=0.5,AW162=1),PTHealthBY,IF(AND(AT162=3,AK162="E",AV162&gt;=0.5),PTHealthBY*P162,0))))</f>
        <v>0</v>
      </c>
      <c r="BP162" s="386">
        <f t="shared" ref="BP162:BP167" si="198">IF(AND(AT162&lt;&gt;0,(AX162+BA162)&gt;=MAXSSDIBY),SSDIBY*MAXSSDIBY*P162,IF(AT162&lt;&gt;0,SSDIBY*W162,0))</f>
        <v>6067.5680000000002</v>
      </c>
      <c r="BQ162" s="386">
        <f t="shared" ref="BQ162:BQ167" si="199">IF(AT162&lt;&gt;0,SSHIBY*W162,0)</f>
        <v>1419.028</v>
      </c>
      <c r="BR162" s="386">
        <f t="shared" ref="BR162:BR167" si="200">IF(AND(AT162&lt;&gt;0,AN162&lt;&gt;"NE"),VLOOKUP(AN162,Retirement_Rates,4,FALSE)*W162,0)</f>
        <v>11684.961600000001</v>
      </c>
      <c r="BS162" s="386">
        <f t="shared" ref="BS162:BS167" si="201">IF(AND(AT162&lt;&gt;0,AJ162&lt;&gt;"PF"),LifeBY*W162,0)</f>
        <v>705.59944000000007</v>
      </c>
      <c r="BT162" s="386">
        <f t="shared" ref="BT162:BT167" si="202">IF(AND(AT162&lt;&gt;0,AM162="Y"),UIBY*W162,0)</f>
        <v>0</v>
      </c>
      <c r="BU162" s="386">
        <f t="shared" ref="BU162:BU167" si="203">IF(AND(AT162&lt;&gt;0,N162&lt;&gt;"NR"),DHRBY*W162,0)</f>
        <v>0</v>
      </c>
      <c r="BV162" s="386">
        <f t="shared" ref="BV162:BV167" si="204">IF(AT162&lt;&gt;0,WCBY*W162,0)</f>
        <v>176.15520000000001</v>
      </c>
      <c r="BW162" s="386">
        <f t="shared" ref="BW162:BW167" si="205">IF(OR(AND(AT162&lt;&gt;0,AJ162&lt;&gt;"PF",AN162&lt;&gt;"NE",AG162&lt;&gt;"A"),AND(AL162="E",OR(AT162=1,AT162=3))),SickBY*W162,0)</f>
        <v>0</v>
      </c>
      <c r="BX162" s="386">
        <f t="shared" si="176"/>
        <v>20053.312240000003</v>
      </c>
      <c r="BY162" s="386">
        <f t="shared" si="177"/>
        <v>0</v>
      </c>
      <c r="BZ162" s="386">
        <f t="shared" si="178"/>
        <v>0</v>
      </c>
      <c r="CA162" s="386">
        <f t="shared" si="179"/>
        <v>0</v>
      </c>
      <c r="CB162" s="386">
        <f t="shared" si="180"/>
        <v>0</v>
      </c>
      <c r="CC162" s="386">
        <f t="shared" ref="CC162:CC167" si="206">IF(AT162&lt;&gt;0,SSHICHG*Y162,0)</f>
        <v>0</v>
      </c>
      <c r="CD162" s="386">
        <f t="shared" ref="CD162:CD167" si="207">IF(AND(AT162&lt;&gt;0,AN162&lt;&gt;"NE"),VLOOKUP(AN162,Retirement_Rates,5,FALSE)*Y162,0)</f>
        <v>0</v>
      </c>
      <c r="CE162" s="386">
        <f t="shared" ref="CE162:CE167" si="208">IF(AND(AT162&lt;&gt;0,AJ162&lt;&gt;"PF"),LifeCHG*Y162,0)</f>
        <v>0</v>
      </c>
      <c r="CF162" s="386">
        <f t="shared" ref="CF162:CF167" si="209">IF(AND(AT162&lt;&gt;0,AM162="Y"),UICHG*Y162,0)</f>
        <v>-479.53359999999998</v>
      </c>
      <c r="CG162" s="386">
        <f t="shared" ref="CG162:CG167" si="210">IF(AND(AT162&lt;&gt;0,N162&lt;&gt;"NR"),DHRCHG*Y162,0)</f>
        <v>0</v>
      </c>
      <c r="CH162" s="386">
        <f t="shared" ref="CH162:CH167" si="211">IF(AT162&lt;&gt;0,WCCHG*Y162,0)</f>
        <v>-29.359199999999991</v>
      </c>
      <c r="CI162" s="386">
        <f t="shared" ref="CI162:CI167" si="212">IF(OR(AND(AT162&lt;&gt;0,AJ162&lt;&gt;"PF",AN162&lt;&gt;"NE",AG162&lt;&gt;"A"),AND(AL162="E",OR(AT162=1,AT162=3))),SickCHG*Y162,0)</f>
        <v>0</v>
      </c>
      <c r="CJ162" s="386">
        <f t="shared" si="181"/>
        <v>-508.89279999999997</v>
      </c>
      <c r="CK162" s="386" t="str">
        <f t="shared" si="182"/>
        <v/>
      </c>
      <c r="CL162" s="386" t="str">
        <f t="shared" si="183"/>
        <v/>
      </c>
      <c r="CM162" s="386" t="str">
        <f t="shared" si="184"/>
        <v/>
      </c>
      <c r="CN162" s="386" t="str">
        <f t="shared" si="185"/>
        <v>0480-00</v>
      </c>
    </row>
    <row r="163" spans="1:92" ht="15.75" thickBot="1" x14ac:dyDescent="0.3">
      <c r="A163" s="376" t="s">
        <v>161</v>
      </c>
      <c r="B163" s="376" t="s">
        <v>162</v>
      </c>
      <c r="C163" s="376" t="s">
        <v>679</v>
      </c>
      <c r="D163" s="376" t="s">
        <v>511</v>
      </c>
      <c r="E163" s="376" t="s">
        <v>501</v>
      </c>
      <c r="F163" s="377" t="s">
        <v>166</v>
      </c>
      <c r="G163" s="376" t="s">
        <v>502</v>
      </c>
      <c r="H163" s="378"/>
      <c r="I163" s="378"/>
      <c r="J163" s="376" t="s">
        <v>168</v>
      </c>
      <c r="K163" s="376" t="s">
        <v>680</v>
      </c>
      <c r="L163" s="376" t="s">
        <v>187</v>
      </c>
      <c r="M163" s="376" t="s">
        <v>171</v>
      </c>
      <c r="N163" s="376" t="s">
        <v>172</v>
      </c>
      <c r="O163" s="379">
        <v>1</v>
      </c>
      <c r="P163" s="384">
        <v>1</v>
      </c>
      <c r="Q163" s="384">
        <v>1</v>
      </c>
      <c r="R163" s="380">
        <v>80</v>
      </c>
      <c r="S163" s="384">
        <v>1</v>
      </c>
      <c r="T163" s="380">
        <v>103003.2</v>
      </c>
      <c r="U163" s="380">
        <v>0</v>
      </c>
      <c r="V163" s="380">
        <v>32502.26</v>
      </c>
      <c r="W163" s="380">
        <v>104187.2</v>
      </c>
      <c r="X163" s="380">
        <v>33540.74</v>
      </c>
      <c r="Y163" s="380">
        <v>104187.2</v>
      </c>
      <c r="Z163" s="380">
        <v>32998.97</v>
      </c>
      <c r="AA163" s="376" t="s">
        <v>681</v>
      </c>
      <c r="AB163" s="376" t="s">
        <v>682</v>
      </c>
      <c r="AC163" s="376" t="s">
        <v>683</v>
      </c>
      <c r="AD163" s="376" t="s">
        <v>516</v>
      </c>
      <c r="AE163" s="376" t="s">
        <v>680</v>
      </c>
      <c r="AF163" s="376" t="s">
        <v>177</v>
      </c>
      <c r="AG163" s="376" t="s">
        <v>178</v>
      </c>
      <c r="AH163" s="381">
        <v>50.09</v>
      </c>
      <c r="AI163" s="381">
        <v>59184.6</v>
      </c>
      <c r="AJ163" s="376" t="s">
        <v>179</v>
      </c>
      <c r="AK163" s="376" t="s">
        <v>180</v>
      </c>
      <c r="AL163" s="376" t="s">
        <v>170</v>
      </c>
      <c r="AM163" s="376" t="s">
        <v>181</v>
      </c>
      <c r="AN163" s="376" t="s">
        <v>68</v>
      </c>
      <c r="AO163" s="379">
        <v>80</v>
      </c>
      <c r="AP163" s="384">
        <v>1</v>
      </c>
      <c r="AQ163" s="384">
        <v>1</v>
      </c>
      <c r="AR163" s="382" t="s">
        <v>182</v>
      </c>
      <c r="AS163" s="386">
        <f t="shared" si="169"/>
        <v>1</v>
      </c>
      <c r="AT163">
        <f t="shared" si="170"/>
        <v>1</v>
      </c>
      <c r="AU163" s="386">
        <f>IF(AT163=0,"",IF(AND(AT163=1,M163="F",SUMIF(C2:C167,C163,AS2:AS167)&lt;=1),SUMIF(C2:C167,C163,AS2:AS167),IF(AND(AT163=1,M163="F",SUMIF(C2:C167,C163,AS2:AS167)&gt;1),1,"")))</f>
        <v>1</v>
      </c>
      <c r="AV163" s="386" t="str">
        <f>IF(AT163=0,"",IF(AND(AT163=3,M163="F",SUMIF(C2:C167,C163,AS2:AS167)&lt;=1),SUMIF(C2:C167,C163,AS2:AS167),IF(AND(AT163=3,M163="F",SUMIF(C2:C167,C163,AS2:AS167)&gt;1),1,"")))</f>
        <v/>
      </c>
      <c r="AW163" s="386">
        <f>SUMIF(C2:C167,C163,O2:O167)</f>
        <v>1</v>
      </c>
      <c r="AX163" s="386">
        <f>IF(AND(M163="F",AS163&lt;&gt;0),SUMIF(C2:C167,C163,W2:W167),0)</f>
        <v>104187.2</v>
      </c>
      <c r="AY163" s="386">
        <f t="shared" si="171"/>
        <v>104187.2</v>
      </c>
      <c r="AZ163" s="386" t="str">
        <f t="shared" si="172"/>
        <v/>
      </c>
      <c r="BA163" s="386">
        <f t="shared" si="173"/>
        <v>0</v>
      </c>
      <c r="BB163" s="386">
        <f t="shared" si="186"/>
        <v>11650</v>
      </c>
      <c r="BC163" s="386">
        <f t="shared" si="187"/>
        <v>0</v>
      </c>
      <c r="BD163" s="386">
        <f t="shared" si="188"/>
        <v>6459.6063999999997</v>
      </c>
      <c r="BE163" s="386">
        <f t="shared" si="189"/>
        <v>1510.7144000000001</v>
      </c>
      <c r="BF163" s="386">
        <f t="shared" si="190"/>
        <v>12439.95168</v>
      </c>
      <c r="BG163" s="386">
        <f t="shared" si="191"/>
        <v>751.18971199999999</v>
      </c>
      <c r="BH163" s="386">
        <f t="shared" si="192"/>
        <v>510.51727999999997</v>
      </c>
      <c r="BI163" s="386">
        <f t="shared" si="193"/>
        <v>0</v>
      </c>
      <c r="BJ163" s="386">
        <f t="shared" si="194"/>
        <v>218.79311999999999</v>
      </c>
      <c r="BK163" s="386">
        <f t="shared" si="195"/>
        <v>0</v>
      </c>
      <c r="BL163" s="386">
        <f t="shared" si="174"/>
        <v>21890.772591999998</v>
      </c>
      <c r="BM163" s="386">
        <f t="shared" si="175"/>
        <v>0</v>
      </c>
      <c r="BN163" s="386">
        <f t="shared" si="196"/>
        <v>11650</v>
      </c>
      <c r="BO163" s="386">
        <f t="shared" si="197"/>
        <v>0</v>
      </c>
      <c r="BP163" s="386">
        <f t="shared" si="198"/>
        <v>6459.6063999999997</v>
      </c>
      <c r="BQ163" s="386">
        <f t="shared" si="199"/>
        <v>1510.7144000000001</v>
      </c>
      <c r="BR163" s="386">
        <f t="shared" si="200"/>
        <v>12439.95168</v>
      </c>
      <c r="BS163" s="386">
        <f t="shared" si="201"/>
        <v>751.18971199999999</v>
      </c>
      <c r="BT163" s="386">
        <f t="shared" si="202"/>
        <v>0</v>
      </c>
      <c r="BU163" s="386">
        <f t="shared" si="203"/>
        <v>0</v>
      </c>
      <c r="BV163" s="386">
        <f t="shared" si="204"/>
        <v>187.53695999999999</v>
      </c>
      <c r="BW163" s="386">
        <f t="shared" si="205"/>
        <v>0</v>
      </c>
      <c r="BX163" s="386">
        <f t="shared" si="176"/>
        <v>21348.999152</v>
      </c>
      <c r="BY163" s="386">
        <f t="shared" si="177"/>
        <v>0</v>
      </c>
      <c r="BZ163" s="386">
        <f t="shared" si="178"/>
        <v>0</v>
      </c>
      <c r="CA163" s="386">
        <f t="shared" si="179"/>
        <v>0</v>
      </c>
      <c r="CB163" s="386">
        <f t="shared" si="180"/>
        <v>0</v>
      </c>
      <c r="CC163" s="386">
        <f t="shared" si="206"/>
        <v>0</v>
      </c>
      <c r="CD163" s="386">
        <f t="shared" si="207"/>
        <v>0</v>
      </c>
      <c r="CE163" s="386">
        <f t="shared" si="208"/>
        <v>0</v>
      </c>
      <c r="CF163" s="386">
        <f t="shared" si="209"/>
        <v>-510.51727999999997</v>
      </c>
      <c r="CG163" s="386">
        <f t="shared" si="210"/>
        <v>0</v>
      </c>
      <c r="CH163" s="386">
        <f t="shared" si="211"/>
        <v>-31.256159999999991</v>
      </c>
      <c r="CI163" s="386">
        <f t="shared" si="212"/>
        <v>0</v>
      </c>
      <c r="CJ163" s="386">
        <f t="shared" si="181"/>
        <v>-541.77343999999994</v>
      </c>
      <c r="CK163" s="386" t="str">
        <f t="shared" si="182"/>
        <v/>
      </c>
      <c r="CL163" s="386" t="str">
        <f t="shared" si="183"/>
        <v/>
      </c>
      <c r="CM163" s="386" t="str">
        <f t="shared" si="184"/>
        <v/>
      </c>
      <c r="CN163" s="386" t="str">
        <f t="shared" si="185"/>
        <v>0480-00</v>
      </c>
    </row>
    <row r="164" spans="1:92" ht="15.75" thickBot="1" x14ac:dyDescent="0.3">
      <c r="A164" s="376" t="s">
        <v>161</v>
      </c>
      <c r="B164" s="376" t="s">
        <v>162</v>
      </c>
      <c r="C164" s="376" t="s">
        <v>400</v>
      </c>
      <c r="D164" s="376" t="s">
        <v>401</v>
      </c>
      <c r="E164" s="376" t="s">
        <v>501</v>
      </c>
      <c r="F164" s="377" t="s">
        <v>166</v>
      </c>
      <c r="G164" s="376" t="s">
        <v>502</v>
      </c>
      <c r="H164" s="378"/>
      <c r="I164" s="378"/>
      <c r="J164" s="376" t="s">
        <v>168</v>
      </c>
      <c r="K164" s="376" t="s">
        <v>402</v>
      </c>
      <c r="L164" s="376" t="s">
        <v>403</v>
      </c>
      <c r="M164" s="376" t="s">
        <v>171</v>
      </c>
      <c r="N164" s="376" t="s">
        <v>172</v>
      </c>
      <c r="O164" s="379">
        <v>1</v>
      </c>
      <c r="P164" s="384">
        <v>1</v>
      </c>
      <c r="Q164" s="384">
        <v>1</v>
      </c>
      <c r="R164" s="380">
        <v>80</v>
      </c>
      <c r="S164" s="384">
        <v>1</v>
      </c>
      <c r="T164" s="380">
        <v>102406.84</v>
      </c>
      <c r="U164" s="380">
        <v>0</v>
      </c>
      <c r="V164" s="380">
        <v>32222.560000000001</v>
      </c>
      <c r="W164" s="380">
        <v>102772.8</v>
      </c>
      <c r="X164" s="380">
        <v>33243.57</v>
      </c>
      <c r="Y164" s="380">
        <v>102772.8</v>
      </c>
      <c r="Z164" s="380">
        <v>32709.16</v>
      </c>
      <c r="AA164" s="376" t="s">
        <v>404</v>
      </c>
      <c r="AB164" s="376" t="s">
        <v>405</v>
      </c>
      <c r="AC164" s="376" t="s">
        <v>406</v>
      </c>
      <c r="AD164" s="376" t="s">
        <v>289</v>
      </c>
      <c r="AE164" s="376" t="s">
        <v>402</v>
      </c>
      <c r="AF164" s="376" t="s">
        <v>177</v>
      </c>
      <c r="AG164" s="376" t="s">
        <v>178</v>
      </c>
      <c r="AH164" s="381">
        <v>49.41</v>
      </c>
      <c r="AI164" s="381">
        <v>40528.300000000003</v>
      </c>
      <c r="AJ164" s="376" t="s">
        <v>179</v>
      </c>
      <c r="AK164" s="376" t="s">
        <v>180</v>
      </c>
      <c r="AL164" s="376" t="s">
        <v>170</v>
      </c>
      <c r="AM164" s="376" t="s">
        <v>181</v>
      </c>
      <c r="AN164" s="376" t="s">
        <v>68</v>
      </c>
      <c r="AO164" s="379">
        <v>80</v>
      </c>
      <c r="AP164" s="384">
        <v>1</v>
      </c>
      <c r="AQ164" s="384">
        <v>1</v>
      </c>
      <c r="AR164" s="382" t="s">
        <v>182</v>
      </c>
      <c r="AS164" s="386">
        <f t="shared" si="169"/>
        <v>1</v>
      </c>
      <c r="AT164">
        <f t="shared" si="170"/>
        <v>1</v>
      </c>
      <c r="AU164" s="386">
        <f>IF(AT164=0,"",IF(AND(AT164=1,M164="F",SUMIF(C2:C167,C164,AS2:AS167)&lt;=1),SUMIF(C2:C167,C164,AS2:AS167),IF(AND(AT164=1,M164="F",SUMIF(C2:C167,C164,AS2:AS167)&gt;1),1,"")))</f>
        <v>1</v>
      </c>
      <c r="AV164" s="386" t="str">
        <f>IF(AT164=0,"",IF(AND(AT164=3,M164="F",SUMIF(C2:C167,C164,AS2:AS167)&lt;=1),SUMIF(C2:C167,C164,AS2:AS167),IF(AND(AT164=3,M164="F",SUMIF(C2:C167,C164,AS2:AS167)&gt;1),1,"")))</f>
        <v/>
      </c>
      <c r="AW164" s="386">
        <f>SUMIF(C2:C167,C164,O2:O167)</f>
        <v>2</v>
      </c>
      <c r="AX164" s="386">
        <f>IF(AND(M164="F",AS164&lt;&gt;0),SUMIF(C2:C167,C164,W2:W167),0)</f>
        <v>102772.8</v>
      </c>
      <c r="AY164" s="386">
        <f t="shared" si="171"/>
        <v>102772.8</v>
      </c>
      <c r="AZ164" s="386" t="str">
        <f t="shared" si="172"/>
        <v/>
      </c>
      <c r="BA164" s="386">
        <f t="shared" si="173"/>
        <v>0</v>
      </c>
      <c r="BB164" s="386">
        <f t="shared" si="186"/>
        <v>11650</v>
      </c>
      <c r="BC164" s="386">
        <f t="shared" si="187"/>
        <v>0</v>
      </c>
      <c r="BD164" s="386">
        <f t="shared" si="188"/>
        <v>6371.9135999999999</v>
      </c>
      <c r="BE164" s="386">
        <f t="shared" si="189"/>
        <v>1490.2056000000002</v>
      </c>
      <c r="BF164" s="386">
        <f t="shared" si="190"/>
        <v>12271.072320000001</v>
      </c>
      <c r="BG164" s="386">
        <f t="shared" si="191"/>
        <v>740.99188800000002</v>
      </c>
      <c r="BH164" s="386">
        <f t="shared" si="192"/>
        <v>503.58672000000001</v>
      </c>
      <c r="BI164" s="386">
        <f t="shared" si="193"/>
        <v>0</v>
      </c>
      <c r="BJ164" s="386">
        <f t="shared" si="194"/>
        <v>215.82288</v>
      </c>
      <c r="BK164" s="386">
        <f t="shared" si="195"/>
        <v>0</v>
      </c>
      <c r="BL164" s="386">
        <f t="shared" si="174"/>
        <v>21593.593008</v>
      </c>
      <c r="BM164" s="386">
        <f t="shared" si="175"/>
        <v>0</v>
      </c>
      <c r="BN164" s="386">
        <f t="shared" si="196"/>
        <v>11650</v>
      </c>
      <c r="BO164" s="386">
        <f t="shared" si="197"/>
        <v>0</v>
      </c>
      <c r="BP164" s="386">
        <f t="shared" si="198"/>
        <v>6371.9135999999999</v>
      </c>
      <c r="BQ164" s="386">
        <f t="shared" si="199"/>
        <v>1490.2056000000002</v>
      </c>
      <c r="BR164" s="386">
        <f t="shared" si="200"/>
        <v>12271.072320000001</v>
      </c>
      <c r="BS164" s="386">
        <f t="shared" si="201"/>
        <v>740.99188800000002</v>
      </c>
      <c r="BT164" s="386">
        <f t="shared" si="202"/>
        <v>0</v>
      </c>
      <c r="BU164" s="386">
        <f t="shared" si="203"/>
        <v>0</v>
      </c>
      <c r="BV164" s="386">
        <f t="shared" si="204"/>
        <v>184.99104</v>
      </c>
      <c r="BW164" s="386">
        <f t="shared" si="205"/>
        <v>0</v>
      </c>
      <c r="BX164" s="386">
        <f t="shared" si="176"/>
        <v>21059.174448000002</v>
      </c>
      <c r="BY164" s="386">
        <f t="shared" si="177"/>
        <v>0</v>
      </c>
      <c r="BZ164" s="386">
        <f t="shared" si="178"/>
        <v>0</v>
      </c>
      <c r="CA164" s="386">
        <f t="shared" si="179"/>
        <v>0</v>
      </c>
      <c r="CB164" s="386">
        <f t="shared" si="180"/>
        <v>0</v>
      </c>
      <c r="CC164" s="386">
        <f t="shared" si="206"/>
        <v>0</v>
      </c>
      <c r="CD164" s="386">
        <f t="shared" si="207"/>
        <v>0</v>
      </c>
      <c r="CE164" s="386">
        <f t="shared" si="208"/>
        <v>0</v>
      </c>
      <c r="CF164" s="386">
        <f t="shared" si="209"/>
        <v>-503.58672000000001</v>
      </c>
      <c r="CG164" s="386">
        <f t="shared" si="210"/>
        <v>0</v>
      </c>
      <c r="CH164" s="386">
        <f t="shared" si="211"/>
        <v>-30.831839999999993</v>
      </c>
      <c r="CI164" s="386">
        <f t="shared" si="212"/>
        <v>0</v>
      </c>
      <c r="CJ164" s="386">
        <f t="shared" si="181"/>
        <v>-534.41855999999996</v>
      </c>
      <c r="CK164" s="386" t="str">
        <f t="shared" si="182"/>
        <v/>
      </c>
      <c r="CL164" s="386" t="str">
        <f t="shared" si="183"/>
        <v/>
      </c>
      <c r="CM164" s="386" t="str">
        <f t="shared" si="184"/>
        <v/>
      </c>
      <c r="CN164" s="386" t="str">
        <f t="shared" si="185"/>
        <v>0480-00</v>
      </c>
    </row>
    <row r="165" spans="1:92" ht="15.75" thickBot="1" x14ac:dyDescent="0.3">
      <c r="A165" s="376" t="s">
        <v>161</v>
      </c>
      <c r="B165" s="376" t="s">
        <v>162</v>
      </c>
      <c r="C165" s="376" t="s">
        <v>163</v>
      </c>
      <c r="D165" s="376" t="s">
        <v>164</v>
      </c>
      <c r="E165" s="376" t="s">
        <v>501</v>
      </c>
      <c r="F165" s="377" t="s">
        <v>166</v>
      </c>
      <c r="G165" s="376" t="s">
        <v>502</v>
      </c>
      <c r="H165" s="378"/>
      <c r="I165" s="378"/>
      <c r="J165" s="376" t="s">
        <v>168</v>
      </c>
      <c r="K165" s="376" t="s">
        <v>169</v>
      </c>
      <c r="L165" s="376" t="s">
        <v>170</v>
      </c>
      <c r="M165" s="376" t="s">
        <v>171</v>
      </c>
      <c r="N165" s="376" t="s">
        <v>172</v>
      </c>
      <c r="O165" s="379">
        <v>1</v>
      </c>
      <c r="P165" s="384">
        <v>1</v>
      </c>
      <c r="Q165" s="384">
        <v>1</v>
      </c>
      <c r="R165" s="380">
        <v>80</v>
      </c>
      <c r="S165" s="384">
        <v>1</v>
      </c>
      <c r="T165" s="380">
        <v>39130.400000000001</v>
      </c>
      <c r="U165" s="380">
        <v>0</v>
      </c>
      <c r="V165" s="380">
        <v>12805.81</v>
      </c>
      <c r="W165" s="380">
        <v>101836.8</v>
      </c>
      <c r="X165" s="380">
        <v>33046.910000000003</v>
      </c>
      <c r="Y165" s="380">
        <v>101836.8</v>
      </c>
      <c r="Z165" s="380">
        <v>32517.360000000001</v>
      </c>
      <c r="AA165" s="376" t="s">
        <v>173</v>
      </c>
      <c r="AB165" s="376" t="s">
        <v>174</v>
      </c>
      <c r="AC165" s="376" t="s">
        <v>175</v>
      </c>
      <c r="AD165" s="376" t="s">
        <v>176</v>
      </c>
      <c r="AE165" s="376" t="s">
        <v>169</v>
      </c>
      <c r="AF165" s="376" t="s">
        <v>177</v>
      </c>
      <c r="AG165" s="376" t="s">
        <v>178</v>
      </c>
      <c r="AH165" s="381">
        <v>48.96</v>
      </c>
      <c r="AI165" s="379">
        <v>1200</v>
      </c>
      <c r="AJ165" s="376" t="s">
        <v>179</v>
      </c>
      <c r="AK165" s="376" t="s">
        <v>180</v>
      </c>
      <c r="AL165" s="376" t="s">
        <v>170</v>
      </c>
      <c r="AM165" s="376" t="s">
        <v>181</v>
      </c>
      <c r="AN165" s="376" t="s">
        <v>68</v>
      </c>
      <c r="AO165" s="379">
        <v>80</v>
      </c>
      <c r="AP165" s="384">
        <v>1</v>
      </c>
      <c r="AQ165" s="384">
        <v>1</v>
      </c>
      <c r="AR165" s="382" t="s">
        <v>182</v>
      </c>
      <c r="AS165" s="386">
        <f t="shared" si="169"/>
        <v>1</v>
      </c>
      <c r="AT165">
        <f t="shared" si="170"/>
        <v>1</v>
      </c>
      <c r="AU165" s="386">
        <f>IF(AT165=0,"",IF(AND(AT165=1,M165="F",SUMIF(C2:C167,C165,AS2:AS167)&lt;=1),SUMIF(C2:C167,C165,AS2:AS167),IF(AND(AT165=1,M165="F",SUMIF(C2:C167,C165,AS2:AS167)&gt;1),1,"")))</f>
        <v>1</v>
      </c>
      <c r="AV165" s="386" t="str">
        <f>IF(AT165=0,"",IF(AND(AT165=3,M165="F",SUMIF(C2:C167,C165,AS2:AS167)&lt;=1),SUMIF(C2:C167,C165,AS2:AS167),IF(AND(AT165=3,M165="F",SUMIF(C2:C167,C165,AS2:AS167)&gt;1),1,"")))</f>
        <v/>
      </c>
      <c r="AW165" s="386">
        <f>SUMIF(C2:C167,C165,O2:O167)</f>
        <v>2</v>
      </c>
      <c r="AX165" s="386">
        <f>IF(AND(M165="F",AS165&lt;&gt;0),SUMIF(C2:C167,C165,W2:W167),0)</f>
        <v>101836.8</v>
      </c>
      <c r="AY165" s="386">
        <f t="shared" si="171"/>
        <v>101836.8</v>
      </c>
      <c r="AZ165" s="386" t="str">
        <f t="shared" si="172"/>
        <v/>
      </c>
      <c r="BA165" s="386">
        <f t="shared" si="173"/>
        <v>0</v>
      </c>
      <c r="BB165" s="386">
        <f t="shared" si="186"/>
        <v>11650</v>
      </c>
      <c r="BC165" s="386">
        <f t="shared" si="187"/>
        <v>0</v>
      </c>
      <c r="BD165" s="386">
        <f t="shared" si="188"/>
        <v>6313.8815999999997</v>
      </c>
      <c r="BE165" s="386">
        <f t="shared" si="189"/>
        <v>1476.6336000000001</v>
      </c>
      <c r="BF165" s="386">
        <f t="shared" si="190"/>
        <v>12159.313920000001</v>
      </c>
      <c r="BG165" s="386">
        <f t="shared" si="191"/>
        <v>734.24332800000002</v>
      </c>
      <c r="BH165" s="386">
        <f t="shared" si="192"/>
        <v>499.00031999999999</v>
      </c>
      <c r="BI165" s="386">
        <f t="shared" si="193"/>
        <v>0</v>
      </c>
      <c r="BJ165" s="386">
        <f t="shared" si="194"/>
        <v>213.85728</v>
      </c>
      <c r="BK165" s="386">
        <f t="shared" si="195"/>
        <v>0</v>
      </c>
      <c r="BL165" s="386">
        <f t="shared" si="174"/>
        <v>21396.930048000002</v>
      </c>
      <c r="BM165" s="386">
        <f t="shared" si="175"/>
        <v>0</v>
      </c>
      <c r="BN165" s="386">
        <f t="shared" si="196"/>
        <v>11650</v>
      </c>
      <c r="BO165" s="386">
        <f t="shared" si="197"/>
        <v>0</v>
      </c>
      <c r="BP165" s="386">
        <f t="shared" si="198"/>
        <v>6313.8815999999997</v>
      </c>
      <c r="BQ165" s="386">
        <f t="shared" si="199"/>
        <v>1476.6336000000001</v>
      </c>
      <c r="BR165" s="386">
        <f t="shared" si="200"/>
        <v>12159.313920000001</v>
      </c>
      <c r="BS165" s="386">
        <f t="shared" si="201"/>
        <v>734.24332800000002</v>
      </c>
      <c r="BT165" s="386">
        <f t="shared" si="202"/>
        <v>0</v>
      </c>
      <c r="BU165" s="386">
        <f t="shared" si="203"/>
        <v>0</v>
      </c>
      <c r="BV165" s="386">
        <f t="shared" si="204"/>
        <v>183.30624</v>
      </c>
      <c r="BW165" s="386">
        <f t="shared" si="205"/>
        <v>0</v>
      </c>
      <c r="BX165" s="386">
        <f t="shared" si="176"/>
        <v>20867.378688000004</v>
      </c>
      <c r="BY165" s="386">
        <f t="shared" si="177"/>
        <v>0</v>
      </c>
      <c r="BZ165" s="386">
        <f t="shared" si="178"/>
        <v>0</v>
      </c>
      <c r="CA165" s="386">
        <f t="shared" si="179"/>
        <v>0</v>
      </c>
      <c r="CB165" s="386">
        <f t="shared" si="180"/>
        <v>0</v>
      </c>
      <c r="CC165" s="386">
        <f t="shared" si="206"/>
        <v>0</v>
      </c>
      <c r="CD165" s="386">
        <f t="shared" si="207"/>
        <v>0</v>
      </c>
      <c r="CE165" s="386">
        <f t="shared" si="208"/>
        <v>0</v>
      </c>
      <c r="CF165" s="386">
        <f t="shared" si="209"/>
        <v>-499.00031999999999</v>
      </c>
      <c r="CG165" s="386">
        <f t="shared" si="210"/>
        <v>0</v>
      </c>
      <c r="CH165" s="386">
        <f t="shared" si="211"/>
        <v>-30.551039999999993</v>
      </c>
      <c r="CI165" s="386">
        <f t="shared" si="212"/>
        <v>0</v>
      </c>
      <c r="CJ165" s="386">
        <f t="shared" si="181"/>
        <v>-529.55135999999993</v>
      </c>
      <c r="CK165" s="386" t="str">
        <f t="shared" si="182"/>
        <v/>
      </c>
      <c r="CL165" s="386" t="str">
        <f t="shared" si="183"/>
        <v/>
      </c>
      <c r="CM165" s="386" t="str">
        <f t="shared" si="184"/>
        <v/>
      </c>
      <c r="CN165" s="386" t="str">
        <f t="shared" si="185"/>
        <v>0480-00</v>
      </c>
    </row>
    <row r="166" spans="1:92" ht="15.75" thickBot="1" x14ac:dyDescent="0.3">
      <c r="A166" s="376" t="s">
        <v>161</v>
      </c>
      <c r="B166" s="376" t="s">
        <v>162</v>
      </c>
      <c r="C166" s="376" t="s">
        <v>684</v>
      </c>
      <c r="D166" s="376" t="s">
        <v>629</v>
      </c>
      <c r="E166" s="376" t="s">
        <v>501</v>
      </c>
      <c r="F166" s="377" t="s">
        <v>166</v>
      </c>
      <c r="G166" s="376" t="s">
        <v>502</v>
      </c>
      <c r="H166" s="378"/>
      <c r="I166" s="378"/>
      <c r="J166" s="376" t="s">
        <v>168</v>
      </c>
      <c r="K166" s="376" t="s">
        <v>630</v>
      </c>
      <c r="L166" s="376" t="s">
        <v>516</v>
      </c>
      <c r="M166" s="376" t="s">
        <v>171</v>
      </c>
      <c r="N166" s="376" t="s">
        <v>172</v>
      </c>
      <c r="O166" s="379">
        <v>1</v>
      </c>
      <c r="P166" s="384">
        <v>1</v>
      </c>
      <c r="Q166" s="384">
        <v>1</v>
      </c>
      <c r="R166" s="380">
        <v>80</v>
      </c>
      <c r="S166" s="384">
        <v>1</v>
      </c>
      <c r="T166" s="380">
        <v>38592</v>
      </c>
      <c r="U166" s="380">
        <v>0</v>
      </c>
      <c r="V166" s="380">
        <v>18543.759999999998</v>
      </c>
      <c r="W166" s="380">
        <v>52000</v>
      </c>
      <c r="X166" s="380">
        <v>22575.72</v>
      </c>
      <c r="Y166" s="380">
        <v>52000</v>
      </c>
      <c r="Z166" s="380">
        <v>22305.32</v>
      </c>
      <c r="AA166" s="376" t="s">
        <v>685</v>
      </c>
      <c r="AB166" s="376" t="s">
        <v>686</v>
      </c>
      <c r="AC166" s="376" t="s">
        <v>687</v>
      </c>
      <c r="AD166" s="376" t="s">
        <v>289</v>
      </c>
      <c r="AE166" s="376" t="s">
        <v>630</v>
      </c>
      <c r="AF166" s="376" t="s">
        <v>177</v>
      </c>
      <c r="AG166" s="376" t="s">
        <v>178</v>
      </c>
      <c r="AH166" s="379">
        <v>25</v>
      </c>
      <c r="AI166" s="381">
        <v>3441.8</v>
      </c>
      <c r="AJ166" s="376" t="s">
        <v>179</v>
      </c>
      <c r="AK166" s="376" t="s">
        <v>180</v>
      </c>
      <c r="AL166" s="376" t="s">
        <v>170</v>
      </c>
      <c r="AM166" s="376" t="s">
        <v>181</v>
      </c>
      <c r="AN166" s="376" t="s">
        <v>68</v>
      </c>
      <c r="AO166" s="379">
        <v>80</v>
      </c>
      <c r="AP166" s="384">
        <v>1</v>
      </c>
      <c r="AQ166" s="384">
        <v>1</v>
      </c>
      <c r="AR166" s="382" t="s">
        <v>182</v>
      </c>
      <c r="AS166" s="386">
        <f t="shared" si="169"/>
        <v>1</v>
      </c>
      <c r="AT166">
        <f t="shared" si="170"/>
        <v>1</v>
      </c>
      <c r="AU166" s="386">
        <f>IF(AT166=0,"",IF(AND(AT166=1,M166="F",SUMIF(C2:C167,C166,AS2:AS167)&lt;=1),SUMIF(C2:C167,C166,AS2:AS167),IF(AND(AT166=1,M166="F",SUMIF(C2:C167,C166,AS2:AS167)&gt;1),1,"")))</f>
        <v>1</v>
      </c>
      <c r="AV166" s="386" t="str">
        <f>IF(AT166=0,"",IF(AND(AT166=3,M166="F",SUMIF(C2:C167,C166,AS2:AS167)&lt;=1),SUMIF(C2:C167,C166,AS2:AS167),IF(AND(AT166=3,M166="F",SUMIF(C2:C167,C166,AS2:AS167)&gt;1),1,"")))</f>
        <v/>
      </c>
      <c r="AW166" s="386">
        <f>SUMIF(C2:C167,C166,O2:O167)</f>
        <v>1</v>
      </c>
      <c r="AX166" s="386">
        <f>IF(AND(M166="F",AS166&lt;&gt;0),SUMIF(C2:C167,C166,W2:W167),0)</f>
        <v>52000</v>
      </c>
      <c r="AY166" s="386">
        <f t="shared" si="171"/>
        <v>52000</v>
      </c>
      <c r="AZ166" s="386" t="str">
        <f t="shared" si="172"/>
        <v/>
      </c>
      <c r="BA166" s="386">
        <f t="shared" si="173"/>
        <v>0</v>
      </c>
      <c r="BB166" s="386">
        <f t="shared" si="186"/>
        <v>11650</v>
      </c>
      <c r="BC166" s="386">
        <f t="shared" si="187"/>
        <v>0</v>
      </c>
      <c r="BD166" s="386">
        <f t="shared" si="188"/>
        <v>3224</v>
      </c>
      <c r="BE166" s="386">
        <f t="shared" si="189"/>
        <v>754</v>
      </c>
      <c r="BF166" s="386">
        <f t="shared" si="190"/>
        <v>6208.8</v>
      </c>
      <c r="BG166" s="386">
        <f t="shared" si="191"/>
        <v>374.92</v>
      </c>
      <c r="BH166" s="386">
        <f t="shared" si="192"/>
        <v>254.79999999999998</v>
      </c>
      <c r="BI166" s="386">
        <f t="shared" si="193"/>
        <v>0</v>
      </c>
      <c r="BJ166" s="386">
        <f t="shared" si="194"/>
        <v>109.19999999999999</v>
      </c>
      <c r="BK166" s="386">
        <f t="shared" si="195"/>
        <v>0</v>
      </c>
      <c r="BL166" s="386">
        <f t="shared" si="174"/>
        <v>10925.72</v>
      </c>
      <c r="BM166" s="386">
        <f t="shared" si="175"/>
        <v>0</v>
      </c>
      <c r="BN166" s="386">
        <f t="shared" si="196"/>
        <v>11650</v>
      </c>
      <c r="BO166" s="386">
        <f t="shared" si="197"/>
        <v>0</v>
      </c>
      <c r="BP166" s="386">
        <f t="shared" si="198"/>
        <v>3224</v>
      </c>
      <c r="BQ166" s="386">
        <f t="shared" si="199"/>
        <v>754</v>
      </c>
      <c r="BR166" s="386">
        <f t="shared" si="200"/>
        <v>6208.8</v>
      </c>
      <c r="BS166" s="386">
        <f t="shared" si="201"/>
        <v>374.92</v>
      </c>
      <c r="BT166" s="386">
        <f t="shared" si="202"/>
        <v>0</v>
      </c>
      <c r="BU166" s="386">
        <f t="shared" si="203"/>
        <v>0</v>
      </c>
      <c r="BV166" s="386">
        <f t="shared" si="204"/>
        <v>93.6</v>
      </c>
      <c r="BW166" s="386">
        <f t="shared" si="205"/>
        <v>0</v>
      </c>
      <c r="BX166" s="386">
        <f t="shared" si="176"/>
        <v>10655.32</v>
      </c>
      <c r="BY166" s="386">
        <f t="shared" si="177"/>
        <v>0</v>
      </c>
      <c r="BZ166" s="386">
        <f t="shared" si="178"/>
        <v>0</v>
      </c>
      <c r="CA166" s="386">
        <f t="shared" si="179"/>
        <v>0</v>
      </c>
      <c r="CB166" s="386">
        <f t="shared" si="180"/>
        <v>0</v>
      </c>
      <c r="CC166" s="386">
        <f t="shared" si="206"/>
        <v>0</v>
      </c>
      <c r="CD166" s="386">
        <f t="shared" si="207"/>
        <v>0</v>
      </c>
      <c r="CE166" s="386">
        <f t="shared" si="208"/>
        <v>0</v>
      </c>
      <c r="CF166" s="386">
        <f t="shared" si="209"/>
        <v>-254.79999999999998</v>
      </c>
      <c r="CG166" s="386">
        <f t="shared" si="210"/>
        <v>0</v>
      </c>
      <c r="CH166" s="386">
        <f t="shared" si="211"/>
        <v>-15.599999999999996</v>
      </c>
      <c r="CI166" s="386">
        <f t="shared" si="212"/>
        <v>0</v>
      </c>
      <c r="CJ166" s="386">
        <f t="shared" si="181"/>
        <v>-270.39999999999998</v>
      </c>
      <c r="CK166" s="386" t="str">
        <f t="shared" si="182"/>
        <v/>
      </c>
      <c r="CL166" s="386" t="str">
        <f t="shared" si="183"/>
        <v/>
      </c>
      <c r="CM166" s="386" t="str">
        <f t="shared" si="184"/>
        <v/>
      </c>
      <c r="CN166" s="386" t="str">
        <f t="shared" si="185"/>
        <v>0480-00</v>
      </c>
    </row>
    <row r="167" spans="1:92" ht="15.75" thickBot="1" x14ac:dyDescent="0.3">
      <c r="A167" s="376" t="s">
        <v>161</v>
      </c>
      <c r="B167" s="376" t="s">
        <v>162</v>
      </c>
      <c r="C167" s="376" t="s">
        <v>688</v>
      </c>
      <c r="D167" s="376" t="s">
        <v>500</v>
      </c>
      <c r="E167" s="376" t="s">
        <v>501</v>
      </c>
      <c r="F167" s="377" t="s">
        <v>166</v>
      </c>
      <c r="G167" s="376" t="s">
        <v>502</v>
      </c>
      <c r="H167" s="378"/>
      <c r="I167" s="378"/>
      <c r="J167" s="376" t="s">
        <v>168</v>
      </c>
      <c r="K167" s="376" t="s">
        <v>503</v>
      </c>
      <c r="L167" s="376" t="s">
        <v>166</v>
      </c>
      <c r="M167" s="376" t="s">
        <v>171</v>
      </c>
      <c r="N167" s="376" t="s">
        <v>172</v>
      </c>
      <c r="O167" s="379">
        <v>1</v>
      </c>
      <c r="P167" s="384">
        <v>1</v>
      </c>
      <c r="Q167" s="384">
        <v>1</v>
      </c>
      <c r="R167" s="380">
        <v>80</v>
      </c>
      <c r="S167" s="384">
        <v>1</v>
      </c>
      <c r="T167" s="380">
        <v>34513.760000000002</v>
      </c>
      <c r="U167" s="380">
        <v>787.56</v>
      </c>
      <c r="V167" s="380">
        <v>18802.22</v>
      </c>
      <c r="W167" s="380">
        <v>34747.440000000002</v>
      </c>
      <c r="X167" s="380">
        <v>18950.75</v>
      </c>
      <c r="Y167" s="380">
        <v>34747.440000000002</v>
      </c>
      <c r="Z167" s="380">
        <v>18770.07</v>
      </c>
      <c r="AA167" s="376" t="s">
        <v>689</v>
      </c>
      <c r="AB167" s="376" t="s">
        <v>690</v>
      </c>
      <c r="AC167" s="376" t="s">
        <v>691</v>
      </c>
      <c r="AD167" s="376" t="s">
        <v>178</v>
      </c>
      <c r="AE167" s="376" t="s">
        <v>503</v>
      </c>
      <c r="AF167" s="376" t="s">
        <v>177</v>
      </c>
      <c r="AG167" s="376" t="s">
        <v>178</v>
      </c>
      <c r="AH167" s="381">
        <v>15.91</v>
      </c>
      <c r="AI167" s="381">
        <v>3086.5</v>
      </c>
      <c r="AJ167" s="376" t="s">
        <v>179</v>
      </c>
      <c r="AK167" s="376" t="s">
        <v>180</v>
      </c>
      <c r="AL167" s="376" t="s">
        <v>170</v>
      </c>
      <c r="AM167" s="376" t="s">
        <v>181</v>
      </c>
      <c r="AN167" s="376" t="s">
        <v>68</v>
      </c>
      <c r="AO167" s="379">
        <v>80</v>
      </c>
      <c r="AP167" s="384">
        <v>1</v>
      </c>
      <c r="AQ167" s="384">
        <v>1</v>
      </c>
      <c r="AR167" s="382">
        <v>5</v>
      </c>
      <c r="AS167" s="386">
        <f t="shared" si="169"/>
        <v>1</v>
      </c>
      <c r="AT167">
        <f t="shared" si="170"/>
        <v>1</v>
      </c>
      <c r="AU167" s="386">
        <f>IF(AT167=0,"",IF(AND(AT167=1,M167="F",SUMIF(C2:C167,C167,AS2:AS167)&lt;=1),SUMIF(C2:C167,C167,AS2:AS167),IF(AND(AT167=1,M167="F",SUMIF(C2:C167,C167,AS2:AS167)&gt;1),1,"")))</f>
        <v>1</v>
      </c>
      <c r="AV167" s="386" t="str">
        <f>IF(AT167=0,"",IF(AND(AT167=3,M167="F",SUMIF(C2:C167,C167,AS2:AS167)&lt;=1),SUMIF(C2:C167,C167,AS2:AS167),IF(AND(AT167=3,M167="F",SUMIF(C2:C167,C167,AS2:AS167)&gt;1),1,"")))</f>
        <v/>
      </c>
      <c r="AW167" s="386">
        <f>SUMIF(C2:C167,C167,O2:O167)</f>
        <v>1</v>
      </c>
      <c r="AX167" s="386">
        <f>IF(AND(M167="F",AS167&lt;&gt;0),SUMIF(C2:C167,C167,W2:W167),0)</f>
        <v>34747.440000000002</v>
      </c>
      <c r="AY167" s="386">
        <f t="shared" si="171"/>
        <v>34747.440000000002</v>
      </c>
      <c r="AZ167" s="386" t="str">
        <f t="shared" si="172"/>
        <v/>
      </c>
      <c r="BA167" s="386">
        <f t="shared" si="173"/>
        <v>0</v>
      </c>
      <c r="BB167" s="386">
        <f t="shared" si="186"/>
        <v>11650</v>
      </c>
      <c r="BC167" s="386">
        <f t="shared" si="187"/>
        <v>0</v>
      </c>
      <c r="BD167" s="386">
        <f t="shared" si="188"/>
        <v>2154.3412800000001</v>
      </c>
      <c r="BE167" s="386">
        <f t="shared" si="189"/>
        <v>503.83788000000004</v>
      </c>
      <c r="BF167" s="386">
        <f t="shared" si="190"/>
        <v>4148.8443360000001</v>
      </c>
      <c r="BG167" s="386">
        <f t="shared" si="191"/>
        <v>250.52904240000004</v>
      </c>
      <c r="BH167" s="386">
        <f t="shared" si="192"/>
        <v>170.26245600000001</v>
      </c>
      <c r="BI167" s="386">
        <f t="shared" si="193"/>
        <v>0</v>
      </c>
      <c r="BJ167" s="386">
        <f t="shared" si="194"/>
        <v>72.969623999999996</v>
      </c>
      <c r="BK167" s="386">
        <f t="shared" si="195"/>
        <v>0</v>
      </c>
      <c r="BL167" s="386">
        <f t="shared" si="174"/>
        <v>7300.7846184000009</v>
      </c>
      <c r="BM167" s="386">
        <f t="shared" si="175"/>
        <v>0</v>
      </c>
      <c r="BN167" s="386">
        <f t="shared" si="196"/>
        <v>11650</v>
      </c>
      <c r="BO167" s="386">
        <f t="shared" si="197"/>
        <v>0</v>
      </c>
      <c r="BP167" s="386">
        <f t="shared" si="198"/>
        <v>2154.3412800000001</v>
      </c>
      <c r="BQ167" s="386">
        <f t="shared" si="199"/>
        <v>503.83788000000004</v>
      </c>
      <c r="BR167" s="386">
        <f t="shared" si="200"/>
        <v>4148.8443360000001</v>
      </c>
      <c r="BS167" s="386">
        <f t="shared" si="201"/>
        <v>250.52904240000004</v>
      </c>
      <c r="BT167" s="386">
        <f t="shared" si="202"/>
        <v>0</v>
      </c>
      <c r="BU167" s="386">
        <f t="shared" si="203"/>
        <v>0</v>
      </c>
      <c r="BV167" s="386">
        <f t="shared" si="204"/>
        <v>62.545392</v>
      </c>
      <c r="BW167" s="386">
        <f t="shared" si="205"/>
        <v>0</v>
      </c>
      <c r="BX167" s="386">
        <f t="shared" si="176"/>
        <v>7120.0979304000002</v>
      </c>
      <c r="BY167" s="386">
        <f t="shared" si="177"/>
        <v>0</v>
      </c>
      <c r="BZ167" s="386">
        <f t="shared" si="178"/>
        <v>0</v>
      </c>
      <c r="CA167" s="386">
        <f t="shared" si="179"/>
        <v>0</v>
      </c>
      <c r="CB167" s="386">
        <f t="shared" si="180"/>
        <v>0</v>
      </c>
      <c r="CC167" s="386">
        <f t="shared" si="206"/>
        <v>0</v>
      </c>
      <c r="CD167" s="386">
        <f t="shared" si="207"/>
        <v>0</v>
      </c>
      <c r="CE167" s="386">
        <f t="shared" si="208"/>
        <v>0</v>
      </c>
      <c r="CF167" s="386">
        <f t="shared" si="209"/>
        <v>-170.26245600000001</v>
      </c>
      <c r="CG167" s="386">
        <f t="shared" si="210"/>
        <v>0</v>
      </c>
      <c r="CH167" s="386">
        <f t="shared" si="211"/>
        <v>-10.424231999999998</v>
      </c>
      <c r="CI167" s="386">
        <f t="shared" si="212"/>
        <v>0</v>
      </c>
      <c r="CJ167" s="386">
        <f t="shared" si="181"/>
        <v>-180.686688</v>
      </c>
      <c r="CK167" s="386" t="str">
        <f t="shared" si="182"/>
        <v/>
      </c>
      <c r="CL167" s="386" t="str">
        <f t="shared" si="183"/>
        <v/>
      </c>
      <c r="CM167" s="386" t="str">
        <f t="shared" si="184"/>
        <v/>
      </c>
      <c r="CN167" s="386" t="str">
        <f t="shared" si="185"/>
        <v>0480-00</v>
      </c>
    </row>
    <row r="169" spans="1:92" ht="21" x14ac:dyDescent="0.35">
      <c r="AQ169" s="251" t="s">
        <v>765</v>
      </c>
    </row>
    <row r="170" spans="1:92" ht="15.75" thickBot="1" x14ac:dyDescent="0.3">
      <c r="AR170" t="s">
        <v>740</v>
      </c>
      <c r="AS170" s="386">
        <f>SUMIFS(AS2:AS167,G2:G167,"SCAA",E2:E167,"0001",F2:F167,"00",AT2:AT167,1)</f>
        <v>5.2550000000000008</v>
      </c>
      <c r="AT170" s="386">
        <f>SUMIFS(AS2:AS167,G2:G167,"SCAA",E2:E167,"0001",F2:F167,"00",AT2:AT167,3)</f>
        <v>1</v>
      </c>
      <c r="AU170" s="386">
        <f>SUMIFS(AU2:AU167,G2:G167,"SCAA",E2:E167,"0001",F2:F167,"00")</f>
        <v>11.625</v>
      </c>
      <c r="AV170" s="386">
        <f>SUMIFS(AV2:AV167,G2:G167,"SCAA",E2:E167,"0001",F2:F167,"00")</f>
        <v>1</v>
      </c>
      <c r="AW170" s="386">
        <f>SUMIFS(AW2:AW167,G2:G167,"SCAA",E2:E167,"0001",F2:F167,"00")</f>
        <v>47</v>
      </c>
      <c r="AX170" s="386">
        <f>SUMIFS(AX2:AX167,G2:G167,"SCAA",E2:E167,"0001",F2:F167,"00")</f>
        <v>1119081.8800000001</v>
      </c>
      <c r="AY170" s="386">
        <f>SUMIFS(AY2:AY167,G2:G167,"SCAA",E2:E167,"0001",F2:F167,"00")</f>
        <v>442032.03</v>
      </c>
      <c r="AZ170" s="386">
        <f>SUMIFS(AZ2:AZ167,G2:G167,"SCAA",E2:E167,"0001",F2:F167,"00")</f>
        <v>117556.7</v>
      </c>
      <c r="BA170" s="386">
        <f>SUMIFS(BA2:BA167,G2:G167,"SCAA",E2:E167,"0001",F2:F167,"00")</f>
        <v>0</v>
      </c>
      <c r="BB170" s="386">
        <f>SUMIFS(BB2:BB167,G2:G167,"SCAA",E2:E167,"0001",F2:F167,"00")</f>
        <v>63259.5</v>
      </c>
      <c r="BC170" s="386">
        <f>SUMIFS(BC2:BC167,G2:G167,"SCAA",E2:E167,"0001",F2:F167,"00")</f>
        <v>11650</v>
      </c>
      <c r="BD170" s="386">
        <f>SUMIFS(BD2:BD167,G2:G167,"SCAA",E2:E167,"0001",F2:F167,"00")</f>
        <v>34694.50125999999</v>
      </c>
      <c r="BE170" s="386">
        <f>SUMIFS(BE2:BE167,G2:G167,"SCAA",E2:E167,"0001",F2:F167,"00")</f>
        <v>8114.0365849999998</v>
      </c>
      <c r="BF170" s="386">
        <f>SUMIFS(BF2:BF167,G2:G167,"SCAA",E2:E167,"0001",F2:F167,"00")</f>
        <v>66814.894362000006</v>
      </c>
      <c r="BG170" s="386">
        <f>SUMIFS(BG2:BG167,G2:G167,"SCAA",E2:E167,"0001",F2:F167,"00")</f>
        <v>4034.6347432999996</v>
      </c>
      <c r="BH170" s="386">
        <f>SUMIFS(BH2:BH167,G2:G167,"SCAA",E2:E167,"0001",F2:F167,"00")</f>
        <v>2165.9569470000001</v>
      </c>
      <c r="BI170" s="386">
        <f>SUMIFS(BI2:BI167,G2:G167,"SCAA",E2:E167,"0001",F2:F167,"00")</f>
        <v>0</v>
      </c>
      <c r="BJ170" s="386">
        <f>SUMIFS(BJ2:BJ167,G2:G167,"SCAA",E2:E167,"0001",F2:F167,"00")</f>
        <v>1175.1363329999999</v>
      </c>
      <c r="BK170" s="386">
        <f>SUMIFS(BK2:BK167,G2:G167,"SCAA",E2:E167,"0001",F2:F167,"00")</f>
        <v>0</v>
      </c>
      <c r="BL170" s="386">
        <f>SUMIFS(BL2:BL167,G2:G167,"SCAA",E2:E167,"0001",F2:F167,"00")</f>
        <v>92875.349823300014</v>
      </c>
      <c r="BM170" s="386">
        <f>SUMIFS(BM2:BM167,G2:G167,"SCAA",E2:E167,"0001",F2:F167,"00")</f>
        <v>24123.810407000001</v>
      </c>
      <c r="BN170" s="386">
        <f>SUMIFS(BN2:BN167,G2:G167,"SCAA",E2:E167,"0001",F2:F167,"00")</f>
        <v>63259.5</v>
      </c>
      <c r="BO170" s="386">
        <f>SUMIFS(BO2:BO167,G2:G167,"SCAA",E2:E167,"0001",F2:F167,"00")</f>
        <v>11650</v>
      </c>
      <c r="BP170" s="386">
        <f>SUMIFS(BP2:BP167,G2:G167,"SCAA",E2:E167,"0001",F2:F167,"00")</f>
        <v>34694.50125999999</v>
      </c>
      <c r="BQ170" s="386">
        <f>SUMIFS(BQ2:BQ167,G2:G167,"SCAA",E2:E167,"0001",F2:F167,"00")</f>
        <v>8114.0365849999998</v>
      </c>
      <c r="BR170" s="386">
        <f>SUMIFS(BR2:BR167,G2:G167,"SCAA",E2:E167,"0001",F2:F167,"00")</f>
        <v>66814.894362000006</v>
      </c>
      <c r="BS170" s="386">
        <f>SUMIFS(BS2:BS167,G2:G167,"SCAA",E2:E167,"0001",F2:F167,"00")</f>
        <v>4034.6347432999996</v>
      </c>
      <c r="BT170" s="386">
        <f>SUMIFS(BT2:BT167,G2:G167,"SCAA",E2:E167,"0001",F2:F167,"00")</f>
        <v>0</v>
      </c>
      <c r="BU170" s="386">
        <f>SUMIFS(BU2:BU167,G2:G167,"SCAA",E2:E167,"0001",F2:F167,"00")</f>
        <v>0</v>
      </c>
      <c r="BV170" s="386">
        <f>SUMIFS(BV2:BV167,G2:G167,"SCAA",E2:E167,"0001",F2:F167,"00")</f>
        <v>1007.259714</v>
      </c>
      <c r="BW170" s="386">
        <f>SUMIFS(BW2:BW167,G2:G167,"SCAA",E2:E167,"0001",F2:F167,"00")</f>
        <v>0</v>
      </c>
      <c r="BX170" s="386">
        <f>SUMIFS(BX2:BX167,G2:G167,"SCAA",E2:E167,"0001",F2:F167,"00")</f>
        <v>90576.783267299994</v>
      </c>
      <c r="BY170" s="386">
        <f>SUMIFS(BY2:BY167,G2:G167,"SCAA",E2:E167,"0001",F2:F167,"00")</f>
        <v>24088.543397000001</v>
      </c>
      <c r="BZ170" s="386">
        <f>SUMIFS(BZ2:BZ167,G2:G167,"SCAA",E2:E167,"0001",F2:F167,"00")</f>
        <v>0</v>
      </c>
      <c r="CA170" s="386">
        <f>SUMIFS(CA2:CA167,G2:G167,"SCAA",E2:E167,"0001",F2:F167,"00")</f>
        <v>0</v>
      </c>
      <c r="CB170" s="386">
        <f>SUMIFS(CB2:CB167,G2:G167,"SCAA",E2:E167,"0001",F2:F167,"00")</f>
        <v>0</v>
      </c>
      <c r="CC170" s="386">
        <f>SUMIFS(CC2:CC167,G2:G167,"SCAA",E2:E167,"0001",F2:F167,"00")</f>
        <v>0</v>
      </c>
      <c r="CD170" s="386">
        <f>SUMIFS(CD2:CD167,G2:G167,"SCAA",E2:E167,"0001",F2:F167,"00")</f>
        <v>0</v>
      </c>
      <c r="CE170" s="386">
        <f>SUMIFS(CE2:CE167,G2:G167,"SCAA",E2:E167,"0001",F2:F167,"00")</f>
        <v>0</v>
      </c>
      <c r="CF170" s="386">
        <f>SUMIFS(CF2:CF167,G2:G167,"SCAA",E2:E167,"0001",F2:F167,"00")</f>
        <v>-2165.9569470000001</v>
      </c>
      <c r="CG170" s="386">
        <f>SUMIFS(CG2:CG167,G2:G167,"SCAA",E2:E167,"0001",F2:F167,"00")</f>
        <v>0</v>
      </c>
      <c r="CH170" s="386">
        <f>SUMIFS(CH2:CH167,G2:G167,"SCAA",E2:E167,"0001",F2:F167,"00")</f>
        <v>-167.87661899999995</v>
      </c>
      <c r="CI170" s="386">
        <f>SUMIFS(CI2:CI167,G2:G167,"SCAA",E2:E167,"0001",F2:F167,"00")</f>
        <v>0</v>
      </c>
      <c r="CJ170" s="386">
        <f>SUMIFS(CJ2:CJ167,G2:G167,"SCAA",E2:E167,"0001",F2:F167,"00")</f>
        <v>-2298.5665559999998</v>
      </c>
      <c r="CK170" s="386">
        <f>SUMIFS(CK2:CK167,G2:G167,"SCAA",E2:E167,"0001",F2:F167,"00")</f>
        <v>-35.267009999999992</v>
      </c>
      <c r="CL170" s="386">
        <f>SUMIFS(CL2:CL167,G2:G167,"SCAA",E2:E167,"0001",F2:F167,"00")</f>
        <v>17819.419999999998</v>
      </c>
      <c r="CM170" s="386">
        <f>SUMIFS(CM2:CM167,G2:G167,"SCAA",E2:E167,"0001",F2:F167,"00")</f>
        <v>2603.4</v>
      </c>
    </row>
    <row r="171" spans="1:92" ht="18.75" x14ac:dyDescent="0.3">
      <c r="AQ171" s="392" t="s">
        <v>741</v>
      </c>
      <c r="AS171" s="393">
        <f t="shared" ref="AS171:CM171" si="213">SUM(AS170:AS170)</f>
        <v>5.2550000000000008</v>
      </c>
      <c r="AT171" s="393">
        <f t="shared" si="213"/>
        <v>1</v>
      </c>
      <c r="AU171" s="393">
        <f t="shared" si="213"/>
        <v>11.625</v>
      </c>
      <c r="AV171" s="393">
        <f t="shared" si="213"/>
        <v>1</v>
      </c>
      <c r="AW171" s="393">
        <f t="shared" si="213"/>
        <v>47</v>
      </c>
      <c r="AX171" s="393">
        <f t="shared" si="213"/>
        <v>1119081.8800000001</v>
      </c>
      <c r="AY171" s="393">
        <f t="shared" si="213"/>
        <v>442032.03</v>
      </c>
      <c r="AZ171" s="393">
        <f t="shared" si="213"/>
        <v>117556.7</v>
      </c>
      <c r="BA171" s="393">
        <f t="shared" si="213"/>
        <v>0</v>
      </c>
      <c r="BB171" s="393">
        <f t="shared" si="213"/>
        <v>63259.5</v>
      </c>
      <c r="BC171" s="393">
        <f t="shared" si="213"/>
        <v>11650</v>
      </c>
      <c r="BD171" s="393">
        <f t="shared" si="213"/>
        <v>34694.50125999999</v>
      </c>
      <c r="BE171" s="393">
        <f t="shared" si="213"/>
        <v>8114.0365849999998</v>
      </c>
      <c r="BF171" s="393">
        <f t="shared" si="213"/>
        <v>66814.894362000006</v>
      </c>
      <c r="BG171" s="393">
        <f t="shared" si="213"/>
        <v>4034.6347432999996</v>
      </c>
      <c r="BH171" s="393">
        <f t="shared" si="213"/>
        <v>2165.9569470000001</v>
      </c>
      <c r="BI171" s="393">
        <f t="shared" si="213"/>
        <v>0</v>
      </c>
      <c r="BJ171" s="393">
        <f t="shared" si="213"/>
        <v>1175.1363329999999</v>
      </c>
      <c r="BK171" s="393">
        <f t="shared" si="213"/>
        <v>0</v>
      </c>
      <c r="BL171" s="393">
        <f t="shared" si="213"/>
        <v>92875.349823300014</v>
      </c>
      <c r="BM171" s="393">
        <f t="shared" si="213"/>
        <v>24123.810407000001</v>
      </c>
      <c r="BN171" s="393">
        <f t="shared" si="213"/>
        <v>63259.5</v>
      </c>
      <c r="BO171" s="393">
        <f t="shared" si="213"/>
        <v>11650</v>
      </c>
      <c r="BP171" s="393">
        <f t="shared" si="213"/>
        <v>34694.50125999999</v>
      </c>
      <c r="BQ171" s="393">
        <f t="shared" si="213"/>
        <v>8114.0365849999998</v>
      </c>
      <c r="BR171" s="393">
        <f t="shared" si="213"/>
        <v>66814.894362000006</v>
      </c>
      <c r="BS171" s="393">
        <f t="shared" si="213"/>
        <v>4034.6347432999996</v>
      </c>
      <c r="BT171" s="393">
        <f t="shared" si="213"/>
        <v>0</v>
      </c>
      <c r="BU171" s="393">
        <f t="shared" si="213"/>
        <v>0</v>
      </c>
      <c r="BV171" s="393">
        <f t="shared" si="213"/>
        <v>1007.259714</v>
      </c>
      <c r="BW171" s="393">
        <f t="shared" si="213"/>
        <v>0</v>
      </c>
      <c r="BX171" s="393">
        <f t="shared" si="213"/>
        <v>90576.783267299994</v>
      </c>
      <c r="BY171" s="393">
        <f t="shared" si="213"/>
        <v>24088.543397000001</v>
      </c>
      <c r="BZ171" s="393">
        <f t="shared" si="213"/>
        <v>0</v>
      </c>
      <c r="CA171" s="393">
        <f t="shared" si="213"/>
        <v>0</v>
      </c>
      <c r="CB171" s="393">
        <f t="shared" si="213"/>
        <v>0</v>
      </c>
      <c r="CC171" s="393">
        <f t="shared" si="213"/>
        <v>0</v>
      </c>
      <c r="CD171" s="393">
        <f t="shared" si="213"/>
        <v>0</v>
      </c>
      <c r="CE171" s="393">
        <f t="shared" si="213"/>
        <v>0</v>
      </c>
      <c r="CF171" s="393">
        <f t="shared" si="213"/>
        <v>-2165.9569470000001</v>
      </c>
      <c r="CG171" s="393">
        <f t="shared" si="213"/>
        <v>0</v>
      </c>
      <c r="CH171" s="393">
        <f t="shared" si="213"/>
        <v>-167.87661899999995</v>
      </c>
      <c r="CI171" s="393">
        <f t="shared" si="213"/>
        <v>0</v>
      </c>
      <c r="CJ171" s="393">
        <f t="shared" si="213"/>
        <v>-2298.5665559999998</v>
      </c>
      <c r="CK171" s="393">
        <f t="shared" si="213"/>
        <v>-35.267009999999992</v>
      </c>
      <c r="CL171" s="393">
        <f t="shared" si="213"/>
        <v>17819.419999999998</v>
      </c>
      <c r="CM171" s="393">
        <f t="shared" si="213"/>
        <v>2603.4</v>
      </c>
    </row>
    <row r="172" spans="1:92" ht="15.75" thickBot="1" x14ac:dyDescent="0.3">
      <c r="AR172" t="s">
        <v>748</v>
      </c>
      <c r="AS172" s="386">
        <f>SUMIFS(AS2:AS167,G2:G167,"SCBA",E2:E167,"0001",F2:F167,"00",AT2:AT167,1)</f>
        <v>19.600000000000001</v>
      </c>
      <c r="AT172" s="386">
        <f>SUMIFS(AS2:AS167,G2:G167,"SCBA",E2:E167,"0001",F2:F167,"00",AT2:AT167,3)</f>
        <v>0</v>
      </c>
      <c r="AU172" s="386">
        <f>SUMIFS(AU2:AU167,G2:G167,"SCBA",E2:E167,"0001",F2:F167,"00")</f>
        <v>28</v>
      </c>
      <c r="AV172" s="386">
        <f>SUMIFS(AV2:AV167,G2:G167,"SCBA",E2:E167,"0001",F2:F167,"00")</f>
        <v>0</v>
      </c>
      <c r="AW172" s="386">
        <f>SUMIFS(AW2:AW167,G2:G167,"SCBA",E2:E167,"0001",F2:F167,"00")</f>
        <v>71</v>
      </c>
      <c r="AX172" s="386">
        <f>SUMIFS(AX2:AX167,G2:G167,"SCBA",E2:E167,"0001",F2:F167,"00")</f>
        <v>2068185.5800000003</v>
      </c>
      <c r="AY172" s="386">
        <f>SUMIFS(AY2:AY167,G2:G167,"SCBA",E2:E167,"0001",F2:F167,"00")</f>
        <v>1311430.0099999998</v>
      </c>
      <c r="AZ172" s="386">
        <f>SUMIFS(AZ2:AZ167,G2:G167,"SCBA",E2:E167,"0001",F2:F167,"00")</f>
        <v>0</v>
      </c>
      <c r="BA172" s="386">
        <f>SUMIFS(BA2:BA167,G2:G167,"SCBA",E2:E167,"0001",F2:F167,"00")</f>
        <v>0</v>
      </c>
      <c r="BB172" s="386">
        <f>SUMIFS(BB2:BB167,G2:G167,"SCBA",E2:E167,"0001",F2:F167,"00")</f>
        <v>228340</v>
      </c>
      <c r="BC172" s="386">
        <f>SUMIFS(BC2:BC167,G2:G167,"SCBA",E2:E167,"0001",F2:F167,"00")</f>
        <v>0</v>
      </c>
      <c r="BD172" s="386">
        <f>SUMIFS(BD2:BD167,G2:G167,"SCBA",E2:E167,"0001",F2:F167,"00")</f>
        <v>81308.660619999995</v>
      </c>
      <c r="BE172" s="386">
        <f>SUMIFS(BE2:BE167,G2:G167,"SCBA",E2:E167,"0001",F2:F167,"00")</f>
        <v>19015.735145000006</v>
      </c>
      <c r="BF172" s="386">
        <f>SUMIFS(BF2:BF167,G2:G167,"SCBA",E2:E167,"0001",F2:F167,"00")</f>
        <v>156584.74319399995</v>
      </c>
      <c r="BG172" s="386">
        <f>SUMIFS(BG2:BG167,G2:G167,"SCBA",E2:E167,"0001",F2:F167,"00")</f>
        <v>9455.410372100001</v>
      </c>
      <c r="BH172" s="386">
        <f>SUMIFS(BH2:BH167,G2:G167,"SCBA",E2:E167,"0001",F2:F167,"00")</f>
        <v>6426.0070490000016</v>
      </c>
      <c r="BI172" s="386">
        <f>SUMIFS(BI2:BI167,G2:G167,"SCBA",E2:E167,"0001",F2:F167,"00")</f>
        <v>0</v>
      </c>
      <c r="BJ172" s="386">
        <f>SUMIFS(BJ2:BJ167,G2:G167,"SCBA",E2:E167,"0001",F2:F167,"00")</f>
        <v>2754.0030209999991</v>
      </c>
      <c r="BK172" s="386">
        <f>SUMIFS(BK2:BK167,G2:G167,"SCBA",E2:E167,"0001",F2:F167,"00")</f>
        <v>0</v>
      </c>
      <c r="BL172" s="386">
        <f>SUMIFS(BL2:BL167,G2:G167,"SCBA",E2:E167,"0001",F2:F167,"00")</f>
        <v>275544.55940109998</v>
      </c>
      <c r="BM172" s="386">
        <f>SUMIFS(BM2:BM167,G2:G167,"SCBA",E2:E167,"0001",F2:F167,"00")</f>
        <v>0</v>
      </c>
      <c r="BN172" s="386">
        <f>SUMIFS(BN2:BN167,G2:G167,"SCBA",E2:E167,"0001",F2:F167,"00")</f>
        <v>228340</v>
      </c>
      <c r="BO172" s="386">
        <f>SUMIFS(BO2:BO167,G2:G167,"SCBA",E2:E167,"0001",F2:F167,"00")</f>
        <v>0</v>
      </c>
      <c r="BP172" s="386">
        <f>SUMIFS(BP2:BP167,G2:G167,"SCBA",E2:E167,"0001",F2:F167,"00")</f>
        <v>81308.660619999995</v>
      </c>
      <c r="BQ172" s="386">
        <f>SUMIFS(BQ2:BQ167,G2:G167,"SCBA",E2:E167,"0001",F2:F167,"00")</f>
        <v>19015.735145000006</v>
      </c>
      <c r="BR172" s="386">
        <f>SUMIFS(BR2:BR167,G2:G167,"SCBA",E2:E167,"0001",F2:F167,"00")</f>
        <v>156584.74319399995</v>
      </c>
      <c r="BS172" s="386">
        <f>SUMIFS(BS2:BS167,G2:G167,"SCBA",E2:E167,"0001",F2:F167,"00")</f>
        <v>9455.410372100001</v>
      </c>
      <c r="BT172" s="386">
        <f>SUMIFS(BT2:BT167,G2:G167,"SCBA",E2:E167,"0001",F2:F167,"00")</f>
        <v>0</v>
      </c>
      <c r="BU172" s="386">
        <f>SUMIFS(BU2:BU167,G2:G167,"SCBA",E2:E167,"0001",F2:F167,"00")</f>
        <v>0</v>
      </c>
      <c r="BV172" s="386">
        <f>SUMIFS(BV2:BV167,G2:G167,"SCBA",E2:E167,"0001",F2:F167,"00")</f>
        <v>2360.5740180000007</v>
      </c>
      <c r="BW172" s="386">
        <f>SUMIFS(BW2:BW167,G2:G167,"SCBA",E2:E167,"0001",F2:F167,"00")</f>
        <v>0</v>
      </c>
      <c r="BX172" s="386">
        <f>SUMIFS(BX2:BX167,G2:G167,"SCBA",E2:E167,"0001",F2:F167,"00")</f>
        <v>268725.1233491</v>
      </c>
      <c r="BY172" s="386">
        <f>SUMIFS(BY2:BY167,G2:G167,"SCBA",E2:E167,"0001",F2:F167,"00")</f>
        <v>0</v>
      </c>
      <c r="BZ172" s="386">
        <f>SUMIFS(BZ2:BZ167,G2:G167,"SCBA",E2:E167,"0001",F2:F167,"00")</f>
        <v>0</v>
      </c>
      <c r="CA172" s="386">
        <f>SUMIFS(CA2:CA167,G2:G167,"SCBA",E2:E167,"0001",F2:F167,"00")</f>
        <v>0</v>
      </c>
      <c r="CB172" s="386">
        <f>SUMIFS(CB2:CB167,G2:G167,"SCBA",E2:E167,"0001",F2:F167,"00")</f>
        <v>0</v>
      </c>
      <c r="CC172" s="386">
        <f>SUMIFS(CC2:CC167,G2:G167,"SCBA",E2:E167,"0001",F2:F167,"00")</f>
        <v>0</v>
      </c>
      <c r="CD172" s="386">
        <f>SUMIFS(CD2:CD167,G2:G167,"SCBA",E2:E167,"0001",F2:F167,"00")</f>
        <v>0</v>
      </c>
      <c r="CE172" s="386">
        <f>SUMIFS(CE2:CE167,G2:G167,"SCBA",E2:E167,"0001",F2:F167,"00")</f>
        <v>0</v>
      </c>
      <c r="CF172" s="386">
        <f>SUMIFS(CF2:CF167,G2:G167,"SCBA",E2:E167,"0001",F2:F167,"00")</f>
        <v>-6426.0070490000016</v>
      </c>
      <c r="CG172" s="386">
        <f>SUMIFS(CG2:CG167,G2:G167,"SCBA",E2:E167,"0001",F2:F167,"00")</f>
        <v>0</v>
      </c>
      <c r="CH172" s="386">
        <f>SUMIFS(CH2:CH167,G2:G167,"SCBA",E2:E167,"0001",F2:F167,"00")</f>
        <v>-393.42900299999985</v>
      </c>
      <c r="CI172" s="386">
        <f>SUMIFS(CI2:CI167,G2:G167,"SCBA",E2:E167,"0001",F2:F167,"00")</f>
        <v>0</v>
      </c>
      <c r="CJ172" s="386">
        <f>SUMIFS(CJ2:CJ167,G2:G167,"SCBA",E2:E167,"0001",F2:F167,"00")</f>
        <v>-6819.4360519999991</v>
      </c>
      <c r="CK172" s="386">
        <f>SUMIFS(CK2:CK167,G2:G167,"SCBA",E2:E167,"0001",F2:F167,"00")</f>
        <v>0</v>
      </c>
      <c r="CL172" s="386">
        <f>SUMIFS(CL2:CL167,G2:G167,"SCBA",E2:E167,"0001",F2:F167,"00")</f>
        <v>9337.36</v>
      </c>
      <c r="CM172" s="386">
        <f>SUMIFS(CM2:CM167,G2:G167,"SCBA",E2:E167,"0001",F2:F167,"00")</f>
        <v>5492.85</v>
      </c>
    </row>
    <row r="173" spans="1:92" ht="18.75" x14ac:dyDescent="0.3">
      <c r="AQ173" s="392" t="s">
        <v>749</v>
      </c>
      <c r="AS173" s="393">
        <f t="shared" ref="AS173:CM173" si="214">SUM(AS172:AS172)</f>
        <v>19.600000000000001</v>
      </c>
      <c r="AT173" s="393">
        <f t="shared" si="214"/>
        <v>0</v>
      </c>
      <c r="AU173" s="393">
        <f t="shared" si="214"/>
        <v>28</v>
      </c>
      <c r="AV173" s="393">
        <f t="shared" si="214"/>
        <v>0</v>
      </c>
      <c r="AW173" s="393">
        <f t="shared" si="214"/>
        <v>71</v>
      </c>
      <c r="AX173" s="393">
        <f t="shared" si="214"/>
        <v>2068185.5800000003</v>
      </c>
      <c r="AY173" s="393">
        <f t="shared" si="214"/>
        <v>1311430.0099999998</v>
      </c>
      <c r="AZ173" s="393">
        <f t="shared" si="214"/>
        <v>0</v>
      </c>
      <c r="BA173" s="393">
        <f t="shared" si="214"/>
        <v>0</v>
      </c>
      <c r="BB173" s="393">
        <f t="shared" si="214"/>
        <v>228340</v>
      </c>
      <c r="BC173" s="393">
        <f t="shared" si="214"/>
        <v>0</v>
      </c>
      <c r="BD173" s="393">
        <f t="shared" si="214"/>
        <v>81308.660619999995</v>
      </c>
      <c r="BE173" s="393">
        <f t="shared" si="214"/>
        <v>19015.735145000006</v>
      </c>
      <c r="BF173" s="393">
        <f t="shared" si="214"/>
        <v>156584.74319399995</v>
      </c>
      <c r="BG173" s="393">
        <f t="shared" si="214"/>
        <v>9455.410372100001</v>
      </c>
      <c r="BH173" s="393">
        <f t="shared" si="214"/>
        <v>6426.0070490000016</v>
      </c>
      <c r="BI173" s="393">
        <f t="shared" si="214"/>
        <v>0</v>
      </c>
      <c r="BJ173" s="393">
        <f t="shared" si="214"/>
        <v>2754.0030209999991</v>
      </c>
      <c r="BK173" s="393">
        <f t="shared" si="214"/>
        <v>0</v>
      </c>
      <c r="BL173" s="393">
        <f t="shared" si="214"/>
        <v>275544.55940109998</v>
      </c>
      <c r="BM173" s="393">
        <f t="shared" si="214"/>
        <v>0</v>
      </c>
      <c r="BN173" s="393">
        <f t="shared" si="214"/>
        <v>228340</v>
      </c>
      <c r="BO173" s="393">
        <f t="shared" si="214"/>
        <v>0</v>
      </c>
      <c r="BP173" s="393">
        <f t="shared" si="214"/>
        <v>81308.660619999995</v>
      </c>
      <c r="BQ173" s="393">
        <f t="shared" si="214"/>
        <v>19015.735145000006</v>
      </c>
      <c r="BR173" s="393">
        <f t="shared" si="214"/>
        <v>156584.74319399995</v>
      </c>
      <c r="BS173" s="393">
        <f t="shared" si="214"/>
        <v>9455.410372100001</v>
      </c>
      <c r="BT173" s="393">
        <f t="shared" si="214"/>
        <v>0</v>
      </c>
      <c r="BU173" s="393">
        <f t="shared" si="214"/>
        <v>0</v>
      </c>
      <c r="BV173" s="393">
        <f t="shared" si="214"/>
        <v>2360.5740180000007</v>
      </c>
      <c r="BW173" s="393">
        <f t="shared" si="214"/>
        <v>0</v>
      </c>
      <c r="BX173" s="393">
        <f t="shared" si="214"/>
        <v>268725.1233491</v>
      </c>
      <c r="BY173" s="393">
        <f t="shared" si="214"/>
        <v>0</v>
      </c>
      <c r="BZ173" s="393">
        <f t="shared" si="214"/>
        <v>0</v>
      </c>
      <c r="CA173" s="393">
        <f t="shared" si="214"/>
        <v>0</v>
      </c>
      <c r="CB173" s="393">
        <f t="shared" si="214"/>
        <v>0</v>
      </c>
      <c r="CC173" s="393">
        <f t="shared" si="214"/>
        <v>0</v>
      </c>
      <c r="CD173" s="393">
        <f t="shared" si="214"/>
        <v>0</v>
      </c>
      <c r="CE173" s="393">
        <f t="shared" si="214"/>
        <v>0</v>
      </c>
      <c r="CF173" s="393">
        <f t="shared" si="214"/>
        <v>-6426.0070490000016</v>
      </c>
      <c r="CG173" s="393">
        <f t="shared" si="214"/>
        <v>0</v>
      </c>
      <c r="CH173" s="393">
        <f t="shared" si="214"/>
        <v>-393.42900299999985</v>
      </c>
      <c r="CI173" s="393">
        <f t="shared" si="214"/>
        <v>0</v>
      </c>
      <c r="CJ173" s="393">
        <f t="shared" si="214"/>
        <v>-6819.4360519999991</v>
      </c>
      <c r="CK173" s="393">
        <f t="shared" si="214"/>
        <v>0</v>
      </c>
      <c r="CL173" s="393">
        <f t="shared" si="214"/>
        <v>9337.36</v>
      </c>
      <c r="CM173" s="393">
        <f t="shared" si="214"/>
        <v>5492.85</v>
      </c>
    </row>
    <row r="174" spans="1:92" ht="15.75" thickBot="1" x14ac:dyDescent="0.3">
      <c r="AR174" t="s">
        <v>752</v>
      </c>
      <c r="AS174" s="386">
        <f>SUMIFS(AS2:AS167,G2:G167,"SCBI",E2:E167,"0126",F2:F167,"00",AT2:AT167,1)</f>
        <v>3.95</v>
      </c>
      <c r="AT174" s="386">
        <f>SUMIFS(AS2:AS167,G2:G167,"SCBI",E2:E167,"0126",F2:F167,"00",AT2:AT167,3)</f>
        <v>0</v>
      </c>
      <c r="AU174" s="386">
        <f>SUMIFS(AU2:AU167,G2:G167,"SCBI",E2:E167,"0126",F2:F167,"00")</f>
        <v>5</v>
      </c>
      <c r="AV174" s="386">
        <f>SUMIFS(AV2:AV167,G2:G167,"SCBI",E2:E167,"0126",F2:F167,"00")</f>
        <v>0</v>
      </c>
      <c r="AW174" s="386">
        <f>SUMIFS(AW2:AW167,G2:G167,"SCBI",E2:E167,"0126",F2:F167,"00")</f>
        <v>70</v>
      </c>
      <c r="AX174" s="386">
        <f>SUMIFS(AX2:AX167,G2:G167,"SCBI",E2:E167,"0126",F2:F167,"00")</f>
        <v>394991.98</v>
      </c>
      <c r="AY174" s="386">
        <f>SUMIFS(AY2:AY167,G2:G167,"SCBI",E2:E167,"0126",F2:F167,"00")</f>
        <v>328957.19999999995</v>
      </c>
      <c r="AZ174" s="386">
        <f>SUMIFS(AZ2:AZ167,G2:G167,"SCBI",E2:E167,"0126",F2:F167,"00")</f>
        <v>0</v>
      </c>
      <c r="BA174" s="386">
        <f>SUMIFS(BA2:BA167,G2:G167,"SCBI",E2:E167,"0126",F2:F167,"00")</f>
        <v>0</v>
      </c>
      <c r="BB174" s="386">
        <f>SUMIFS(BB2:BB167,G2:G167,"SCBI",E2:E167,"0126",F2:F167,"00")</f>
        <v>46017.5</v>
      </c>
      <c r="BC174" s="386">
        <f>SUMIFS(BC2:BC167,G2:G167,"SCBI",E2:E167,"0126",F2:F167,"00")</f>
        <v>0</v>
      </c>
      <c r="BD174" s="386">
        <f>SUMIFS(BD2:BD167,G2:G167,"SCBI",E2:E167,"0126",F2:F167,"00")</f>
        <v>20395.346400000002</v>
      </c>
      <c r="BE174" s="386">
        <f>SUMIFS(BE2:BE167,G2:G167,"SCBI",E2:E167,"0126",F2:F167,"00")</f>
        <v>4769.8793999999998</v>
      </c>
      <c r="BF174" s="386">
        <f>SUMIFS(BF2:BF167,G2:G167,"SCBI",E2:E167,"0126",F2:F167,"00")</f>
        <v>39277.489680000006</v>
      </c>
      <c r="BG174" s="386">
        <f>SUMIFS(BG2:BG167,G2:G167,"SCBI",E2:E167,"0126",F2:F167,"00")</f>
        <v>2371.7814119999998</v>
      </c>
      <c r="BH174" s="386">
        <f>SUMIFS(BH2:BH167,G2:G167,"SCBI",E2:E167,"0126",F2:F167,"00")</f>
        <v>1611.8902800000001</v>
      </c>
      <c r="BI174" s="386">
        <f>SUMIFS(BI2:BI167,G2:G167,"SCBI",E2:E167,"0126",F2:F167,"00")</f>
        <v>0</v>
      </c>
      <c r="BJ174" s="386">
        <f>SUMIFS(BJ2:BJ167,G2:G167,"SCBI",E2:E167,"0126",F2:F167,"00")</f>
        <v>690.81011999999998</v>
      </c>
      <c r="BK174" s="386">
        <f>SUMIFS(BK2:BK167,G2:G167,"SCBI",E2:E167,"0126",F2:F167,"00")</f>
        <v>0</v>
      </c>
      <c r="BL174" s="386">
        <f>SUMIFS(BL2:BL167,G2:G167,"SCBI",E2:E167,"0126",F2:F167,"00")</f>
        <v>69117.197292000012</v>
      </c>
      <c r="BM174" s="386">
        <f>SUMIFS(BM2:BM167,G2:G167,"SCBI",E2:E167,"0126",F2:F167,"00")</f>
        <v>0</v>
      </c>
      <c r="BN174" s="386">
        <f>SUMIFS(BN2:BN167,G2:G167,"SCBI",E2:E167,"0126",F2:F167,"00")</f>
        <v>46017.5</v>
      </c>
      <c r="BO174" s="386">
        <f>SUMIFS(BO2:BO167,G2:G167,"SCBI",E2:E167,"0126",F2:F167,"00")</f>
        <v>0</v>
      </c>
      <c r="BP174" s="386">
        <f>SUMIFS(BP2:BP167,G2:G167,"SCBI",E2:E167,"0126",F2:F167,"00")</f>
        <v>20395.346400000002</v>
      </c>
      <c r="BQ174" s="386">
        <f>SUMIFS(BQ2:BQ167,G2:G167,"SCBI",E2:E167,"0126",F2:F167,"00")</f>
        <v>4769.8793999999998</v>
      </c>
      <c r="BR174" s="386">
        <f>SUMIFS(BR2:BR167,G2:G167,"SCBI",E2:E167,"0126",F2:F167,"00")</f>
        <v>39277.489680000006</v>
      </c>
      <c r="BS174" s="386">
        <f>SUMIFS(BS2:BS167,G2:G167,"SCBI",E2:E167,"0126",F2:F167,"00")</f>
        <v>2371.7814119999998</v>
      </c>
      <c r="BT174" s="386">
        <f>SUMIFS(BT2:BT167,G2:G167,"SCBI",E2:E167,"0126",F2:F167,"00")</f>
        <v>0</v>
      </c>
      <c r="BU174" s="386">
        <f>SUMIFS(BU2:BU167,G2:G167,"SCBI",E2:E167,"0126",F2:F167,"00")</f>
        <v>0</v>
      </c>
      <c r="BV174" s="386">
        <f>SUMIFS(BV2:BV167,G2:G167,"SCBI",E2:E167,"0126",F2:F167,"00")</f>
        <v>592.12295999999992</v>
      </c>
      <c r="BW174" s="386">
        <f>SUMIFS(BW2:BW167,G2:G167,"SCBI",E2:E167,"0126",F2:F167,"00")</f>
        <v>0</v>
      </c>
      <c r="BX174" s="386">
        <f>SUMIFS(BX2:BX167,G2:G167,"SCBI",E2:E167,"0126",F2:F167,"00")</f>
        <v>67406.619852000003</v>
      </c>
      <c r="BY174" s="386">
        <f>SUMIFS(BY2:BY167,G2:G167,"SCBI",E2:E167,"0126",F2:F167,"00")</f>
        <v>0</v>
      </c>
      <c r="BZ174" s="386">
        <f>SUMIFS(BZ2:BZ167,G2:G167,"SCBI",E2:E167,"0126",F2:F167,"00")</f>
        <v>0</v>
      </c>
      <c r="CA174" s="386">
        <f>SUMIFS(CA2:CA167,G2:G167,"SCBI",E2:E167,"0126",F2:F167,"00")</f>
        <v>0</v>
      </c>
      <c r="CB174" s="386">
        <f>SUMIFS(CB2:CB167,G2:G167,"SCBI",E2:E167,"0126",F2:F167,"00")</f>
        <v>0</v>
      </c>
      <c r="CC174" s="386">
        <f>SUMIFS(CC2:CC167,G2:G167,"SCBI",E2:E167,"0126",F2:F167,"00")</f>
        <v>0</v>
      </c>
      <c r="CD174" s="386">
        <f>SUMIFS(CD2:CD167,G2:G167,"SCBI",E2:E167,"0126",F2:F167,"00")</f>
        <v>0</v>
      </c>
      <c r="CE174" s="386">
        <f>SUMIFS(CE2:CE167,G2:G167,"SCBI",E2:E167,"0126",F2:F167,"00")</f>
        <v>0</v>
      </c>
      <c r="CF174" s="386">
        <f>SUMIFS(CF2:CF167,G2:G167,"SCBI",E2:E167,"0126",F2:F167,"00")</f>
        <v>-1611.8902800000001</v>
      </c>
      <c r="CG174" s="386">
        <f>SUMIFS(CG2:CG167,G2:G167,"SCBI",E2:E167,"0126",F2:F167,"00")</f>
        <v>0</v>
      </c>
      <c r="CH174" s="386">
        <f>SUMIFS(CH2:CH167,G2:G167,"SCBI",E2:E167,"0126",F2:F167,"00")</f>
        <v>-98.687159999999977</v>
      </c>
      <c r="CI174" s="386">
        <f>SUMIFS(CI2:CI167,G2:G167,"SCBI",E2:E167,"0126",F2:F167,"00")</f>
        <v>0</v>
      </c>
      <c r="CJ174" s="386">
        <f>SUMIFS(CJ2:CJ167,G2:G167,"SCBI",E2:E167,"0126",F2:F167,"00")</f>
        <v>-1710.57744</v>
      </c>
      <c r="CK174" s="386">
        <f>SUMIFS(CK2:CK167,G2:G167,"SCBI",E2:E167,"0126",F2:F167,"00")</f>
        <v>0</v>
      </c>
      <c r="CL174" s="386">
        <f>SUMIFS(CL2:CL167,G2:G167,"SCBI",E2:E167,"0126",F2:F167,"00")</f>
        <v>1017867.6900000001</v>
      </c>
      <c r="CM174" s="386">
        <f>SUMIFS(CM2:CM167,G2:G167,"SCBI",E2:E167,"0126",F2:F167,"00")</f>
        <v>352467.33999999997</v>
      </c>
    </row>
    <row r="175" spans="1:92" ht="18.75" x14ac:dyDescent="0.3">
      <c r="AQ175" s="392" t="s">
        <v>753</v>
      </c>
      <c r="AS175" s="393">
        <f t="shared" ref="AS175:CM175" si="215">SUM(AS174:AS174)</f>
        <v>3.95</v>
      </c>
      <c r="AT175" s="393">
        <f t="shared" si="215"/>
        <v>0</v>
      </c>
      <c r="AU175" s="393">
        <f t="shared" si="215"/>
        <v>5</v>
      </c>
      <c r="AV175" s="393">
        <f t="shared" si="215"/>
        <v>0</v>
      </c>
      <c r="AW175" s="393">
        <f t="shared" si="215"/>
        <v>70</v>
      </c>
      <c r="AX175" s="393">
        <f t="shared" si="215"/>
        <v>394991.98</v>
      </c>
      <c r="AY175" s="393">
        <f t="shared" si="215"/>
        <v>328957.19999999995</v>
      </c>
      <c r="AZ175" s="393">
        <f t="shared" si="215"/>
        <v>0</v>
      </c>
      <c r="BA175" s="393">
        <f t="shared" si="215"/>
        <v>0</v>
      </c>
      <c r="BB175" s="393">
        <f t="shared" si="215"/>
        <v>46017.5</v>
      </c>
      <c r="BC175" s="393">
        <f t="shared" si="215"/>
        <v>0</v>
      </c>
      <c r="BD175" s="393">
        <f t="shared" si="215"/>
        <v>20395.346400000002</v>
      </c>
      <c r="BE175" s="393">
        <f t="shared" si="215"/>
        <v>4769.8793999999998</v>
      </c>
      <c r="BF175" s="393">
        <f t="shared" si="215"/>
        <v>39277.489680000006</v>
      </c>
      <c r="BG175" s="393">
        <f t="shared" si="215"/>
        <v>2371.7814119999998</v>
      </c>
      <c r="BH175" s="393">
        <f t="shared" si="215"/>
        <v>1611.8902800000001</v>
      </c>
      <c r="BI175" s="393">
        <f t="shared" si="215"/>
        <v>0</v>
      </c>
      <c r="BJ175" s="393">
        <f t="shared" si="215"/>
        <v>690.81011999999998</v>
      </c>
      <c r="BK175" s="393">
        <f t="shared" si="215"/>
        <v>0</v>
      </c>
      <c r="BL175" s="393">
        <f t="shared" si="215"/>
        <v>69117.197292000012</v>
      </c>
      <c r="BM175" s="393">
        <f t="shared" si="215"/>
        <v>0</v>
      </c>
      <c r="BN175" s="393">
        <f t="shared" si="215"/>
        <v>46017.5</v>
      </c>
      <c r="BO175" s="393">
        <f t="shared" si="215"/>
        <v>0</v>
      </c>
      <c r="BP175" s="393">
        <f t="shared" si="215"/>
        <v>20395.346400000002</v>
      </c>
      <c r="BQ175" s="393">
        <f t="shared" si="215"/>
        <v>4769.8793999999998</v>
      </c>
      <c r="BR175" s="393">
        <f t="shared" si="215"/>
        <v>39277.489680000006</v>
      </c>
      <c r="BS175" s="393">
        <f t="shared" si="215"/>
        <v>2371.7814119999998</v>
      </c>
      <c r="BT175" s="393">
        <f t="shared" si="215"/>
        <v>0</v>
      </c>
      <c r="BU175" s="393">
        <f t="shared" si="215"/>
        <v>0</v>
      </c>
      <c r="BV175" s="393">
        <f t="shared" si="215"/>
        <v>592.12295999999992</v>
      </c>
      <c r="BW175" s="393">
        <f t="shared" si="215"/>
        <v>0</v>
      </c>
      <c r="BX175" s="393">
        <f t="shared" si="215"/>
        <v>67406.619852000003</v>
      </c>
      <c r="BY175" s="393">
        <f t="shared" si="215"/>
        <v>0</v>
      </c>
      <c r="BZ175" s="393">
        <f t="shared" si="215"/>
        <v>0</v>
      </c>
      <c r="CA175" s="393">
        <f t="shared" si="215"/>
        <v>0</v>
      </c>
      <c r="CB175" s="393">
        <f t="shared" si="215"/>
        <v>0</v>
      </c>
      <c r="CC175" s="393">
        <f t="shared" si="215"/>
        <v>0</v>
      </c>
      <c r="CD175" s="393">
        <f t="shared" si="215"/>
        <v>0</v>
      </c>
      <c r="CE175" s="393">
        <f t="shared" si="215"/>
        <v>0</v>
      </c>
      <c r="CF175" s="393">
        <f t="shared" si="215"/>
        <v>-1611.8902800000001</v>
      </c>
      <c r="CG175" s="393">
        <f t="shared" si="215"/>
        <v>0</v>
      </c>
      <c r="CH175" s="393">
        <f t="shared" si="215"/>
        <v>-98.687159999999977</v>
      </c>
      <c r="CI175" s="393">
        <f t="shared" si="215"/>
        <v>0</v>
      </c>
      <c r="CJ175" s="393">
        <f t="shared" si="215"/>
        <v>-1710.57744</v>
      </c>
      <c r="CK175" s="393">
        <f t="shared" si="215"/>
        <v>0</v>
      </c>
      <c r="CL175" s="393">
        <f t="shared" si="215"/>
        <v>1017867.6900000001</v>
      </c>
      <c r="CM175" s="393">
        <f t="shared" si="215"/>
        <v>352467.33999999997</v>
      </c>
    </row>
    <row r="176" spans="1:92" ht="15.75" thickBot="1" x14ac:dyDescent="0.3">
      <c r="AR176" t="s">
        <v>754</v>
      </c>
      <c r="AS176" s="386">
        <f>SUMIFS(AS2:AS167,G2:G167,"SCCA",E2:E167,"0001",F2:F167,"00",AT2:AT167,1)</f>
        <v>16.600000000000001</v>
      </c>
      <c r="AT176" s="386">
        <f>SUMIFS(AS2:AS167,G2:G167,"SCCA",E2:E167,"0001",F2:F167,"00",AT2:AT167,3)</f>
        <v>0</v>
      </c>
      <c r="AU176" s="386">
        <f>SUMIFS(AU2:AU167,G2:G167,"SCCA",E2:E167,"0001",F2:F167,"00")</f>
        <v>25</v>
      </c>
      <c r="AV176" s="386">
        <f>SUMIFS(AV2:AV167,G2:G167,"SCCA",E2:E167,"0001",F2:F167,"00")</f>
        <v>0</v>
      </c>
      <c r="AW176" s="386">
        <f>SUMIFS(AW2:AW167,G2:G167,"SCCA",E2:E167,"0001",F2:F167,"00")</f>
        <v>66</v>
      </c>
      <c r="AX176" s="386">
        <f>SUMIFS(AX2:AX167,G2:G167,"SCCA",E2:E167,"0001",F2:F167,"00")</f>
        <v>1828195.1800000002</v>
      </c>
      <c r="AY176" s="386">
        <f>SUMIFS(AY2:AY167,G2:G167,"SCCA",E2:E167,"0001",F2:F167,"00")</f>
        <v>1071439.6100000001</v>
      </c>
      <c r="AZ176" s="386">
        <f>SUMIFS(AZ2:AZ167,G2:G167,"SCCA",E2:E167,"0001",F2:F167,"00")</f>
        <v>0</v>
      </c>
      <c r="BA176" s="386">
        <f>SUMIFS(BA2:BA167,G2:G167,"SCCA",E2:E167,"0001",F2:F167,"00")</f>
        <v>0</v>
      </c>
      <c r="BB176" s="386">
        <f>SUMIFS(BB2:BB167,G2:G167,"SCCA",E2:E167,"0001",F2:F167,"00")</f>
        <v>193390</v>
      </c>
      <c r="BC176" s="386">
        <f>SUMIFS(BC2:BC167,G2:G167,"SCCA",E2:E167,"0001",F2:F167,"00")</f>
        <v>0</v>
      </c>
      <c r="BD176" s="386">
        <f>SUMIFS(BD2:BD167,G2:G167,"SCCA",E2:E167,"0001",F2:F167,"00")</f>
        <v>66429.255819999991</v>
      </c>
      <c r="BE176" s="386">
        <f>SUMIFS(BE2:BE167,G2:G167,"SCCA",E2:E167,"0001",F2:F167,"00")</f>
        <v>15535.874345</v>
      </c>
      <c r="BF176" s="386">
        <f>SUMIFS(BF2:BF167,G2:G167,"SCCA",E2:E167,"0001",F2:F167,"00")</f>
        <v>127929.88943400001</v>
      </c>
      <c r="BG176" s="386">
        <f>SUMIFS(BG2:BG167,G2:G167,"SCCA",E2:E167,"0001",F2:F167,"00")</f>
        <v>7725.0795881000004</v>
      </c>
      <c r="BH176" s="386">
        <f>SUMIFS(BH2:BH167,G2:G167,"SCCA",E2:E167,"0001",F2:F167,"00")</f>
        <v>5250.0540890000002</v>
      </c>
      <c r="BI176" s="386">
        <f>SUMIFS(BI2:BI167,G2:G167,"SCCA",E2:E167,"0001",F2:F167,"00")</f>
        <v>0</v>
      </c>
      <c r="BJ176" s="386">
        <f>SUMIFS(BJ2:BJ167,G2:G167,"SCCA",E2:E167,"0001",F2:F167,"00")</f>
        <v>2250.023181</v>
      </c>
      <c r="BK176" s="386">
        <f>SUMIFS(BK2:BK167,G2:G167,"SCCA",E2:E167,"0001",F2:F167,"00")</f>
        <v>0</v>
      </c>
      <c r="BL176" s="386">
        <f>SUMIFS(BL2:BL167,G2:G167,"SCCA",E2:E167,"0001",F2:F167,"00")</f>
        <v>225120.17645709999</v>
      </c>
      <c r="BM176" s="386">
        <f>SUMIFS(BM2:BM167,G2:G167,"SCCA",E2:E167,"0001",F2:F167,"00")</f>
        <v>0</v>
      </c>
      <c r="BN176" s="386">
        <f>SUMIFS(BN2:BN167,G2:G167,"SCCA",E2:E167,"0001",F2:F167,"00")</f>
        <v>193390</v>
      </c>
      <c r="BO176" s="386">
        <f>SUMIFS(BO2:BO167,G2:G167,"SCCA",E2:E167,"0001",F2:F167,"00")</f>
        <v>0</v>
      </c>
      <c r="BP176" s="386">
        <f>SUMIFS(BP2:BP167,G2:G167,"SCCA",E2:E167,"0001",F2:F167,"00")</f>
        <v>66429.255819999991</v>
      </c>
      <c r="BQ176" s="386">
        <f>SUMIFS(BQ2:BQ167,G2:G167,"SCCA",E2:E167,"0001",F2:F167,"00")</f>
        <v>15535.874345</v>
      </c>
      <c r="BR176" s="386">
        <f>SUMIFS(BR2:BR167,G2:G167,"SCCA",E2:E167,"0001",F2:F167,"00")</f>
        <v>127929.88943400001</v>
      </c>
      <c r="BS176" s="386">
        <f>SUMIFS(BS2:BS167,G2:G167,"SCCA",E2:E167,"0001",F2:F167,"00")</f>
        <v>7725.0795881000004</v>
      </c>
      <c r="BT176" s="386">
        <f>SUMIFS(BT2:BT167,G2:G167,"SCCA",E2:E167,"0001",F2:F167,"00")</f>
        <v>0</v>
      </c>
      <c r="BU176" s="386">
        <f>SUMIFS(BU2:BU167,G2:G167,"SCCA",E2:E167,"0001",F2:F167,"00")</f>
        <v>0</v>
      </c>
      <c r="BV176" s="386">
        <f>SUMIFS(BV2:BV167,G2:G167,"SCCA",E2:E167,"0001",F2:F167,"00")</f>
        <v>1928.5912979999998</v>
      </c>
      <c r="BW176" s="386">
        <f>SUMIFS(BW2:BW167,G2:G167,"SCCA",E2:E167,"0001",F2:F167,"00")</f>
        <v>0</v>
      </c>
      <c r="BX176" s="386">
        <f>SUMIFS(BX2:BX167,G2:G167,"SCCA",E2:E167,"0001",F2:F167,"00")</f>
        <v>219548.6904851</v>
      </c>
      <c r="BY176" s="386">
        <f>SUMIFS(BY2:BY167,G2:G167,"SCCA",E2:E167,"0001",F2:F167,"00")</f>
        <v>0</v>
      </c>
      <c r="BZ176" s="386">
        <f>SUMIFS(BZ2:BZ167,G2:G167,"SCCA",E2:E167,"0001",F2:F167,"00")</f>
        <v>0</v>
      </c>
      <c r="CA176" s="386">
        <f>SUMIFS(CA2:CA167,G2:G167,"SCCA",E2:E167,"0001",F2:F167,"00")</f>
        <v>0</v>
      </c>
      <c r="CB176" s="386">
        <f>SUMIFS(CB2:CB167,G2:G167,"SCCA",E2:E167,"0001",F2:F167,"00")</f>
        <v>0</v>
      </c>
      <c r="CC176" s="386">
        <f>SUMIFS(CC2:CC167,G2:G167,"SCCA",E2:E167,"0001",F2:F167,"00")</f>
        <v>0</v>
      </c>
      <c r="CD176" s="386">
        <f>SUMIFS(CD2:CD167,G2:G167,"SCCA",E2:E167,"0001",F2:F167,"00")</f>
        <v>0</v>
      </c>
      <c r="CE176" s="386">
        <f>SUMIFS(CE2:CE167,G2:G167,"SCCA",E2:E167,"0001",F2:F167,"00")</f>
        <v>0</v>
      </c>
      <c r="CF176" s="386">
        <f>SUMIFS(CF2:CF167,G2:G167,"SCCA",E2:E167,"0001",F2:F167,"00")</f>
        <v>-5250.0540890000002</v>
      </c>
      <c r="CG176" s="386">
        <f>SUMIFS(CG2:CG167,G2:G167,"SCCA",E2:E167,"0001",F2:F167,"00")</f>
        <v>0</v>
      </c>
      <c r="CH176" s="386">
        <f>SUMIFS(CH2:CH167,G2:G167,"SCCA",E2:E167,"0001",F2:F167,"00")</f>
        <v>-321.43188299999986</v>
      </c>
      <c r="CI176" s="386">
        <f>SUMIFS(CI2:CI167,G2:G167,"SCCA",E2:E167,"0001",F2:F167,"00")</f>
        <v>0</v>
      </c>
      <c r="CJ176" s="386">
        <f>SUMIFS(CJ2:CJ167,G2:G167,"SCCA",E2:E167,"0001",F2:F167,"00")</f>
        <v>-5571.4859719999986</v>
      </c>
      <c r="CK176" s="386">
        <f>SUMIFS(CK2:CK167,G2:G167,"SCCA",E2:E167,"0001",F2:F167,"00")</f>
        <v>0</v>
      </c>
      <c r="CL176" s="386">
        <f>SUMIFS(CL2:CL167,G2:G167,"SCCA",E2:E167,"0001",F2:F167,"00")</f>
        <v>3165.65</v>
      </c>
      <c r="CM176" s="386">
        <f>SUMIFS(CM2:CM167,G2:G167,"SCCA",E2:E167,"0001",F2:F167,"00")</f>
        <v>1781.94</v>
      </c>
    </row>
    <row r="177" spans="41:91" ht="18.75" x14ac:dyDescent="0.3">
      <c r="AQ177" s="392" t="s">
        <v>755</v>
      </c>
      <c r="AS177" s="393">
        <f t="shared" ref="AS177:CM177" si="216">SUM(AS176:AS176)</f>
        <v>16.600000000000001</v>
      </c>
      <c r="AT177" s="393">
        <f t="shared" si="216"/>
        <v>0</v>
      </c>
      <c r="AU177" s="393">
        <f t="shared" si="216"/>
        <v>25</v>
      </c>
      <c r="AV177" s="393">
        <f t="shared" si="216"/>
        <v>0</v>
      </c>
      <c r="AW177" s="393">
        <f t="shared" si="216"/>
        <v>66</v>
      </c>
      <c r="AX177" s="393">
        <f t="shared" si="216"/>
        <v>1828195.1800000002</v>
      </c>
      <c r="AY177" s="393">
        <f t="shared" si="216"/>
        <v>1071439.6100000001</v>
      </c>
      <c r="AZ177" s="393">
        <f t="shared" si="216"/>
        <v>0</v>
      </c>
      <c r="BA177" s="393">
        <f t="shared" si="216"/>
        <v>0</v>
      </c>
      <c r="BB177" s="393">
        <f t="shared" si="216"/>
        <v>193390</v>
      </c>
      <c r="BC177" s="393">
        <f t="shared" si="216"/>
        <v>0</v>
      </c>
      <c r="BD177" s="393">
        <f t="shared" si="216"/>
        <v>66429.255819999991</v>
      </c>
      <c r="BE177" s="393">
        <f t="shared" si="216"/>
        <v>15535.874345</v>
      </c>
      <c r="BF177" s="393">
        <f t="shared" si="216"/>
        <v>127929.88943400001</v>
      </c>
      <c r="BG177" s="393">
        <f t="shared" si="216"/>
        <v>7725.0795881000004</v>
      </c>
      <c r="BH177" s="393">
        <f t="shared" si="216"/>
        <v>5250.0540890000002</v>
      </c>
      <c r="BI177" s="393">
        <f t="shared" si="216"/>
        <v>0</v>
      </c>
      <c r="BJ177" s="393">
        <f t="shared" si="216"/>
        <v>2250.023181</v>
      </c>
      <c r="BK177" s="393">
        <f t="shared" si="216"/>
        <v>0</v>
      </c>
      <c r="BL177" s="393">
        <f t="shared" si="216"/>
        <v>225120.17645709999</v>
      </c>
      <c r="BM177" s="393">
        <f t="shared" si="216"/>
        <v>0</v>
      </c>
      <c r="BN177" s="393">
        <f t="shared" si="216"/>
        <v>193390</v>
      </c>
      <c r="BO177" s="393">
        <f t="shared" si="216"/>
        <v>0</v>
      </c>
      <c r="BP177" s="393">
        <f t="shared" si="216"/>
        <v>66429.255819999991</v>
      </c>
      <c r="BQ177" s="393">
        <f t="shared" si="216"/>
        <v>15535.874345</v>
      </c>
      <c r="BR177" s="393">
        <f t="shared" si="216"/>
        <v>127929.88943400001</v>
      </c>
      <c r="BS177" s="393">
        <f t="shared" si="216"/>
        <v>7725.0795881000004</v>
      </c>
      <c r="BT177" s="393">
        <f t="shared" si="216"/>
        <v>0</v>
      </c>
      <c r="BU177" s="393">
        <f t="shared" si="216"/>
        <v>0</v>
      </c>
      <c r="BV177" s="393">
        <f t="shared" si="216"/>
        <v>1928.5912979999998</v>
      </c>
      <c r="BW177" s="393">
        <f t="shared" si="216"/>
        <v>0</v>
      </c>
      <c r="BX177" s="393">
        <f t="shared" si="216"/>
        <v>219548.6904851</v>
      </c>
      <c r="BY177" s="393">
        <f t="shared" si="216"/>
        <v>0</v>
      </c>
      <c r="BZ177" s="393">
        <f t="shared" si="216"/>
        <v>0</v>
      </c>
      <c r="CA177" s="393">
        <f t="shared" si="216"/>
        <v>0</v>
      </c>
      <c r="CB177" s="393">
        <f t="shared" si="216"/>
        <v>0</v>
      </c>
      <c r="CC177" s="393">
        <f t="shared" si="216"/>
        <v>0</v>
      </c>
      <c r="CD177" s="393">
        <f t="shared" si="216"/>
        <v>0</v>
      </c>
      <c r="CE177" s="393">
        <f t="shared" si="216"/>
        <v>0</v>
      </c>
      <c r="CF177" s="393">
        <f t="shared" si="216"/>
        <v>-5250.0540890000002</v>
      </c>
      <c r="CG177" s="393">
        <f t="shared" si="216"/>
        <v>0</v>
      </c>
      <c r="CH177" s="393">
        <f t="shared" si="216"/>
        <v>-321.43188299999986</v>
      </c>
      <c r="CI177" s="393">
        <f t="shared" si="216"/>
        <v>0</v>
      </c>
      <c r="CJ177" s="393">
        <f t="shared" si="216"/>
        <v>-5571.4859719999986</v>
      </c>
      <c r="CK177" s="393">
        <f t="shared" si="216"/>
        <v>0</v>
      </c>
      <c r="CL177" s="393">
        <f t="shared" si="216"/>
        <v>3165.65</v>
      </c>
      <c r="CM177" s="393">
        <f t="shared" si="216"/>
        <v>1781.94</v>
      </c>
    </row>
    <row r="178" spans="41:91" ht="15.75" thickBot="1" x14ac:dyDescent="0.3">
      <c r="AR178" t="s">
        <v>758</v>
      </c>
      <c r="AS178" s="386">
        <f>SUMIFS(AS2:AS167,G2:G167,"SCDA",E2:E167,"0480",F2:F167,"00",AT2:AT167,1)</f>
        <v>45.819999999999993</v>
      </c>
      <c r="AT178" s="386">
        <f>SUMIFS(AS2:AS167,G2:G167,"SCDA",E2:E167,"0480",F2:F167,"00",AT2:AT167,3)</f>
        <v>0</v>
      </c>
      <c r="AU178" s="386">
        <f>SUMIFS(AU2:AU167,G2:G167,"SCDA",E2:E167,"0480",F2:F167,"00")</f>
        <v>50.6</v>
      </c>
      <c r="AV178" s="386">
        <f>SUMIFS(AV2:AV167,G2:G167,"SCDA",E2:E167,"0480",F2:F167,"00")</f>
        <v>0</v>
      </c>
      <c r="AW178" s="386">
        <f>SUMIFS(AW2:AW167,G2:G167,"SCDA",E2:E167,"0480",F2:F167,"00")</f>
        <v>88</v>
      </c>
      <c r="AX178" s="386">
        <f>SUMIFS(AX2:AX167,G2:G167,"SCDA",E2:E167,"0480",F2:F167,"00")</f>
        <v>3925626.6199999996</v>
      </c>
      <c r="AY178" s="386">
        <f>SUMIFS(AY2:AY167,G2:G167,"SCDA",E2:E167,"0480",F2:F167,"00")</f>
        <v>3518620.9699999997</v>
      </c>
      <c r="AZ178" s="386">
        <f>SUMIFS(AZ2:AZ167,G2:G167,"SCDA",E2:E167,"0480",F2:F167,"00")</f>
        <v>0</v>
      </c>
      <c r="BA178" s="386">
        <f>SUMIFS(BA2:BA167,G2:G167,"SCDA",E2:E167,"0480",F2:F167,"00")</f>
        <v>0</v>
      </c>
      <c r="BB178" s="386">
        <f>SUMIFS(BB2:BB167,G2:G167,"SCDA",E2:E167,"0480",F2:F167,"00")</f>
        <v>536133</v>
      </c>
      <c r="BC178" s="386">
        <f>SUMIFS(BC2:BC167,G2:G167,"SCDA",E2:E167,"0480",F2:F167,"00")</f>
        <v>0</v>
      </c>
      <c r="BD178" s="386">
        <f>SUMIFS(BD2:BD167,G2:G167,"SCDA",E2:E167,"0480",F2:F167,"00")</f>
        <v>218154.50014000005</v>
      </c>
      <c r="BE178" s="386">
        <f>SUMIFS(BE2:BE167,G2:G167,"SCDA",E2:E167,"0480",F2:F167,"00")</f>
        <v>51020.004064999994</v>
      </c>
      <c r="BF178" s="386">
        <f>SUMIFS(BF2:BF167,G2:G167,"SCDA",E2:E167,"0480",F2:F167,"00")</f>
        <v>420123.34381799994</v>
      </c>
      <c r="BG178" s="386">
        <f>SUMIFS(BG2:BG167,G2:G167,"SCDA",E2:E167,"0480",F2:F167,"00")</f>
        <v>25369.257193700003</v>
      </c>
      <c r="BH178" s="386">
        <f>SUMIFS(BH2:BH167,G2:G167,"SCDA",E2:E167,"0480",F2:F167,"00")</f>
        <v>17241.242752999999</v>
      </c>
      <c r="BI178" s="386">
        <f>SUMIFS(BI2:BI167,G2:G167,"SCDA",E2:E167,"0480",F2:F167,"00")</f>
        <v>0</v>
      </c>
      <c r="BJ178" s="386">
        <f>SUMIFS(BJ2:BJ167,G2:G167,"SCDA",E2:E167,"0480",F2:F167,"00")</f>
        <v>7389.104037000001</v>
      </c>
      <c r="BK178" s="386">
        <f>SUMIFS(BK2:BK167,G2:G167,"SCDA",E2:E167,"0480",F2:F167,"00")</f>
        <v>0</v>
      </c>
      <c r="BL178" s="386">
        <f>SUMIFS(BL2:BL167,G2:G167,"SCDA",E2:E167,"0480",F2:F167,"00")</f>
        <v>739297.45200669998</v>
      </c>
      <c r="BM178" s="386">
        <f>SUMIFS(BM2:BM167,G2:G167,"SCDA",E2:E167,"0480",F2:F167,"00")</f>
        <v>0</v>
      </c>
      <c r="BN178" s="386">
        <f>SUMIFS(BN2:BN167,G2:G167,"SCDA",E2:E167,"0480",F2:F167,"00")</f>
        <v>536133</v>
      </c>
      <c r="BO178" s="386">
        <f>SUMIFS(BO2:BO167,G2:G167,"SCDA",E2:E167,"0480",F2:F167,"00")</f>
        <v>0</v>
      </c>
      <c r="BP178" s="386">
        <f>SUMIFS(BP2:BP167,G2:G167,"SCDA",E2:E167,"0480",F2:F167,"00")</f>
        <v>218154.50014000005</v>
      </c>
      <c r="BQ178" s="386">
        <f>SUMIFS(BQ2:BQ167,G2:G167,"SCDA",E2:E167,"0480",F2:F167,"00")</f>
        <v>51020.004064999994</v>
      </c>
      <c r="BR178" s="386">
        <f>SUMIFS(BR2:BR167,G2:G167,"SCDA",E2:E167,"0480",F2:F167,"00")</f>
        <v>420123.34381799994</v>
      </c>
      <c r="BS178" s="386">
        <f>SUMIFS(BS2:BS167,G2:G167,"SCDA",E2:E167,"0480",F2:F167,"00")</f>
        <v>25369.257193700003</v>
      </c>
      <c r="BT178" s="386">
        <f>SUMIFS(BT2:BT167,G2:G167,"SCDA",E2:E167,"0480",F2:F167,"00")</f>
        <v>0</v>
      </c>
      <c r="BU178" s="386">
        <f>SUMIFS(BU2:BU167,G2:G167,"SCDA",E2:E167,"0480",F2:F167,"00")</f>
        <v>0</v>
      </c>
      <c r="BV178" s="386">
        <f>SUMIFS(BV2:BV167,G2:G167,"SCDA",E2:E167,"0480",F2:F167,"00")</f>
        <v>6333.5177459999995</v>
      </c>
      <c r="BW178" s="386">
        <f>SUMIFS(BW2:BW167,G2:G167,"SCDA",E2:E167,"0480",F2:F167,"00")</f>
        <v>0</v>
      </c>
      <c r="BX178" s="386">
        <f>SUMIFS(BX2:BX167,G2:G167,"SCDA",E2:E167,"0480",F2:F167,"00")</f>
        <v>721000.62296270009</v>
      </c>
      <c r="BY178" s="386">
        <f>SUMIFS(BY2:BY167,G2:G167,"SCDA",E2:E167,"0480",F2:F167,"00")</f>
        <v>0</v>
      </c>
      <c r="BZ178" s="386">
        <f>SUMIFS(BZ2:BZ167,G2:G167,"SCDA",E2:E167,"0480",F2:F167,"00")</f>
        <v>0</v>
      </c>
      <c r="CA178" s="386">
        <f>SUMIFS(CA2:CA167,G2:G167,"SCDA",E2:E167,"0480",F2:F167,"00")</f>
        <v>0</v>
      </c>
      <c r="CB178" s="386">
        <f>SUMIFS(CB2:CB167,G2:G167,"SCDA",E2:E167,"0480",F2:F167,"00")</f>
        <v>0</v>
      </c>
      <c r="CC178" s="386">
        <f>SUMIFS(CC2:CC167,G2:G167,"SCDA",E2:E167,"0480",F2:F167,"00")</f>
        <v>0</v>
      </c>
      <c r="CD178" s="386">
        <f>SUMIFS(CD2:CD167,G2:G167,"SCDA",E2:E167,"0480",F2:F167,"00")</f>
        <v>0</v>
      </c>
      <c r="CE178" s="386">
        <f>SUMIFS(CE2:CE167,G2:G167,"SCDA",E2:E167,"0480",F2:F167,"00")</f>
        <v>0</v>
      </c>
      <c r="CF178" s="386">
        <f>SUMIFS(CF2:CF167,G2:G167,"SCDA",E2:E167,"0480",F2:F167,"00")</f>
        <v>-17241.242752999999</v>
      </c>
      <c r="CG178" s="386">
        <f>SUMIFS(CG2:CG167,G2:G167,"SCDA",E2:E167,"0480",F2:F167,"00")</f>
        <v>0</v>
      </c>
      <c r="CH178" s="386">
        <f>SUMIFS(CH2:CH167,G2:G167,"SCDA",E2:E167,"0480",F2:F167,"00")</f>
        <v>-1055.5862909999998</v>
      </c>
      <c r="CI178" s="386">
        <f>SUMIFS(CI2:CI167,G2:G167,"SCDA",E2:E167,"0480",F2:F167,"00")</f>
        <v>0</v>
      </c>
      <c r="CJ178" s="386">
        <f>SUMIFS(CJ2:CJ167,G2:G167,"SCDA",E2:E167,"0480",F2:F167,"00")</f>
        <v>-18296.829044000002</v>
      </c>
      <c r="CK178" s="386">
        <f>SUMIFS(CK2:CK167,G2:G167,"SCDA",E2:E167,"0480",F2:F167,"00")</f>
        <v>0</v>
      </c>
      <c r="CL178" s="386">
        <f>SUMIFS(CL2:CL167,G2:G167,"SCDA",E2:E167,"0480",F2:F167,"00")</f>
        <v>8996.1200000000008</v>
      </c>
      <c r="CM178" s="386">
        <f>SUMIFS(CM2:CM167,G2:G167,"SCDA",E2:E167,"0480",F2:F167,"00")</f>
        <v>5270.9000000000005</v>
      </c>
    </row>
    <row r="179" spans="41:91" ht="18.75" x14ac:dyDescent="0.3">
      <c r="AQ179" s="392" t="s">
        <v>759</v>
      </c>
      <c r="AS179" s="393">
        <f t="shared" ref="AS179:CM179" si="217">SUM(AS178:AS178)</f>
        <v>45.819999999999993</v>
      </c>
      <c r="AT179" s="393">
        <f t="shared" si="217"/>
        <v>0</v>
      </c>
      <c r="AU179" s="393">
        <f t="shared" si="217"/>
        <v>50.6</v>
      </c>
      <c r="AV179" s="393">
        <f t="shared" si="217"/>
        <v>0</v>
      </c>
      <c r="AW179" s="393">
        <f t="shared" si="217"/>
        <v>88</v>
      </c>
      <c r="AX179" s="393">
        <f t="shared" si="217"/>
        <v>3925626.6199999996</v>
      </c>
      <c r="AY179" s="393">
        <f t="shared" si="217"/>
        <v>3518620.9699999997</v>
      </c>
      <c r="AZ179" s="393">
        <f t="shared" si="217"/>
        <v>0</v>
      </c>
      <c r="BA179" s="393">
        <f t="shared" si="217"/>
        <v>0</v>
      </c>
      <c r="BB179" s="393">
        <f t="shared" si="217"/>
        <v>536133</v>
      </c>
      <c r="BC179" s="393">
        <f t="shared" si="217"/>
        <v>0</v>
      </c>
      <c r="BD179" s="393">
        <f t="shared" si="217"/>
        <v>218154.50014000005</v>
      </c>
      <c r="BE179" s="393">
        <f t="shared" si="217"/>
        <v>51020.004064999994</v>
      </c>
      <c r="BF179" s="393">
        <f t="shared" si="217"/>
        <v>420123.34381799994</v>
      </c>
      <c r="BG179" s="393">
        <f t="shared" si="217"/>
        <v>25369.257193700003</v>
      </c>
      <c r="BH179" s="393">
        <f t="shared" si="217"/>
        <v>17241.242752999999</v>
      </c>
      <c r="BI179" s="393">
        <f t="shared" si="217"/>
        <v>0</v>
      </c>
      <c r="BJ179" s="393">
        <f t="shared" si="217"/>
        <v>7389.104037000001</v>
      </c>
      <c r="BK179" s="393">
        <f t="shared" si="217"/>
        <v>0</v>
      </c>
      <c r="BL179" s="393">
        <f t="shared" si="217"/>
        <v>739297.45200669998</v>
      </c>
      <c r="BM179" s="393">
        <f t="shared" si="217"/>
        <v>0</v>
      </c>
      <c r="BN179" s="393">
        <f t="shared" si="217"/>
        <v>536133</v>
      </c>
      <c r="BO179" s="393">
        <f t="shared" si="217"/>
        <v>0</v>
      </c>
      <c r="BP179" s="393">
        <f t="shared" si="217"/>
        <v>218154.50014000005</v>
      </c>
      <c r="BQ179" s="393">
        <f t="shared" si="217"/>
        <v>51020.004064999994</v>
      </c>
      <c r="BR179" s="393">
        <f t="shared" si="217"/>
        <v>420123.34381799994</v>
      </c>
      <c r="BS179" s="393">
        <f t="shared" si="217"/>
        <v>25369.257193700003</v>
      </c>
      <c r="BT179" s="393">
        <f t="shared" si="217"/>
        <v>0</v>
      </c>
      <c r="BU179" s="393">
        <f t="shared" si="217"/>
        <v>0</v>
      </c>
      <c r="BV179" s="393">
        <f t="shared" si="217"/>
        <v>6333.5177459999995</v>
      </c>
      <c r="BW179" s="393">
        <f t="shared" si="217"/>
        <v>0</v>
      </c>
      <c r="BX179" s="393">
        <f t="shared" si="217"/>
        <v>721000.62296270009</v>
      </c>
      <c r="BY179" s="393">
        <f t="shared" si="217"/>
        <v>0</v>
      </c>
      <c r="BZ179" s="393">
        <f t="shared" si="217"/>
        <v>0</v>
      </c>
      <c r="CA179" s="393">
        <f t="shared" si="217"/>
        <v>0</v>
      </c>
      <c r="CB179" s="393">
        <f t="shared" si="217"/>
        <v>0</v>
      </c>
      <c r="CC179" s="393">
        <f t="shared" si="217"/>
        <v>0</v>
      </c>
      <c r="CD179" s="393">
        <f t="shared" si="217"/>
        <v>0</v>
      </c>
      <c r="CE179" s="393">
        <f t="shared" si="217"/>
        <v>0</v>
      </c>
      <c r="CF179" s="393">
        <f t="shared" si="217"/>
        <v>-17241.242752999999</v>
      </c>
      <c r="CG179" s="393">
        <f t="shared" si="217"/>
        <v>0</v>
      </c>
      <c r="CH179" s="393">
        <f t="shared" si="217"/>
        <v>-1055.5862909999998</v>
      </c>
      <c r="CI179" s="393">
        <f t="shared" si="217"/>
        <v>0</v>
      </c>
      <c r="CJ179" s="393">
        <f t="shared" si="217"/>
        <v>-18296.829044000002</v>
      </c>
      <c r="CK179" s="393">
        <f t="shared" si="217"/>
        <v>0</v>
      </c>
      <c r="CL179" s="393">
        <f t="shared" si="217"/>
        <v>8996.1200000000008</v>
      </c>
      <c r="CM179" s="393">
        <f t="shared" si="217"/>
        <v>5270.9000000000005</v>
      </c>
    </row>
    <row r="181" spans="41:91" ht="21" x14ac:dyDescent="0.35">
      <c r="AO181" s="251" t="s">
        <v>97</v>
      </c>
      <c r="AP181" s="251"/>
      <c r="AQ181" s="251"/>
    </row>
    <row r="183" spans="41:91" ht="21" x14ac:dyDescent="0.35">
      <c r="AO183" s="252"/>
      <c r="AP183" s="252"/>
      <c r="AQ183" s="252"/>
    </row>
    <row r="184" spans="41:91" ht="15.75" x14ac:dyDescent="0.25">
      <c r="AS184" s="373" t="s">
        <v>83</v>
      </c>
      <c r="AT184" s="474" t="s">
        <v>768</v>
      </c>
      <c r="AU184" s="474"/>
      <c r="AV184" s="475" t="s">
        <v>766</v>
      </c>
      <c r="AW184" s="474" t="s">
        <v>769</v>
      </c>
      <c r="AX184" s="474"/>
      <c r="AY184" s="475" t="s">
        <v>767</v>
      </c>
      <c r="AZ184" s="474" t="s">
        <v>770</v>
      </c>
      <c r="BA184" s="474"/>
    </row>
    <row r="185" spans="41:91" ht="15.75" x14ac:dyDescent="0.25">
      <c r="AS185" s="249"/>
      <c r="AT185" s="373" t="s">
        <v>94</v>
      </c>
      <c r="AU185" s="372" t="s">
        <v>96</v>
      </c>
      <c r="AV185" s="476"/>
      <c r="AW185" s="373" t="s">
        <v>98</v>
      </c>
      <c r="AX185" s="372" t="s">
        <v>95</v>
      </c>
      <c r="AY185" s="476"/>
      <c r="AZ185" s="373" t="s">
        <v>98</v>
      </c>
      <c r="BA185" s="372" t="s">
        <v>95</v>
      </c>
    </row>
    <row r="186" spans="41:91" x14ac:dyDescent="0.25">
      <c r="AO186" s="391" t="s">
        <v>771</v>
      </c>
    </row>
    <row r="187" spans="41:91" x14ac:dyDescent="0.25">
      <c r="AQ187" t="s">
        <v>745</v>
      </c>
      <c r="AS187" s="386">
        <f>SUM(SUMIFS(AS2:AS167,CN2:CN167,AQ187,E2:E167,"0001",F2:F167,"00",AT2:AT167,{1,3}))</f>
        <v>42.454999999999998</v>
      </c>
      <c r="AT187" s="386">
        <f>SUMPRODUCT(--(CN2:CN167=AQ187),--(N2:N167&lt;&gt;"NG"),--(AG2:AG167&lt;&gt;"D"),--(AR2:AR167&lt;&gt;6),--(AR2:AR167&lt;&gt;36),--(AR2:AR167&lt;&gt;56),T2:T167)+SUMPRODUCT(--(CN2:CN167=AQ187),--(N2:N167&lt;&gt;"NG"),--(AG2:AG167&lt;&gt;"D"),--(AR2:AR167&lt;&gt;6),--(AR2:AR167&lt;&gt;36),--(AR2:AR167&lt;&gt;56),U2:U167)</f>
        <v>2625498.3299999996</v>
      </c>
      <c r="AU187" s="386">
        <f>SUMPRODUCT(--(CN2:CN167=AQ187),--(N2:N167&lt;&gt;"NG"),--(AG2:AG167&lt;&gt;"D"),--(AR2:AR167&lt;&gt;6),--(AR2:AR167&lt;&gt;36),--(AR2:AR167&lt;&gt;56),V2:V167)</f>
        <v>1011886.9099999999</v>
      </c>
      <c r="AV187" s="386">
        <f>SUMPRODUCT(--(CN2:CN167=AQ187),AY2:AY167)+SUMPRODUCT(--(CN2:CN167=AQ187),AZ2:AZ167)</f>
        <v>2942458.3499999996</v>
      </c>
      <c r="AW187" s="386">
        <f>SUMPRODUCT(--(CN2:CN167=AQ187),BB2:BB167)+SUMPRODUCT(--(CN2:CN167=AQ187),BC2:BC167)</f>
        <v>496639.5</v>
      </c>
      <c r="AX187" s="386">
        <f>SUMPRODUCT(--(CN2:CN167=AQ187),BL2:BL167)+SUMPRODUCT(--(CN2:CN167=AQ187),BM2:BM167)</f>
        <v>617663.89608850004</v>
      </c>
      <c r="AY187" s="386">
        <f>SUMPRODUCT(--(CN2:CN167=AQ187),AY2:AY167)+SUMPRODUCT(--(CN2:CN167=AQ187),AZ2:AZ167)+SUMPRODUCT(--(CN2:CN167=AQ187),BA2:BA167)</f>
        <v>2942458.3499999996</v>
      </c>
      <c r="AZ187" s="386">
        <f>SUMPRODUCT(--(CN2:CN167=AQ187),BN2:BN167)+SUMPRODUCT(--(CN2:CN167=AQ187),BO2:BO167)</f>
        <v>496639.5</v>
      </c>
      <c r="BA187" s="386">
        <f>SUMPRODUCT(--(CN2:CN167=AQ187),BX2:BX167)+SUMPRODUCT(--(CN2:CN167=AQ187),BY2:BY167)</f>
        <v>602939.14049850008</v>
      </c>
    </row>
    <row r="188" spans="41:91" x14ac:dyDescent="0.25">
      <c r="AP188" t="s">
        <v>772</v>
      </c>
      <c r="AS188" s="397">
        <f t="shared" ref="AS188:BA188" si="218">SUM(AS187:AS187)</f>
        <v>42.454999999999998</v>
      </c>
      <c r="AT188" s="397">
        <f t="shared" si="218"/>
        <v>2625498.3299999996</v>
      </c>
      <c r="AU188" s="397">
        <f t="shared" si="218"/>
        <v>1011886.9099999999</v>
      </c>
      <c r="AV188" s="397">
        <f t="shared" si="218"/>
        <v>2942458.3499999996</v>
      </c>
      <c r="AW188" s="397">
        <f t="shared" si="218"/>
        <v>496639.5</v>
      </c>
      <c r="AX188" s="397">
        <f t="shared" si="218"/>
        <v>617663.89608850004</v>
      </c>
      <c r="AY188" s="397">
        <f t="shared" si="218"/>
        <v>2942458.3499999996</v>
      </c>
      <c r="AZ188" s="397">
        <f t="shared" si="218"/>
        <v>496639.5</v>
      </c>
      <c r="BA188" s="397">
        <f t="shared" si="218"/>
        <v>602939.14049850008</v>
      </c>
    </row>
    <row r="189" spans="41:91" x14ac:dyDescent="0.25">
      <c r="AQ189" t="s">
        <v>762</v>
      </c>
      <c r="AS189" s="386">
        <f>SUM(SUMIFS(AS2:AS167,CN2:CN167,AQ189,E2:E167,"0480",F2:F167,"00",AT2:AT167,{1,3}))</f>
        <v>45.819999999999993</v>
      </c>
      <c r="AT189" s="386">
        <f>SUMPRODUCT(--(CN2:CN167=AQ189),--(N2:N167&lt;&gt;"NG"),--(AG2:AG167&lt;&gt;"D"),--(AR2:AR167&lt;&gt;6),--(AR2:AR167&lt;&gt;36),--(AR2:AR167&lt;&gt;56),T2:T167)+SUMPRODUCT(--(CN2:CN167=AQ189),--(N2:N167&lt;&gt;"NG"),--(AG2:AG167&lt;&gt;"D"),--(AR2:AR167&lt;&gt;6),--(AR2:AR167&lt;&gt;36),--(AR2:AR167&lt;&gt;56),U2:U167)</f>
        <v>3427704.6899999995</v>
      </c>
      <c r="AU189" s="386">
        <f>SUMPRODUCT(--(CN2:CN167=AQ189),--(N2:N167&lt;&gt;"NG"),--(AG2:AG167&lt;&gt;"D"),--(AR2:AR167&lt;&gt;6),--(AR2:AR167&lt;&gt;36),--(AR2:AR167&lt;&gt;56),V2:V167)</f>
        <v>1220216.1400000001</v>
      </c>
      <c r="AV189" s="386">
        <f>SUMPRODUCT(--(CN2:CN167=AQ189),AY2:AY167)+SUMPRODUCT(--(CN2:CN167=AQ189),AZ2:AZ167)</f>
        <v>3518620.9699999997</v>
      </c>
      <c r="AW189" s="386">
        <f>SUMPRODUCT(--(CN2:CN167=AQ189),BB2:BB167)+SUMPRODUCT(--(CN2:CN167=AQ189),BC2:BC167)</f>
        <v>536133</v>
      </c>
      <c r="AX189" s="386">
        <f>SUMPRODUCT(--(CN2:CN167=AQ189),BL2:BL167)+SUMPRODUCT(--(CN2:CN167=AQ189),BM2:BM167)</f>
        <v>739297.45200669998</v>
      </c>
      <c r="AY189" s="386">
        <f>SUMPRODUCT(--(CN2:CN167=AQ189),AY2:AY167)+SUMPRODUCT(--(CN2:CN167=AQ189),AZ2:AZ167)+SUMPRODUCT(--(CN2:CN167=AQ189),BA2:BA167)</f>
        <v>3518620.9699999997</v>
      </c>
      <c r="AZ189" s="386">
        <f>SUMPRODUCT(--(CN2:CN167=AQ189),BN2:BN167)+SUMPRODUCT(--(CN2:CN167=AQ189),BO2:BO167)</f>
        <v>536133</v>
      </c>
      <c r="BA189" s="386">
        <f>SUMPRODUCT(--(CN2:CN167=AQ189),BX2:BX167)+SUMPRODUCT(--(CN2:CN167=AQ189),BY2:BY167)</f>
        <v>721000.62296270009</v>
      </c>
    </row>
    <row r="190" spans="41:91" x14ac:dyDescent="0.25">
      <c r="AP190" t="s">
        <v>773</v>
      </c>
      <c r="AS190" s="397">
        <f t="shared" ref="AS190:BA190" si="219">SUM(AS189:AS189)</f>
        <v>45.819999999999993</v>
      </c>
      <c r="AT190" s="397">
        <f t="shared" si="219"/>
        <v>3427704.6899999995</v>
      </c>
      <c r="AU190" s="397">
        <f t="shared" si="219"/>
        <v>1220216.1400000001</v>
      </c>
      <c r="AV190" s="397">
        <f t="shared" si="219"/>
        <v>3518620.9699999997</v>
      </c>
      <c r="AW190" s="397">
        <f t="shared" si="219"/>
        <v>536133</v>
      </c>
      <c r="AX190" s="397">
        <f t="shared" si="219"/>
        <v>739297.45200669998</v>
      </c>
      <c r="AY190" s="397">
        <f t="shared" si="219"/>
        <v>3518620.9699999997</v>
      </c>
      <c r="AZ190" s="397">
        <f t="shared" si="219"/>
        <v>536133</v>
      </c>
      <c r="BA190" s="397">
        <f t="shared" si="219"/>
        <v>721000.62296270009</v>
      </c>
    </row>
    <row r="191" spans="41:91" x14ac:dyDescent="0.25">
      <c r="AS191" s="386"/>
      <c r="AT191" s="386"/>
      <c r="AU191" s="386"/>
      <c r="AV191" s="386"/>
      <c r="AW191" s="386"/>
      <c r="AX191" s="386"/>
      <c r="AY191" s="386"/>
      <c r="AZ191" s="386"/>
      <c r="BA191" s="386"/>
    </row>
    <row r="192" spans="41:91" x14ac:dyDescent="0.25">
      <c r="AO192" s="395" t="s">
        <v>774</v>
      </c>
      <c r="AS192" s="398">
        <f t="shared" ref="AS192:BA192" si="220">SUM(AS188,AS190)</f>
        <v>88.274999999999991</v>
      </c>
      <c r="AT192" s="398">
        <f t="shared" si="220"/>
        <v>6053203.0199999996</v>
      </c>
      <c r="AU192" s="398">
        <f t="shared" si="220"/>
        <v>2232103.0499999998</v>
      </c>
      <c r="AV192" s="398">
        <f t="shared" si="220"/>
        <v>6461079.3199999994</v>
      </c>
      <c r="AW192" s="398">
        <f t="shared" si="220"/>
        <v>1032772.5</v>
      </c>
      <c r="AX192" s="398">
        <f t="shared" si="220"/>
        <v>1356961.3480952</v>
      </c>
      <c r="AY192" s="398">
        <f t="shared" si="220"/>
        <v>6461079.3199999994</v>
      </c>
      <c r="AZ192" s="398">
        <f t="shared" si="220"/>
        <v>1032772.5</v>
      </c>
      <c r="BA192" s="398">
        <f t="shared" si="220"/>
        <v>1323939.7634612001</v>
      </c>
    </row>
    <row r="193" spans="41:245" x14ac:dyDescent="0.25">
      <c r="AS193" s="386"/>
      <c r="AT193" s="386"/>
      <c r="AU193" s="386"/>
      <c r="AV193" s="386"/>
      <c r="AW193" s="386"/>
      <c r="AX193" s="386"/>
      <c r="AY193" s="386"/>
      <c r="AZ193" s="386"/>
      <c r="BA193" s="386"/>
    </row>
    <row r="194" spans="41:245" x14ac:dyDescent="0.25">
      <c r="AO194" s="391" t="s">
        <v>775</v>
      </c>
      <c r="AS194" s="386"/>
      <c r="AT194" s="386"/>
      <c r="AU194" s="386"/>
      <c r="AV194" s="386"/>
      <c r="AW194" s="386"/>
      <c r="AX194" s="386"/>
      <c r="AY194" s="386"/>
      <c r="AZ194" s="386"/>
      <c r="BA194" s="386"/>
    </row>
    <row r="195" spans="41:245" x14ac:dyDescent="0.25">
      <c r="AQ195" t="s">
        <v>745</v>
      </c>
      <c r="AS195" s="386"/>
      <c r="AT195" s="386">
        <f>SUMIF(CN2:CN167,AQ195,CL2:CL167)</f>
        <v>30322.43</v>
      </c>
      <c r="AU195" s="386">
        <f>SUMIF(CN2:CN167,AQ195,CM2:CM167)</f>
        <v>9878.19</v>
      </c>
      <c r="AV195" s="386">
        <f>SUMIF(CN2:CN167,AQ195,CL2:CL167)</f>
        <v>30322.43</v>
      </c>
      <c r="AW195" s="386">
        <v>0</v>
      </c>
      <c r="AX195" s="386">
        <f>SUMIF(CN2:CN167,AQ195,CM2:CM167)</f>
        <v>9878.19</v>
      </c>
      <c r="AY195" s="386">
        <f>SUMIF(CN2:CN167,AQ195,CL2:CL167)</f>
        <v>30322.43</v>
      </c>
      <c r="AZ195" s="386">
        <v>0</v>
      </c>
      <c r="BA195" s="386">
        <f>SUMIF(CN2:CN167,AQ195,CM2:CM167)</f>
        <v>9878.19</v>
      </c>
    </row>
    <row r="196" spans="41:245" x14ac:dyDescent="0.25">
      <c r="AP196" t="s">
        <v>772</v>
      </c>
      <c r="AS196" s="397"/>
      <c r="AT196" s="397">
        <f t="shared" ref="AT196:BA196" si="221">SUM(AT195:AT195)</f>
        <v>30322.43</v>
      </c>
      <c r="AU196" s="397">
        <f t="shared" si="221"/>
        <v>9878.19</v>
      </c>
      <c r="AV196" s="397">
        <f t="shared" si="221"/>
        <v>30322.43</v>
      </c>
      <c r="AW196" s="397">
        <f t="shared" si="221"/>
        <v>0</v>
      </c>
      <c r="AX196" s="397">
        <f t="shared" si="221"/>
        <v>9878.19</v>
      </c>
      <c r="AY196" s="397">
        <f t="shared" si="221"/>
        <v>30322.43</v>
      </c>
      <c r="AZ196" s="397">
        <f t="shared" si="221"/>
        <v>0</v>
      </c>
      <c r="BA196" s="397">
        <f t="shared" si="221"/>
        <v>9878.19</v>
      </c>
    </row>
    <row r="197" spans="41:245" x14ac:dyDescent="0.25">
      <c r="AQ197" t="s">
        <v>762</v>
      </c>
      <c r="AS197" s="386"/>
      <c r="AT197" s="386">
        <f>SUMIF(CN2:CN167,AQ197,CL2:CL167)</f>
        <v>8996.1200000000008</v>
      </c>
      <c r="AU197" s="386">
        <f>SUMIF(CN2:CN167,AQ197,CM2:CM167)</f>
        <v>5270.9000000000005</v>
      </c>
      <c r="AV197" s="386">
        <f>SUMIF(CN2:CN167,AQ197,CL2:CL167)</f>
        <v>8996.1200000000008</v>
      </c>
      <c r="AW197" s="386">
        <v>0</v>
      </c>
      <c r="AX197" s="386">
        <f>SUMIF(CN2:CN167,AQ197,CM2:CM167)</f>
        <v>5270.9000000000005</v>
      </c>
      <c r="AY197" s="386">
        <f>SUMIF(CN2:CN167,AQ197,CL2:CL167)</f>
        <v>8996.1200000000008</v>
      </c>
      <c r="AZ197" s="386">
        <v>0</v>
      </c>
      <c r="BA197" s="386">
        <f>SUMIF(CN2:CN167,AQ197,CM2:CM167)</f>
        <v>5270.9000000000005</v>
      </c>
    </row>
    <row r="198" spans="41:245" x14ac:dyDescent="0.25">
      <c r="AP198" t="s">
        <v>773</v>
      </c>
      <c r="AS198" s="397"/>
      <c r="AT198" s="397">
        <f t="shared" ref="AT198:BA198" si="222">SUM(AT197:AT197)</f>
        <v>8996.1200000000008</v>
      </c>
      <c r="AU198" s="397">
        <f t="shared" si="222"/>
        <v>5270.9000000000005</v>
      </c>
      <c r="AV198" s="397">
        <f t="shared" si="222"/>
        <v>8996.1200000000008</v>
      </c>
      <c r="AW198" s="397">
        <f t="shared" si="222"/>
        <v>0</v>
      </c>
      <c r="AX198" s="397">
        <f t="shared" si="222"/>
        <v>5270.9000000000005</v>
      </c>
      <c r="AY198" s="397">
        <f t="shared" si="222"/>
        <v>8996.1200000000008</v>
      </c>
      <c r="AZ198" s="397">
        <f t="shared" si="222"/>
        <v>0</v>
      </c>
      <c r="BA198" s="397">
        <f t="shared" si="222"/>
        <v>5270.9000000000005</v>
      </c>
    </row>
    <row r="199" spans="41:245" x14ac:dyDescent="0.25">
      <c r="AS199" s="386"/>
      <c r="AT199" s="386"/>
      <c r="AU199" s="386"/>
      <c r="AV199" s="386"/>
      <c r="AW199" s="386"/>
      <c r="AX199" s="386"/>
      <c r="AY199" s="386"/>
      <c r="AZ199" s="386"/>
      <c r="BA199" s="386"/>
    </row>
    <row r="200" spans="41:245" x14ac:dyDescent="0.25">
      <c r="AO200" s="395" t="s">
        <v>776</v>
      </c>
      <c r="AS200" s="398">
        <f t="shared" ref="AS200:BA200" si="223">SUM(AS196,AS198)</f>
        <v>0</v>
      </c>
      <c r="AT200" s="398">
        <f t="shared" si="223"/>
        <v>39318.550000000003</v>
      </c>
      <c r="AU200" s="398">
        <f t="shared" si="223"/>
        <v>15149.09</v>
      </c>
      <c r="AV200" s="398">
        <f t="shared" si="223"/>
        <v>39318.550000000003</v>
      </c>
      <c r="AW200" s="398">
        <f t="shared" si="223"/>
        <v>0</v>
      </c>
      <c r="AX200" s="398">
        <f t="shared" si="223"/>
        <v>15149.09</v>
      </c>
      <c r="AY200" s="398">
        <f t="shared" si="223"/>
        <v>39318.550000000003</v>
      </c>
      <c r="AZ200" s="398">
        <f t="shared" si="223"/>
        <v>0</v>
      </c>
      <c r="BA200" s="398">
        <f t="shared" si="223"/>
        <v>15149.09</v>
      </c>
      <c r="IC200" s="391"/>
      <c r="IK200" s="391"/>
    </row>
    <row r="201" spans="41:245" x14ac:dyDescent="0.25">
      <c r="AS201" s="386"/>
      <c r="AT201" s="386"/>
      <c r="AU201" s="386"/>
      <c r="AV201" s="386"/>
      <c r="AW201" s="386"/>
      <c r="AX201" s="386"/>
      <c r="AY201" s="386"/>
      <c r="AZ201" s="386"/>
      <c r="BA201" s="386"/>
    </row>
    <row r="202" spans="41:245" x14ac:dyDescent="0.25">
      <c r="AO202" s="396" t="s">
        <v>777</v>
      </c>
      <c r="AS202" s="399">
        <f t="shared" ref="AS202:BA202" si="224">SUM(AS192,AS200)</f>
        <v>88.274999999999991</v>
      </c>
      <c r="AT202" s="400">
        <f t="shared" si="224"/>
        <v>6092521.5699999994</v>
      </c>
      <c r="AU202" s="400">
        <f t="shared" si="224"/>
        <v>2247252.1399999997</v>
      </c>
      <c r="AV202" s="400">
        <f t="shared" si="224"/>
        <v>6500397.8699999992</v>
      </c>
      <c r="AW202" s="400">
        <f t="shared" si="224"/>
        <v>1032772.5</v>
      </c>
      <c r="AX202" s="400">
        <f t="shared" si="224"/>
        <v>1372110.4380952001</v>
      </c>
      <c r="AY202" s="400">
        <f t="shared" si="224"/>
        <v>6500397.8699999992</v>
      </c>
      <c r="AZ202" s="400">
        <f t="shared" si="224"/>
        <v>1032772.5</v>
      </c>
      <c r="BA202" s="400">
        <f t="shared" si="224"/>
        <v>1339088.8534612001</v>
      </c>
    </row>
  </sheetData>
  <mergeCells count="5">
    <mergeCell ref="AT184:AU184"/>
    <mergeCell ref="AV184:AV185"/>
    <mergeCell ref="AW184:AX184"/>
    <mergeCell ref="AY184:AY185"/>
    <mergeCell ref="AZ184:BA18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C8" sqref="C8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7"/>
      <c r="B1" s="477"/>
      <c r="C1" s="477"/>
      <c r="D1" s="477"/>
      <c r="E1" s="477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2.0999999999999999E-3</v>
      </c>
      <c r="D8" s="234">
        <v>1.8E-3</v>
      </c>
      <c r="E8" s="314">
        <f t="shared" si="0"/>
        <v>-2.9999999999999992E-4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9.0709999999999999E-2</v>
      </c>
      <c r="D12" s="234">
        <f>SUM(D5:D11)</f>
        <v>8.5509999999999989E-2</v>
      </c>
      <c r="E12" s="315">
        <f>D12-C12</f>
        <v>-5.2000000000000102E-3</v>
      </c>
      <c r="M12" s="320"/>
    </row>
    <row r="13" spans="1:15" x14ac:dyDescent="0.3">
      <c r="A13" s="3"/>
      <c r="B13" s="231" t="s">
        <v>9</v>
      </c>
      <c r="C13" s="226">
        <f>SUM(C5:C8)</f>
        <v>8.3500000000000005E-2</v>
      </c>
      <c r="D13" s="226">
        <f>SUM(D5:D8)</f>
        <v>7.8299999999999995E-2</v>
      </c>
      <c r="E13" s="313">
        <f t="shared" si="0"/>
        <v>-5.2000000000000102E-3</v>
      </c>
      <c r="F13" s="8"/>
    </row>
    <row r="14" spans="1:15" x14ac:dyDescent="0.3">
      <c r="A14" s="230"/>
      <c r="B14" s="232" t="s">
        <v>102</v>
      </c>
      <c r="C14" s="226">
        <f>SUM(C5:C6,C8:C9)</f>
        <v>8.5809999999999997E-2</v>
      </c>
      <c r="D14" s="226">
        <f>SUM(D5:D6,D8:D9)</f>
        <v>8.5509999999999989E-2</v>
      </c>
      <c r="E14" s="313">
        <f>D14-C14</f>
        <v>-3.0000000000000859E-4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8" t="s">
        <v>110</v>
      </c>
      <c r="B28" s="478"/>
      <c r="C28" s="478"/>
      <c r="D28" s="478"/>
      <c r="E28" s="478"/>
    </row>
    <row r="29" spans="1:11" x14ac:dyDescent="0.3">
      <c r="A29" s="478" t="s">
        <v>111</v>
      </c>
      <c r="B29" s="478"/>
      <c r="C29" s="478"/>
      <c r="D29" s="478"/>
      <c r="E29" s="478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6"/>
      <c r="N1" s="407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8"/>
      <c r="N2" s="409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06"/>
      <c r="N3" s="407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6">
        <v>2023</v>
      </c>
      <c r="N4" s="407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8"/>
      <c r="J5" s="410"/>
      <c r="K5" s="410"/>
      <c r="L5" s="409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11" t="s">
        <v>22</v>
      </c>
      <c r="D8" s="412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3" t="s">
        <v>105</v>
      </c>
      <c r="AB8" s="413"/>
      <c r="AC8" s="41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14" t="s">
        <v>26</v>
      </c>
      <c r="D9" s="41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04" t="s">
        <v>27</v>
      </c>
      <c r="D10" s="405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04" t="s">
        <v>28</v>
      </c>
      <c r="D11" s="405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04" t="s">
        <v>29</v>
      </c>
      <c r="D12" s="416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04" t="s">
        <v>30</v>
      </c>
      <c r="D13" s="405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22" t="s">
        <v>32</v>
      </c>
      <c r="D16" s="423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24" t="s">
        <v>34</v>
      </c>
      <c r="D17" s="42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26" t="s">
        <v>35</v>
      </c>
      <c r="D18" s="42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28" t="s">
        <v>37</v>
      </c>
      <c r="D37" s="42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0" t="s">
        <v>107</v>
      </c>
      <c r="AB37" s="431"/>
      <c r="AC37" s="431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04" t="str">
        <f>perm_name</f>
        <v>Permanent Positions</v>
      </c>
      <c r="D38" s="41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04" t="str">
        <f>Group_name</f>
        <v>Board &amp; Group Positions</v>
      </c>
      <c r="D39" s="41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04" t="s">
        <v>38</v>
      </c>
      <c r="D41" s="41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4"/>
      <c r="D42" s="435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6" t="s">
        <v>39</v>
      </c>
      <c r="D43" s="437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7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8"/>
      <c r="M43" s="418"/>
      <c r="N43" s="419"/>
      <c r="O43"/>
      <c r="P43"/>
      <c r="Q43"/>
      <c r="R43"/>
      <c r="S43"/>
      <c r="T43"/>
      <c r="U43"/>
      <c r="V43"/>
      <c r="W43"/>
      <c r="X43"/>
      <c r="Y43"/>
      <c r="Z43" s="344"/>
      <c r="AA43" s="420" t="s">
        <v>108</v>
      </c>
      <c r="AB43" s="421"/>
      <c r="AC43" s="421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38"/>
      <c r="D44" s="439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7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8"/>
      <c r="M44" s="418"/>
      <c r="N44" s="41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8"/>
      <c r="M45" s="418"/>
      <c r="N45" s="41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40" t="s">
        <v>100</v>
      </c>
      <c r="F46" s="441"/>
      <c r="G46" s="441"/>
      <c r="H46" s="441"/>
      <c r="I46" s="441"/>
      <c r="J46" s="442"/>
      <c r="K46" s="446" t="str">
        <f>IF(OR(J45&lt;0,F45&lt;0),"You may not have sufficient funding or authorized FTP, and may need to make additional adjustments to finalize this form.  Please contact both your DFM and LSO analysts.","")</f>
        <v/>
      </c>
      <c r="L46" s="447"/>
      <c r="M46" s="447"/>
      <c r="N46" s="44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43"/>
      <c r="F47" s="444"/>
      <c r="G47" s="444"/>
      <c r="H47" s="444"/>
      <c r="I47" s="444"/>
      <c r="J47" s="445"/>
      <c r="K47" s="449"/>
      <c r="L47" s="450"/>
      <c r="M47" s="450"/>
      <c r="N47" s="45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52"/>
      <c r="D50" s="453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54" t="s">
        <v>47</v>
      </c>
      <c r="D53" s="45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32" t="s">
        <v>48</v>
      </c>
      <c r="D54" s="433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58" t="s">
        <v>49</v>
      </c>
      <c r="D55" s="459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56" t="s">
        <v>51</v>
      </c>
      <c r="D57" s="460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32" t="s">
        <v>52</v>
      </c>
      <c r="D58" s="433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58" t="s">
        <v>66</v>
      </c>
      <c r="D59" s="459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56" t="s">
        <v>54</v>
      </c>
      <c r="D61" s="460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32" t="s">
        <v>67</v>
      </c>
      <c r="D62" s="433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32" t="s">
        <v>55</v>
      </c>
      <c r="D63" s="433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61" t="s">
        <v>56</v>
      </c>
      <c r="D64" s="462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63"/>
      <c r="D65" s="46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65"/>
      <c r="D66" s="466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56" t="s">
        <v>58</v>
      </c>
      <c r="D68" s="457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56" t="s">
        <v>59</v>
      </c>
      <c r="D69" s="457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69"/>
      <c r="D70" s="470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32" t="s">
        <v>60</v>
      </c>
      <c r="D71" s="433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32" t="s">
        <v>101</v>
      </c>
      <c r="D72" s="47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32" t="s">
        <v>61</v>
      </c>
      <c r="D73" s="47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72" t="s">
        <v>64</v>
      </c>
      <c r="D76" s="47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67"/>
      <c r="D77" s="468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67"/>
      <c r="D78" s="468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67"/>
      <c r="D79" s="468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8" priority="5">
      <formula>$J$44&lt;0</formula>
    </cfRule>
  </conditionalFormatting>
  <conditionalFormatting sqref="K43">
    <cfRule type="expression" dxfId="7" priority="4">
      <formula>$J$43&lt;0</formula>
    </cfRule>
  </conditionalFormatting>
  <conditionalFormatting sqref="L16">
    <cfRule type="expression" dxfId="6" priority="3">
      <formula>$J$16&lt;0</formula>
    </cfRule>
  </conditionalFormatting>
  <conditionalFormatting sqref="K45">
    <cfRule type="expression" dxfId="5" priority="2">
      <formula>$J$44&lt;0</formula>
    </cfRule>
  </conditionalFormatting>
  <conditionalFormatting sqref="K43:N45">
    <cfRule type="containsText" dxfId="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43"/>
  <sheetViews>
    <sheetView topLeftCell="A27" workbookViewId="0">
      <selection activeCell="A35" sqref="A35:L43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4" t="s">
        <v>747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" x14ac:dyDescent="0.25">
      <c r="A2" s="411" t="s">
        <v>22</v>
      </c>
      <c r="B2" s="412"/>
      <c r="C2" s="370" t="s">
        <v>23</v>
      </c>
      <c r="D2" s="49" t="s">
        <v>24</v>
      </c>
      <c r="E2" s="50" t="str">
        <f>"FY "&amp;'SCAA|0001-00'!FiscalYear-1&amp;" SALARY"</f>
        <v>FY 2022 SALARY</v>
      </c>
      <c r="F2" s="50" t="str">
        <f>"FY "&amp;'SCAA|0001-00'!FiscalYear-1&amp;" HEALTH BENEFITS"</f>
        <v>FY 2022 HEALTH BENEFITS</v>
      </c>
      <c r="G2" s="50" t="str">
        <f>"FY "&amp;'SCAA|0001-00'!FiscalYear-1&amp;" VAR BENEFITS"</f>
        <v>FY 2022 VAR BENEFITS</v>
      </c>
      <c r="H2" s="50" t="str">
        <f>"FY "&amp;'SCAA|0001-00'!FiscalYear-1&amp;" TOTAL"</f>
        <v>FY 2022 TOTAL</v>
      </c>
      <c r="I2" s="50" t="str">
        <f>"FY "&amp;'SCAA|0001-00'!FiscalYear&amp;" SALARY CHANGE"</f>
        <v>FY 2023 SALARY CHANGE</v>
      </c>
      <c r="J2" s="50" t="str">
        <f>"FY "&amp;'SCAA|0001-00'!FiscalYear&amp;" CHG HEALTH BENEFITS"</f>
        <v>FY 2023 CHG HEALTH BENEFITS</v>
      </c>
      <c r="K2" s="50" t="str">
        <f>"FY "&amp;'SCAA|0001-00'!FiscalYear&amp;" CHG VAR BENEFITS"</f>
        <v>FY 2023 CHG VAR BENEFITS</v>
      </c>
      <c r="L2" s="50" t="s">
        <v>25</v>
      </c>
    </row>
    <row r="3" spans="1:12" x14ac:dyDescent="0.25">
      <c r="A3" s="414" t="s">
        <v>26</v>
      </c>
      <c r="B3" s="41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04" t="s">
        <v>27</v>
      </c>
      <c r="B4" s="405"/>
      <c r="C4" s="217">
        <v>1</v>
      </c>
      <c r="D4" s="288">
        <f>[0]!SCAA000100col_INC_FTI</f>
        <v>5.2550000000000008</v>
      </c>
      <c r="E4" s="218">
        <f>[0]!SCAA000100col_FTI_SALARY_PERM</f>
        <v>442032.03</v>
      </c>
      <c r="F4" s="218">
        <f>[0]!SCAA000100col_HEALTH_PERM</f>
        <v>63259.5</v>
      </c>
      <c r="G4" s="218">
        <f>[0]!SCAA000100col_TOT_VB_PERM</f>
        <v>92875.349823300014</v>
      </c>
      <c r="H4" s="219">
        <f>SUM(E4:G4)</f>
        <v>598166.87982330006</v>
      </c>
      <c r="I4" s="219">
        <f>[0]!SCAA000100col_1_27TH_PP</f>
        <v>0</v>
      </c>
      <c r="J4" s="218">
        <f>[0]!SCAA000100col_HEALTH_PERM_CHG</f>
        <v>0</v>
      </c>
      <c r="K4" s="218">
        <f>[0]!SCAA000100col_TOT_VB_PERM_CHG</f>
        <v>-2298.5665559999998</v>
      </c>
      <c r="L4" s="218">
        <f>SUM(J4:K4)</f>
        <v>-2298.5665559999998</v>
      </c>
    </row>
    <row r="5" spans="1:12" x14ac:dyDescent="0.25">
      <c r="A5" s="404" t="s">
        <v>28</v>
      </c>
      <c r="B5" s="405"/>
      <c r="C5" s="217">
        <v>2</v>
      </c>
      <c r="D5" s="288"/>
      <c r="E5" s="218">
        <f>[0]!SCAA000100col_Group_Salary</f>
        <v>17819.419999999998</v>
      </c>
      <c r="F5" s="218">
        <v>0</v>
      </c>
      <c r="G5" s="218">
        <f>[0]!SCAA000100col_Group_Ben</f>
        <v>2603.4</v>
      </c>
      <c r="H5" s="219">
        <f>SUM(E5:G5)</f>
        <v>20422.82</v>
      </c>
      <c r="I5" s="268"/>
      <c r="J5" s="218"/>
      <c r="K5" s="218"/>
      <c r="L5" s="218"/>
    </row>
    <row r="6" spans="1:12" x14ac:dyDescent="0.25">
      <c r="A6" s="404" t="s">
        <v>29</v>
      </c>
      <c r="B6" s="416"/>
      <c r="C6" s="217">
        <v>3</v>
      </c>
      <c r="D6" s="288">
        <f>[0]!SCAA000100col_TOTAL_ELECT_PCN_FTI</f>
        <v>1</v>
      </c>
      <c r="E6" s="218">
        <f>[0]!SCAA000100col_FTI_SALARY_ELECT</f>
        <v>117556.7</v>
      </c>
      <c r="F6" s="218">
        <f>[0]!SCAA000100col_HEALTH_ELECT</f>
        <v>11650</v>
      </c>
      <c r="G6" s="218">
        <f>[0]!SCAA000100col_TOT_VB_ELECT</f>
        <v>24123.810407000001</v>
      </c>
      <c r="H6" s="219">
        <f>SUM(E6:G6)</f>
        <v>153330.51040699999</v>
      </c>
      <c r="I6" s="268"/>
      <c r="J6" s="218">
        <f>[0]!SCAA000100col_HEALTH_ELECT_CHG</f>
        <v>0</v>
      </c>
      <c r="K6" s="218">
        <f>[0]!SCAA000100col_TOT_VB_ELECT_CHG</f>
        <v>-35.267009999999992</v>
      </c>
      <c r="L6" s="219">
        <f>SUM(J6:K6)</f>
        <v>-35.267009999999992</v>
      </c>
    </row>
    <row r="7" spans="1:12" x14ac:dyDescent="0.25">
      <c r="A7" s="404" t="s">
        <v>30</v>
      </c>
      <c r="B7" s="405"/>
      <c r="C7" s="217"/>
      <c r="D7" s="220">
        <f>SUM(D4:D6)</f>
        <v>6.2550000000000008</v>
      </c>
      <c r="E7" s="221">
        <f>SUM(E4:E6)</f>
        <v>577408.15</v>
      </c>
      <c r="F7" s="221">
        <f>SUM(F4:F6)</f>
        <v>74909.5</v>
      </c>
      <c r="G7" s="221">
        <f>SUM(G4:G6)</f>
        <v>119602.56023030001</v>
      </c>
      <c r="H7" s="219">
        <f>SUM(E7:G7)</f>
        <v>771920.21023029997</v>
      </c>
      <c r="I7" s="268"/>
      <c r="J7" s="219">
        <f>SUM(J4:J6)</f>
        <v>0</v>
      </c>
      <c r="K7" s="219">
        <f>SUM(K4:K6)</f>
        <v>-2333.8335659999998</v>
      </c>
      <c r="L7" s="219">
        <f>SUM(L4:L6)</f>
        <v>-2333.8335659999998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"&amp;'SCAA|0001-00'!FiscalYear-1</f>
        <v>FY 2022</v>
      </c>
      <c r="B9" s="158" t="s">
        <v>31</v>
      </c>
      <c r="C9" s="355">
        <v>1165700</v>
      </c>
      <c r="D9" s="55">
        <v>10.3</v>
      </c>
      <c r="E9" s="223">
        <f>IF('SCAA|0001-00'!OrigApprop=0,0,(E7/H7)*'SCAA|0001-00'!OrigApprop)</f>
        <v>871961.46898937563</v>
      </c>
      <c r="F9" s="223">
        <f>IF('SCAA|0001-00'!OrigApprop=0,0,(F7/H7)*'SCAA|0001-00'!OrigApprop)</f>
        <v>113123.09613444083</v>
      </c>
      <c r="G9" s="223">
        <f>IF(E9=0,0,(G7/H7)*'SCAA|0001-00'!OrigApprop)</f>
        <v>180615.43487618363</v>
      </c>
      <c r="H9" s="223">
        <f>SUM(E9:G9)</f>
        <v>1165700</v>
      </c>
      <c r="I9" s="268"/>
      <c r="J9" s="224"/>
      <c r="K9" s="224"/>
      <c r="L9" s="224"/>
    </row>
    <row r="10" spans="1:12" x14ac:dyDescent="0.25">
      <c r="A10" s="422" t="s">
        <v>32</v>
      </c>
      <c r="B10" s="423"/>
      <c r="C10" s="160" t="s">
        <v>33</v>
      </c>
      <c r="D10" s="161">
        <f>D9-D7</f>
        <v>4.0449999999999999</v>
      </c>
      <c r="E10" s="162">
        <f>E9-E7</f>
        <v>294553.31898937561</v>
      </c>
      <c r="F10" s="162">
        <f>F9-F7</f>
        <v>38213.596134440828</v>
      </c>
      <c r="G10" s="162">
        <f>G9-G7</f>
        <v>61012.874645883625</v>
      </c>
      <c r="H10" s="162">
        <f>H9-H7</f>
        <v>393779.78976970003</v>
      </c>
      <c r="I10" s="269"/>
      <c r="J10" s="56" t="str">
        <f>IF('SCAA|0001-00'!OrigApprop=0,"ERROR! Enter Original Appropriation amount in DU 3.00!","Calculated "&amp;IF('SCAA|0001-00'!AdjustedTotal&gt;0,"overfunding ","underfunding ")&amp;"is "&amp;TEXT('SCAA|0001-00'!AdjustedTotal/'SCAA|0001-00'!AppropTotal,"#.0%;(#.0% );0% ;")&amp;" of Original Appropriation")</f>
        <v>Calculated overfunding is 33.8% of Original Appropriation</v>
      </c>
      <c r="K10" s="163"/>
      <c r="L10" s="164"/>
    </row>
    <row r="12" spans="1:12" x14ac:dyDescent="0.25">
      <c r="A12" s="394" t="s">
        <v>751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ht="39" x14ac:dyDescent="0.25">
      <c r="A13" s="411" t="s">
        <v>22</v>
      </c>
      <c r="B13" s="412"/>
      <c r="C13" s="370" t="s">
        <v>23</v>
      </c>
      <c r="D13" s="49" t="s">
        <v>24</v>
      </c>
      <c r="E13" s="50" t="str">
        <f>"FY "&amp;'SCBA|0001-00'!FiscalYear-1&amp;" SALARY"</f>
        <v>FY 2022 SALARY</v>
      </c>
      <c r="F13" s="50" t="str">
        <f>"FY "&amp;'SCBA|0001-00'!FiscalYear-1&amp;" HEALTH BENEFITS"</f>
        <v>FY 2022 HEALTH BENEFITS</v>
      </c>
      <c r="G13" s="50" t="str">
        <f>"FY "&amp;'SCBA|0001-00'!FiscalYear-1&amp;" VAR BENEFITS"</f>
        <v>FY 2022 VAR BENEFITS</v>
      </c>
      <c r="H13" s="50" t="str">
        <f>"FY "&amp;'SCBA|0001-00'!FiscalYear-1&amp;" TOTAL"</f>
        <v>FY 2022 TOTAL</v>
      </c>
      <c r="I13" s="50" t="str">
        <f>"FY "&amp;'SCBA|0001-00'!FiscalYear&amp;" SALARY CHANGE"</f>
        <v>FY 2023 SALARY CHANGE</v>
      </c>
      <c r="J13" s="50" t="str">
        <f>"FY "&amp;'SCBA|0001-00'!FiscalYear&amp;" CHG HEALTH BENEFITS"</f>
        <v>FY 2023 CHG HEALTH BENEFITS</v>
      </c>
      <c r="K13" s="50" t="str">
        <f>"FY "&amp;'SCBA|0001-00'!FiscalYear&amp;" CHG VAR BENEFITS"</f>
        <v>FY 2023 CHG VAR BENEFITS</v>
      </c>
      <c r="L13" s="50" t="s">
        <v>25</v>
      </c>
    </row>
    <row r="14" spans="1:12" x14ac:dyDescent="0.25">
      <c r="A14" s="414" t="s">
        <v>26</v>
      </c>
      <c r="B14" s="415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04" t="s">
        <v>27</v>
      </c>
      <c r="B15" s="405"/>
      <c r="C15" s="217">
        <v>1</v>
      </c>
      <c r="D15" s="288">
        <f>[0]!SCBA000100col_INC_FTI</f>
        <v>19.600000000000001</v>
      </c>
      <c r="E15" s="218">
        <f>[0]!SCBA000100col_FTI_SALARY_PERM</f>
        <v>1311430.0099999998</v>
      </c>
      <c r="F15" s="218">
        <f>[0]!SCBA000100col_HEALTH_PERM</f>
        <v>228340</v>
      </c>
      <c r="G15" s="218">
        <f>[0]!SCBA000100col_TOT_VB_PERM</f>
        <v>275544.55940109998</v>
      </c>
      <c r="H15" s="219">
        <f>SUM(E15:G15)</f>
        <v>1815314.5694010998</v>
      </c>
      <c r="I15" s="219">
        <f>[0]!SCBA000100col_1_27TH_PP</f>
        <v>0</v>
      </c>
      <c r="J15" s="218">
        <f>[0]!SCBA000100col_HEALTH_PERM_CHG</f>
        <v>0</v>
      </c>
      <c r="K15" s="218">
        <f>[0]!SCBA000100col_TOT_VB_PERM_CHG</f>
        <v>-6819.4360519999991</v>
      </c>
      <c r="L15" s="218">
        <f>SUM(J15:K15)</f>
        <v>-6819.4360519999991</v>
      </c>
    </row>
    <row r="16" spans="1:12" x14ac:dyDescent="0.25">
      <c r="A16" s="404" t="s">
        <v>28</v>
      </c>
      <c r="B16" s="405"/>
      <c r="C16" s="217">
        <v>2</v>
      </c>
      <c r="D16" s="288"/>
      <c r="E16" s="218">
        <f>[0]!SCBA000100col_Group_Salary</f>
        <v>9337.36</v>
      </c>
      <c r="F16" s="218">
        <v>0</v>
      </c>
      <c r="G16" s="218">
        <f>[0]!SCBA000100col_Group_Ben</f>
        <v>5492.85</v>
      </c>
      <c r="H16" s="219">
        <f>SUM(E16:G16)</f>
        <v>14830.210000000001</v>
      </c>
      <c r="I16" s="268"/>
      <c r="J16" s="218"/>
      <c r="K16" s="218"/>
      <c r="L16" s="218"/>
    </row>
    <row r="17" spans="1:12" x14ac:dyDescent="0.25">
      <c r="A17" s="404" t="s">
        <v>29</v>
      </c>
      <c r="B17" s="416"/>
      <c r="C17" s="217">
        <v>3</v>
      </c>
      <c r="D17" s="288">
        <f>[0]!SCBA000100col_TOTAL_ELECT_PCN_FTI</f>
        <v>0</v>
      </c>
      <c r="E17" s="218">
        <f>[0]!SCBA000100col_FTI_SALARY_ELECT</f>
        <v>0</v>
      </c>
      <c r="F17" s="218">
        <f>[0]!SCBA000100col_HEALTH_ELECT</f>
        <v>0</v>
      </c>
      <c r="G17" s="218">
        <f>[0]!SCBA000100col_TOT_VB_ELECT</f>
        <v>0</v>
      </c>
      <c r="H17" s="219">
        <f>SUM(E17:G17)</f>
        <v>0</v>
      </c>
      <c r="I17" s="268"/>
      <c r="J17" s="218">
        <f>[0]!SCBA000100col_HEALTH_ELECT_CHG</f>
        <v>0</v>
      </c>
      <c r="K17" s="218">
        <f>[0]!SCBA000100col_TOT_VB_ELECT_CHG</f>
        <v>0</v>
      </c>
      <c r="L17" s="219">
        <f>SUM(J17:K17)</f>
        <v>0</v>
      </c>
    </row>
    <row r="18" spans="1:12" x14ac:dyDescent="0.25">
      <c r="A18" s="404" t="s">
        <v>30</v>
      </c>
      <c r="B18" s="405"/>
      <c r="C18" s="217"/>
      <c r="D18" s="220">
        <f>SUM(D15:D17)</f>
        <v>19.600000000000001</v>
      </c>
      <c r="E18" s="221">
        <f>SUM(E15:E17)</f>
        <v>1320767.3699999999</v>
      </c>
      <c r="F18" s="221">
        <f>SUM(F15:F17)</f>
        <v>228340</v>
      </c>
      <c r="G18" s="221">
        <f>SUM(G15:G17)</f>
        <v>281037.40940109995</v>
      </c>
      <c r="H18" s="219">
        <f>SUM(E18:G18)</f>
        <v>1830144.7794010998</v>
      </c>
      <c r="I18" s="268"/>
      <c r="J18" s="219">
        <f>SUM(J15:J17)</f>
        <v>0</v>
      </c>
      <c r="K18" s="219">
        <f>SUM(K15:K17)</f>
        <v>-6819.4360519999991</v>
      </c>
      <c r="L18" s="219">
        <f>SUM(L15:L17)</f>
        <v>-6819.4360519999991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"&amp;'SCBA|0001-00'!FiscalYear-1</f>
        <v>FY 2022</v>
      </c>
      <c r="B20" s="158" t="s">
        <v>31</v>
      </c>
      <c r="C20" s="355">
        <v>1879400</v>
      </c>
      <c r="D20" s="55">
        <v>23.7</v>
      </c>
      <c r="E20" s="223">
        <f>IF('SCBA|0001-00'!OrigApprop=0,0,(E18/H18)*'SCBA|0001-00'!OrigApprop)</f>
        <v>1356313.5677114553</v>
      </c>
      <c r="F20" s="223">
        <f>IF('SCBA|0001-00'!OrigApprop=0,0,(F18/H18)*'SCBA|0001-00'!OrigApprop)</f>
        <v>234485.38106391416</v>
      </c>
      <c r="G20" s="223">
        <f>IF(E20=0,0,(G18/H18)*'SCBA|0001-00'!OrigApprop)</f>
        <v>288601.05122463073</v>
      </c>
      <c r="H20" s="223">
        <f>SUM(E20:G20)</f>
        <v>1879400.0000000002</v>
      </c>
      <c r="I20" s="268"/>
      <c r="J20" s="224"/>
      <c r="K20" s="224"/>
      <c r="L20" s="224"/>
    </row>
    <row r="21" spans="1:12" x14ac:dyDescent="0.25">
      <c r="A21" s="422" t="s">
        <v>32</v>
      </c>
      <c r="B21" s="423"/>
      <c r="C21" s="160" t="s">
        <v>33</v>
      </c>
      <c r="D21" s="161">
        <f>D20-D18</f>
        <v>4.0999999999999979</v>
      </c>
      <c r="E21" s="162">
        <f>E20-E18</f>
        <v>35546.197711455403</v>
      </c>
      <c r="F21" s="162">
        <f>F20-F18</f>
        <v>6145.3810639141593</v>
      </c>
      <c r="G21" s="162">
        <f>G20-G18</f>
        <v>7563.6418235307792</v>
      </c>
      <c r="H21" s="162">
        <f>H20-H18</f>
        <v>49255.220598900458</v>
      </c>
      <c r="I21" s="269"/>
      <c r="J21" s="56" t="str">
        <f>IF('SCBA|0001-00'!OrigApprop=0,"ERROR! Enter Original Appropriation amount in DU 3.00!","Calculated "&amp;IF('SCBA|0001-00'!AdjustedTotal&gt;0,"overfunding ","underfunding ")&amp;"is "&amp;TEXT('SCBA|0001-00'!AdjustedTotal/'SCBA|0001-00'!AppropTotal,"#.0%;(#.0% );0% ;")&amp;" of Original Appropriation")</f>
        <v>Calculated overfunding is 2.6% of Original Appropriation</v>
      </c>
      <c r="K21" s="163"/>
      <c r="L21" s="164"/>
    </row>
    <row r="23" spans="1:12" x14ac:dyDescent="0.25">
      <c r="A23" s="394" t="s">
        <v>757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</row>
    <row r="24" spans="1:12" ht="39" x14ac:dyDescent="0.25">
      <c r="A24" s="411" t="s">
        <v>22</v>
      </c>
      <c r="B24" s="412"/>
      <c r="C24" s="370" t="s">
        <v>23</v>
      </c>
      <c r="D24" s="49" t="s">
        <v>24</v>
      </c>
      <c r="E24" s="50" t="str">
        <f>"FY "&amp;'SCCA|0001-00'!FiscalYear-1&amp;" SALARY"</f>
        <v>FY 2022 SALARY</v>
      </c>
      <c r="F24" s="50" t="str">
        <f>"FY "&amp;'SCCA|0001-00'!FiscalYear-1&amp;" HEALTH BENEFITS"</f>
        <v>FY 2022 HEALTH BENEFITS</v>
      </c>
      <c r="G24" s="50" t="str">
        <f>"FY "&amp;'SCCA|0001-00'!FiscalYear-1&amp;" VAR BENEFITS"</f>
        <v>FY 2022 VAR BENEFITS</v>
      </c>
      <c r="H24" s="50" t="str">
        <f>"FY "&amp;'SCCA|0001-00'!FiscalYear-1&amp;" TOTAL"</f>
        <v>FY 2022 TOTAL</v>
      </c>
      <c r="I24" s="50" t="str">
        <f>"FY "&amp;'SCCA|0001-00'!FiscalYear&amp;" SALARY CHANGE"</f>
        <v>FY 2023 SALARY CHANGE</v>
      </c>
      <c r="J24" s="50" t="str">
        <f>"FY "&amp;'SCCA|0001-00'!FiscalYear&amp;" CHG HEALTH BENEFITS"</f>
        <v>FY 2023 CHG HEALTH BENEFITS</v>
      </c>
      <c r="K24" s="50" t="str">
        <f>"FY "&amp;'SCCA|0001-00'!FiscalYear&amp;" CHG VAR BENEFITS"</f>
        <v>FY 2023 CHG VAR BENEFITS</v>
      </c>
      <c r="L24" s="50" t="s">
        <v>25</v>
      </c>
    </row>
    <row r="25" spans="1:12" x14ac:dyDescent="0.25">
      <c r="A25" s="414" t="s">
        <v>26</v>
      </c>
      <c r="B25" s="415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04" t="s">
        <v>27</v>
      </c>
      <c r="B26" s="405"/>
      <c r="C26" s="217">
        <v>1</v>
      </c>
      <c r="D26" s="288">
        <f>[0]!SCCA000100col_INC_FTI</f>
        <v>16.600000000000001</v>
      </c>
      <c r="E26" s="218">
        <f>[0]!SCCA000100col_FTI_SALARY_PERM</f>
        <v>1071439.6100000001</v>
      </c>
      <c r="F26" s="218">
        <f>[0]!SCCA000100col_HEALTH_PERM</f>
        <v>193390</v>
      </c>
      <c r="G26" s="218">
        <f>[0]!SCCA000100col_TOT_VB_PERM</f>
        <v>225120.17645709999</v>
      </c>
      <c r="H26" s="219">
        <f>SUM(E26:G26)</f>
        <v>1489949.7864571002</v>
      </c>
      <c r="I26" s="219">
        <f>[0]!SCCA000100col_1_27TH_PP</f>
        <v>0</v>
      </c>
      <c r="J26" s="218">
        <f>[0]!SCCA000100col_HEALTH_PERM_CHG</f>
        <v>0</v>
      </c>
      <c r="K26" s="218">
        <f>[0]!SCCA000100col_TOT_VB_PERM_CHG</f>
        <v>-5571.4859719999986</v>
      </c>
      <c r="L26" s="218">
        <f>SUM(J26:K26)</f>
        <v>-5571.4859719999986</v>
      </c>
    </row>
    <row r="27" spans="1:12" x14ac:dyDescent="0.25">
      <c r="A27" s="404" t="s">
        <v>28</v>
      </c>
      <c r="B27" s="405"/>
      <c r="C27" s="217">
        <v>2</v>
      </c>
      <c r="D27" s="288"/>
      <c r="E27" s="218">
        <f>[0]!SCCA000100col_Group_Salary</f>
        <v>3165.65</v>
      </c>
      <c r="F27" s="218">
        <v>0</v>
      </c>
      <c r="G27" s="218">
        <f>[0]!SCCA000100col_Group_Ben</f>
        <v>1781.94</v>
      </c>
      <c r="H27" s="219">
        <f>SUM(E27:G27)</f>
        <v>4947.59</v>
      </c>
      <c r="I27" s="268"/>
      <c r="J27" s="218"/>
      <c r="K27" s="218"/>
      <c r="L27" s="218"/>
    </row>
    <row r="28" spans="1:12" x14ac:dyDescent="0.25">
      <c r="A28" s="404" t="s">
        <v>29</v>
      </c>
      <c r="B28" s="416"/>
      <c r="C28" s="217">
        <v>3</v>
      </c>
      <c r="D28" s="288">
        <f>[0]!SCCA000100col_TOTAL_ELECT_PCN_FTI</f>
        <v>0</v>
      </c>
      <c r="E28" s="218">
        <f>[0]!SCCA000100col_FTI_SALARY_ELECT</f>
        <v>0</v>
      </c>
      <c r="F28" s="218">
        <f>[0]!SCCA000100col_HEALTH_ELECT</f>
        <v>0</v>
      </c>
      <c r="G28" s="218">
        <f>[0]!SCCA000100col_TOT_VB_ELECT</f>
        <v>0</v>
      </c>
      <c r="H28" s="219">
        <f>SUM(E28:G28)</f>
        <v>0</v>
      </c>
      <c r="I28" s="268"/>
      <c r="J28" s="218">
        <f>[0]!SCCA000100col_HEALTH_ELECT_CHG</f>
        <v>0</v>
      </c>
      <c r="K28" s="218">
        <f>[0]!SCCA000100col_TOT_VB_ELECT_CHG</f>
        <v>0</v>
      </c>
      <c r="L28" s="219">
        <f>SUM(J28:K28)</f>
        <v>0</v>
      </c>
    </row>
    <row r="29" spans="1:12" x14ac:dyDescent="0.25">
      <c r="A29" s="404" t="s">
        <v>30</v>
      </c>
      <c r="B29" s="405"/>
      <c r="C29" s="217"/>
      <c r="D29" s="220">
        <f>SUM(D26:D28)</f>
        <v>16.600000000000001</v>
      </c>
      <c r="E29" s="221">
        <f>SUM(E26:E28)</f>
        <v>1074605.26</v>
      </c>
      <c r="F29" s="221">
        <f>SUM(F26:F28)</f>
        <v>193390</v>
      </c>
      <c r="G29" s="221">
        <f>SUM(G26:G28)</f>
        <v>226902.1164571</v>
      </c>
      <c r="H29" s="219">
        <f>SUM(E29:G29)</f>
        <v>1494897.3764571</v>
      </c>
      <c r="I29" s="268"/>
      <c r="J29" s="219">
        <f>SUM(J26:J28)</f>
        <v>0</v>
      </c>
      <c r="K29" s="219">
        <f>SUM(K26:K28)</f>
        <v>-5571.4859719999986</v>
      </c>
      <c r="L29" s="219">
        <f>SUM(L26:L28)</f>
        <v>-5571.4859719999986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"&amp;'SCCA|0001-00'!FiscalYear-1</f>
        <v>FY 2022</v>
      </c>
      <c r="B31" s="158" t="s">
        <v>31</v>
      </c>
      <c r="C31" s="355">
        <v>1590699.88</v>
      </c>
      <c r="D31" s="55">
        <v>17.7</v>
      </c>
      <c r="E31" s="223">
        <f>IF('SCCA|0001-00'!OrigApprop=0,0,(E29/H29)*'SCCA|0001-00'!OrigApprop)</f>
        <v>1143472.7795031511</v>
      </c>
      <c r="F31" s="223">
        <f>IF('SCCA|0001-00'!OrigApprop=0,0,(F29/H29)*'SCCA|0001-00'!OrigApprop)</f>
        <v>205783.65755264813</v>
      </c>
      <c r="G31" s="223">
        <f>IF(E31=0,0,(G29/H29)*'SCCA|0001-00'!OrigApprop)</f>
        <v>241443.44294420059</v>
      </c>
      <c r="H31" s="223">
        <f>SUM(E31:G31)</f>
        <v>1590699.88</v>
      </c>
      <c r="I31" s="268"/>
      <c r="J31" s="224"/>
      <c r="K31" s="224"/>
      <c r="L31" s="224"/>
    </row>
    <row r="32" spans="1:12" x14ac:dyDescent="0.25">
      <c r="A32" s="422" t="s">
        <v>32</v>
      </c>
      <c r="B32" s="423"/>
      <c r="C32" s="160" t="s">
        <v>33</v>
      </c>
      <c r="D32" s="161">
        <f>D31-D29</f>
        <v>1.0999999999999979</v>
      </c>
      <c r="E32" s="162">
        <f>E31-E29</f>
        <v>68867.519503151067</v>
      </c>
      <c r="F32" s="162">
        <f>F31-F29</f>
        <v>12393.657552648132</v>
      </c>
      <c r="G32" s="162">
        <f>G31-G29</f>
        <v>14541.326487100596</v>
      </c>
      <c r="H32" s="162">
        <f>H31-H29</f>
        <v>95802.503542899853</v>
      </c>
      <c r="I32" s="269"/>
      <c r="J32" s="56" t="str">
        <f>IF('SCCA|0001-00'!OrigApprop=0,"ERROR! Enter Original Appropriation amount in DU 3.00!","Calculated "&amp;IF('SCCA|0001-00'!AdjustedTotal&gt;0,"overfunding ","underfunding ")&amp;"is "&amp;TEXT('SCCA|0001-00'!AdjustedTotal/'SCCA|0001-00'!AppropTotal,"#.0%;(#.0% );0% ;")&amp;" of Original Appropriation")</f>
        <v>Calculated overfunding is 6.0% of Original Appropriation</v>
      </c>
      <c r="K32" s="163"/>
      <c r="L32" s="164"/>
    </row>
    <row r="34" spans="1:12" x14ac:dyDescent="0.25">
      <c r="A34" s="394" t="s">
        <v>764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</row>
    <row r="35" spans="1:12" ht="39" x14ac:dyDescent="0.25">
      <c r="A35" s="411" t="s">
        <v>22</v>
      </c>
      <c r="B35" s="412"/>
      <c r="C35" s="370" t="s">
        <v>23</v>
      </c>
      <c r="D35" s="49" t="s">
        <v>24</v>
      </c>
      <c r="E35" s="50" t="str">
        <f>"FY "&amp;'SCDA|0480-00'!FiscalYear-1&amp;" SALARY"</f>
        <v>FY 2022 SALARY</v>
      </c>
      <c r="F35" s="50" t="str">
        <f>"FY "&amp;'SCDA|0480-00'!FiscalYear-1&amp;" HEALTH BENEFITS"</f>
        <v>FY 2022 HEALTH BENEFITS</v>
      </c>
      <c r="G35" s="50" t="str">
        <f>"FY "&amp;'SCDA|0480-00'!FiscalYear-1&amp;" VAR BENEFITS"</f>
        <v>FY 2022 VAR BENEFITS</v>
      </c>
      <c r="H35" s="50" t="str">
        <f>"FY "&amp;'SCDA|0480-00'!FiscalYear-1&amp;" TOTAL"</f>
        <v>FY 2022 TOTAL</v>
      </c>
      <c r="I35" s="50" t="str">
        <f>"FY "&amp;'SCDA|0480-00'!FiscalYear&amp;" SALARY CHANGE"</f>
        <v>FY 2023 SALARY CHANGE</v>
      </c>
      <c r="J35" s="50" t="str">
        <f>"FY "&amp;'SCDA|0480-00'!FiscalYear&amp;" CHG HEALTH BENEFITS"</f>
        <v>FY 2023 CHG HEALTH BENEFITS</v>
      </c>
      <c r="K35" s="50" t="str">
        <f>"FY "&amp;'SCDA|0480-00'!FiscalYear&amp;" CHG VAR BENEFITS"</f>
        <v>FY 2023 CHG VAR BENEFITS</v>
      </c>
      <c r="L35" s="50" t="s">
        <v>25</v>
      </c>
    </row>
    <row r="36" spans="1:12" x14ac:dyDescent="0.25">
      <c r="A36" s="414" t="s">
        <v>26</v>
      </c>
      <c r="B36" s="415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04" t="s">
        <v>27</v>
      </c>
      <c r="B37" s="405"/>
      <c r="C37" s="217">
        <v>1</v>
      </c>
      <c r="D37" s="288">
        <f>[0]!SCDA048000col_INC_FTI</f>
        <v>45.819999999999993</v>
      </c>
      <c r="E37" s="218">
        <f>[0]!SCDA048000col_FTI_SALARY_PERM</f>
        <v>3518620.9699999997</v>
      </c>
      <c r="F37" s="218">
        <f>[0]!SCDA048000col_HEALTH_PERM</f>
        <v>536133</v>
      </c>
      <c r="G37" s="218">
        <f>[0]!SCDA048000col_TOT_VB_PERM</f>
        <v>739297.45200669998</v>
      </c>
      <c r="H37" s="219">
        <f>SUM(E37:G37)</f>
        <v>4794051.4220067002</v>
      </c>
      <c r="I37" s="219">
        <f>[0]!SCDA048000col_1_27TH_PP</f>
        <v>0</v>
      </c>
      <c r="J37" s="218">
        <f>[0]!SCDA048000col_HEALTH_PERM_CHG</f>
        <v>0</v>
      </c>
      <c r="K37" s="218">
        <f>[0]!SCDA048000col_TOT_VB_PERM_CHG</f>
        <v>-18296.829044000002</v>
      </c>
      <c r="L37" s="218">
        <f>SUM(J37:K37)</f>
        <v>-18296.829044000002</v>
      </c>
    </row>
    <row r="38" spans="1:12" x14ac:dyDescent="0.25">
      <c r="A38" s="404" t="s">
        <v>28</v>
      </c>
      <c r="B38" s="405"/>
      <c r="C38" s="217">
        <v>2</v>
      </c>
      <c r="D38" s="288"/>
      <c r="E38" s="218">
        <f>[0]!SCDA048000col_Group_Salary</f>
        <v>8996.1200000000008</v>
      </c>
      <c r="F38" s="218">
        <v>0</v>
      </c>
      <c r="G38" s="218">
        <f>[0]!SCDA048000col_Group_Ben</f>
        <v>5270.9000000000005</v>
      </c>
      <c r="H38" s="219">
        <f>SUM(E38:G38)</f>
        <v>14267.02</v>
      </c>
      <c r="I38" s="268"/>
      <c r="J38" s="218"/>
      <c r="K38" s="218"/>
      <c r="L38" s="218"/>
    </row>
    <row r="39" spans="1:12" x14ac:dyDescent="0.25">
      <c r="A39" s="404" t="s">
        <v>29</v>
      </c>
      <c r="B39" s="416"/>
      <c r="C39" s="217">
        <v>3</v>
      </c>
      <c r="D39" s="288">
        <f>[0]!SCDA048000col_TOTAL_ELECT_PCN_FTI</f>
        <v>0</v>
      </c>
      <c r="E39" s="218">
        <f>[0]!SCDA048000col_FTI_SALARY_ELECT</f>
        <v>0</v>
      </c>
      <c r="F39" s="218">
        <f>[0]!SCDA048000col_HEALTH_ELECT</f>
        <v>0</v>
      </c>
      <c r="G39" s="218">
        <f>[0]!SCDA048000col_TOT_VB_ELECT</f>
        <v>0</v>
      </c>
      <c r="H39" s="219">
        <f>SUM(E39:G39)</f>
        <v>0</v>
      </c>
      <c r="I39" s="268"/>
      <c r="J39" s="218">
        <f>[0]!SCDA048000col_HEALTH_ELECT_CHG</f>
        <v>0</v>
      </c>
      <c r="K39" s="218">
        <f>[0]!SCDA048000col_TOT_VB_ELECT_CHG</f>
        <v>0</v>
      </c>
      <c r="L39" s="219">
        <f>SUM(J39:K39)</f>
        <v>0</v>
      </c>
    </row>
    <row r="40" spans="1:12" x14ac:dyDescent="0.25">
      <c r="A40" s="404" t="s">
        <v>30</v>
      </c>
      <c r="B40" s="405"/>
      <c r="C40" s="217"/>
      <c r="D40" s="220">
        <f>SUM(D37:D39)</f>
        <v>45.819999999999993</v>
      </c>
      <c r="E40" s="221">
        <f>SUM(E37:E39)</f>
        <v>3527617.09</v>
      </c>
      <c r="F40" s="221">
        <f>SUM(F37:F39)</f>
        <v>536133</v>
      </c>
      <c r="G40" s="221">
        <f>SUM(G37:G39)</f>
        <v>744568.35200670001</v>
      </c>
      <c r="H40" s="219">
        <f>SUM(E40:G40)</f>
        <v>4808318.4420066997</v>
      </c>
      <c r="I40" s="268"/>
      <c r="J40" s="219">
        <f>SUM(J37:J39)</f>
        <v>0</v>
      </c>
      <c r="K40" s="219">
        <f>SUM(K37:K39)</f>
        <v>-18296.829044000002</v>
      </c>
      <c r="L40" s="219">
        <f>SUM(L37:L39)</f>
        <v>-18296.829044000002</v>
      </c>
    </row>
    <row r="41" spans="1:12" x14ac:dyDescent="0.2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"&amp;'SCDA|0480-00'!FiscalYear-1</f>
        <v>FY 2022</v>
      </c>
      <c r="B42" s="158" t="s">
        <v>31</v>
      </c>
      <c r="C42" s="355">
        <v>5309200</v>
      </c>
      <c r="D42" s="55">
        <v>52.3</v>
      </c>
      <c r="E42" s="223">
        <f>IF('SCDA|0480-00'!OrigApprop=0,0,(E40/H40)*'SCDA|0480-00'!OrigApprop)</f>
        <v>3895088.2476102659</v>
      </c>
      <c r="F42" s="223">
        <f>IF('SCDA|0480-00'!OrigApprop=0,0,(F40/H40)*'SCDA|0480-00'!OrigApprop)</f>
        <v>591981.86599556205</v>
      </c>
      <c r="G42" s="223">
        <f>IF(E42=0,0,(G40/H40)*'SCDA|0480-00'!OrigApprop)</f>
        <v>822129.88639417232</v>
      </c>
      <c r="H42" s="223">
        <f>SUM(E42:G42)</f>
        <v>5309200</v>
      </c>
      <c r="I42" s="268"/>
      <c r="J42" s="224"/>
      <c r="K42" s="224"/>
      <c r="L42" s="224"/>
    </row>
    <row r="43" spans="1:12" x14ac:dyDescent="0.25">
      <c r="A43" s="422" t="s">
        <v>32</v>
      </c>
      <c r="B43" s="423"/>
      <c r="C43" s="160" t="s">
        <v>33</v>
      </c>
      <c r="D43" s="161">
        <f>D42-D40</f>
        <v>6.480000000000004</v>
      </c>
      <c r="E43" s="162">
        <f>E42-E40</f>
        <v>367471.157610266</v>
      </c>
      <c r="F43" s="162">
        <f>F42-F40</f>
        <v>55848.865995562053</v>
      </c>
      <c r="G43" s="162">
        <f>G42-G40</f>
        <v>77561.534387472318</v>
      </c>
      <c r="H43" s="162">
        <f>H42-H40</f>
        <v>500881.55799330026</v>
      </c>
      <c r="I43" s="269"/>
      <c r="J43" s="56" t="str">
        <f>IF('SCDA|0480-00'!OrigApprop=0,"ERROR! Enter Original Appropriation amount in DU 3.00!","Calculated "&amp;IF('SCDA|0480-00'!AdjustedTotal&gt;0,"overfunding ","underfunding ")&amp;"is "&amp;TEXT('SCDA|0480-00'!AdjustedTotal/'SCDA|0480-00'!AppropTotal,"#.0%;(#.0% );0% ;")&amp;" of Original Appropriation")</f>
        <v>Calculated overfunding is 9.4% of Original Appropriation</v>
      </c>
      <c r="K43" s="163"/>
      <c r="L43" s="164"/>
    </row>
  </sheetData>
  <mergeCells count="28">
    <mergeCell ref="A38:B38"/>
    <mergeCell ref="A39:B39"/>
    <mergeCell ref="A40:B40"/>
    <mergeCell ref="A43:B43"/>
    <mergeCell ref="A28:B28"/>
    <mergeCell ref="A29:B29"/>
    <mergeCell ref="A32:B32"/>
    <mergeCell ref="A35:B35"/>
    <mergeCell ref="A36:B36"/>
    <mergeCell ref="A37:B37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7:B7"/>
    <mergeCell ref="A2:B2"/>
    <mergeCell ref="A3:B3"/>
    <mergeCell ref="A4:B4"/>
    <mergeCell ref="A5:B5"/>
    <mergeCell ref="A6:B6"/>
  </mergeCells>
  <conditionalFormatting sqref="J10">
    <cfRule type="expression" dxfId="3" priority="4">
      <formula>$J$16&lt;0</formula>
    </cfRule>
  </conditionalFormatting>
  <conditionalFormatting sqref="J21">
    <cfRule type="expression" dxfId="2" priority="3">
      <formula>$J$16&lt;0</formula>
    </cfRule>
  </conditionalFormatting>
  <conditionalFormatting sqref="J32">
    <cfRule type="expression" dxfId="1" priority="2">
      <formula>$J$16&lt;0</formula>
    </cfRule>
  </conditionalFormatting>
  <conditionalFormatting sqref="J43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State Controller&amp;R&amp;"Arial"&amp;10 Agency 140</oddHeader>
    <oddFooter>&amp;L&amp;"Arial"&amp;10 B6:Summary by Program, by Fund&amp;R&amp;"Arial"&amp;10 FY 2022 Request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4" t="s">
        <v>768</v>
      </c>
      <c r="G5" s="474"/>
      <c r="H5" s="475" t="s">
        <v>766</v>
      </c>
      <c r="I5" s="474" t="s">
        <v>769</v>
      </c>
      <c r="J5" s="474"/>
      <c r="K5" s="475" t="s">
        <v>767</v>
      </c>
      <c r="L5" s="474" t="s">
        <v>770</v>
      </c>
      <c r="M5" s="474"/>
    </row>
    <row r="6" spans="1:13" ht="15.75" x14ac:dyDescent="0.2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25">
      <c r="A7" s="391" t="s">
        <v>771</v>
      </c>
      <c r="D7" s="250"/>
    </row>
    <row r="8" spans="1:13" x14ac:dyDescent="0.25">
      <c r="C8" t="s">
        <v>745</v>
      </c>
      <c r="D8" s="250"/>
      <c r="E8" s="401">
        <f>Data!AS187</f>
        <v>42.454999999999998</v>
      </c>
      <c r="F8" s="401">
        <f>Data!AT187</f>
        <v>2625498.3299999996</v>
      </c>
      <c r="G8" s="401">
        <f>Data!AU187</f>
        <v>1011886.9099999999</v>
      </c>
      <c r="H8" s="401">
        <f>Data!AV187</f>
        <v>2942458.3499999996</v>
      </c>
      <c r="I8" s="401">
        <f>Data!AW187</f>
        <v>496639.5</v>
      </c>
      <c r="J8" s="401">
        <f>Data!AX187</f>
        <v>617663.89608850004</v>
      </c>
      <c r="K8" s="401">
        <f>Data!AY187</f>
        <v>2942458.3499999996</v>
      </c>
      <c r="L8" s="401">
        <f>Data!AZ187</f>
        <v>496639.5</v>
      </c>
      <c r="M8" s="401">
        <f>Data!BA187</f>
        <v>602939.14049850008</v>
      </c>
    </row>
    <row r="9" spans="1:13" x14ac:dyDescent="0.25">
      <c r="B9" t="s">
        <v>772</v>
      </c>
      <c r="D9" s="250"/>
      <c r="E9" s="402">
        <f>Data!AS188</f>
        <v>42.454999999999998</v>
      </c>
      <c r="F9" s="402">
        <f>Data!AT188</f>
        <v>2625498.3299999996</v>
      </c>
      <c r="G9" s="402">
        <f>Data!AU188</f>
        <v>1011886.9099999999</v>
      </c>
      <c r="H9" s="402">
        <f>Data!AV188</f>
        <v>2942458.3499999996</v>
      </c>
      <c r="I9" s="402">
        <f>Data!AW188</f>
        <v>496639.5</v>
      </c>
      <c r="J9" s="402">
        <f>Data!AX188</f>
        <v>617663.89608850004</v>
      </c>
      <c r="K9" s="402">
        <f>Data!AY188</f>
        <v>2942458.3499999996</v>
      </c>
      <c r="L9" s="402">
        <f>Data!AZ188</f>
        <v>496639.5</v>
      </c>
      <c r="M9" s="402">
        <f>Data!BA188</f>
        <v>602939.14049850008</v>
      </c>
    </row>
    <row r="10" spans="1:13" x14ac:dyDescent="0.25">
      <c r="C10" t="s">
        <v>762</v>
      </c>
      <c r="D10" s="250"/>
      <c r="E10" s="401">
        <f>Data!AS189</f>
        <v>45.819999999999993</v>
      </c>
      <c r="F10" s="401">
        <f>Data!AT189</f>
        <v>3427704.6899999995</v>
      </c>
      <c r="G10" s="401">
        <f>Data!AU189</f>
        <v>1220216.1400000001</v>
      </c>
      <c r="H10" s="401">
        <f>Data!AV189</f>
        <v>3518620.9699999997</v>
      </c>
      <c r="I10" s="401">
        <f>Data!AW189</f>
        <v>536133</v>
      </c>
      <c r="J10" s="401">
        <f>Data!AX189</f>
        <v>739297.45200669998</v>
      </c>
      <c r="K10" s="401">
        <f>Data!AY189</f>
        <v>3518620.9699999997</v>
      </c>
      <c r="L10" s="401">
        <f>Data!AZ189</f>
        <v>536133</v>
      </c>
      <c r="M10" s="401">
        <f>Data!BA189</f>
        <v>721000.62296270009</v>
      </c>
    </row>
    <row r="11" spans="1:13" x14ac:dyDescent="0.25">
      <c r="B11" t="s">
        <v>773</v>
      </c>
      <c r="D11" s="250"/>
      <c r="E11" s="402">
        <f>Data!AS190</f>
        <v>45.819999999999993</v>
      </c>
      <c r="F11" s="402">
        <f>Data!AT190</f>
        <v>3427704.6899999995</v>
      </c>
      <c r="G11" s="402">
        <f>Data!AU190</f>
        <v>1220216.1400000001</v>
      </c>
      <c r="H11" s="402">
        <f>Data!AV190</f>
        <v>3518620.9699999997</v>
      </c>
      <c r="I11" s="402">
        <f>Data!AW190</f>
        <v>536133</v>
      </c>
      <c r="J11" s="402">
        <f>Data!AX190</f>
        <v>739297.45200669998</v>
      </c>
      <c r="K11" s="402">
        <f>Data!AY190</f>
        <v>3518620.9699999997</v>
      </c>
      <c r="L11" s="402">
        <f>Data!AZ190</f>
        <v>536133</v>
      </c>
      <c r="M11" s="402">
        <f>Data!BA190</f>
        <v>721000.62296270009</v>
      </c>
    </row>
    <row r="12" spans="1:13" x14ac:dyDescent="0.25">
      <c r="D12" s="250"/>
      <c r="E12" s="401">
        <f>Data!AS191</f>
        <v>0</v>
      </c>
      <c r="F12" s="401">
        <f>Data!AT191</f>
        <v>0</v>
      </c>
      <c r="G12" s="401">
        <f>Data!AU191</f>
        <v>0</v>
      </c>
      <c r="H12" s="401">
        <f>Data!AV191</f>
        <v>0</v>
      </c>
      <c r="I12" s="401">
        <f>Data!AW191</f>
        <v>0</v>
      </c>
      <c r="J12" s="401">
        <f>Data!AX191</f>
        <v>0</v>
      </c>
      <c r="K12" s="401">
        <f>Data!AY191</f>
        <v>0</v>
      </c>
      <c r="L12" s="401">
        <f>Data!AZ191</f>
        <v>0</v>
      </c>
      <c r="M12" s="401">
        <f>Data!BA191</f>
        <v>0</v>
      </c>
    </row>
    <row r="13" spans="1:13" x14ac:dyDescent="0.25">
      <c r="A13" s="395" t="s">
        <v>774</v>
      </c>
      <c r="D13" s="250"/>
      <c r="E13" s="403">
        <f>Data!AS192</f>
        <v>88.274999999999991</v>
      </c>
      <c r="F13" s="403">
        <f>Data!AT192</f>
        <v>6053203.0199999996</v>
      </c>
      <c r="G13" s="403">
        <f>Data!AU192</f>
        <v>2232103.0499999998</v>
      </c>
      <c r="H13" s="403">
        <f>Data!AV192</f>
        <v>6461079.3199999994</v>
      </c>
      <c r="I13" s="403">
        <f>Data!AW192</f>
        <v>1032772.5</v>
      </c>
      <c r="J13" s="403">
        <f>Data!AX192</f>
        <v>1356961.3480952</v>
      </c>
      <c r="K13" s="403">
        <f>Data!AY192</f>
        <v>6461079.3199999994</v>
      </c>
      <c r="L13" s="403">
        <f>Data!AZ192</f>
        <v>1032772.5</v>
      </c>
      <c r="M13" s="403">
        <f>Data!BA192</f>
        <v>1323939.7634612001</v>
      </c>
    </row>
    <row r="14" spans="1:13" x14ac:dyDescent="0.25">
      <c r="E14" s="401">
        <f>Data!AS193</f>
        <v>0</v>
      </c>
      <c r="F14" s="401">
        <f>Data!AT193</f>
        <v>0</v>
      </c>
      <c r="G14" s="401">
        <f>Data!AU193</f>
        <v>0</v>
      </c>
      <c r="H14" s="401">
        <f>Data!AV193</f>
        <v>0</v>
      </c>
      <c r="I14" s="401">
        <f>Data!AW193</f>
        <v>0</v>
      </c>
      <c r="J14" s="401">
        <f>Data!AX193</f>
        <v>0</v>
      </c>
      <c r="K14" s="401">
        <f>Data!AY193</f>
        <v>0</v>
      </c>
      <c r="L14" s="401">
        <f>Data!AZ193</f>
        <v>0</v>
      </c>
      <c r="M14" s="401">
        <f>Data!BA193</f>
        <v>0</v>
      </c>
    </row>
    <row r="15" spans="1:13" x14ac:dyDescent="0.25">
      <c r="A15" s="391" t="s">
        <v>775</v>
      </c>
      <c r="E15" s="401">
        <f>Data!AS194</f>
        <v>0</v>
      </c>
      <c r="F15" s="401">
        <f>Data!AT194</f>
        <v>0</v>
      </c>
      <c r="G15" s="401">
        <f>Data!AU194</f>
        <v>0</v>
      </c>
      <c r="H15" s="401">
        <f>Data!AV194</f>
        <v>0</v>
      </c>
      <c r="I15" s="401">
        <f>Data!AW194</f>
        <v>0</v>
      </c>
      <c r="J15" s="401">
        <f>Data!AX194</f>
        <v>0</v>
      </c>
      <c r="K15" s="401">
        <f>Data!AY194</f>
        <v>0</v>
      </c>
      <c r="L15" s="401">
        <f>Data!AZ194</f>
        <v>0</v>
      </c>
      <c r="M15" s="401">
        <f>Data!BA194</f>
        <v>0</v>
      </c>
    </row>
    <row r="16" spans="1:13" x14ac:dyDescent="0.25">
      <c r="C16" t="s">
        <v>745</v>
      </c>
      <c r="E16" s="401">
        <f>Data!AS195</f>
        <v>0</v>
      </c>
      <c r="F16" s="401">
        <f>Data!AT195</f>
        <v>30322.43</v>
      </c>
      <c r="G16" s="401">
        <f>Data!AU195</f>
        <v>9878.19</v>
      </c>
      <c r="H16" s="401">
        <f>Data!AV195</f>
        <v>30322.43</v>
      </c>
      <c r="I16" s="401">
        <f>Data!AW195</f>
        <v>0</v>
      </c>
      <c r="J16" s="401">
        <f>Data!AX195</f>
        <v>9878.19</v>
      </c>
      <c r="K16" s="401">
        <f>Data!AY195</f>
        <v>30322.43</v>
      </c>
      <c r="L16" s="401">
        <f>Data!AZ195</f>
        <v>0</v>
      </c>
      <c r="M16" s="401">
        <f>Data!BA195</f>
        <v>9878.19</v>
      </c>
    </row>
    <row r="17" spans="1:13" x14ac:dyDescent="0.25">
      <c r="B17" t="s">
        <v>772</v>
      </c>
      <c r="E17" s="402">
        <f>Data!AS196</f>
        <v>0</v>
      </c>
      <c r="F17" s="402">
        <f>Data!AT196</f>
        <v>30322.43</v>
      </c>
      <c r="G17" s="402">
        <f>Data!AU196</f>
        <v>9878.19</v>
      </c>
      <c r="H17" s="402">
        <f>Data!AV196</f>
        <v>30322.43</v>
      </c>
      <c r="I17" s="402">
        <f>Data!AW196</f>
        <v>0</v>
      </c>
      <c r="J17" s="402">
        <f>Data!AX196</f>
        <v>9878.19</v>
      </c>
      <c r="K17" s="402">
        <f>Data!AY196</f>
        <v>30322.43</v>
      </c>
      <c r="L17" s="402">
        <f>Data!AZ196</f>
        <v>0</v>
      </c>
      <c r="M17" s="402">
        <f>Data!BA196</f>
        <v>9878.19</v>
      </c>
    </row>
    <row r="18" spans="1:13" x14ac:dyDescent="0.25">
      <c r="C18" t="s">
        <v>762</v>
      </c>
      <c r="E18" s="401">
        <f>Data!AS197</f>
        <v>0</v>
      </c>
      <c r="F18" s="401">
        <f>Data!AT197</f>
        <v>8996.1200000000008</v>
      </c>
      <c r="G18" s="401">
        <f>Data!AU197</f>
        <v>5270.9000000000005</v>
      </c>
      <c r="H18" s="401">
        <f>Data!AV197</f>
        <v>8996.1200000000008</v>
      </c>
      <c r="I18" s="401">
        <f>Data!AW197</f>
        <v>0</v>
      </c>
      <c r="J18" s="401">
        <f>Data!AX197</f>
        <v>5270.9000000000005</v>
      </c>
      <c r="K18" s="401">
        <f>Data!AY197</f>
        <v>8996.1200000000008</v>
      </c>
      <c r="L18" s="401">
        <f>Data!AZ197</f>
        <v>0</v>
      </c>
      <c r="M18" s="401">
        <f>Data!BA197</f>
        <v>5270.9000000000005</v>
      </c>
    </row>
    <row r="19" spans="1:13" x14ac:dyDescent="0.25">
      <c r="B19" t="s">
        <v>773</v>
      </c>
      <c r="E19" s="402">
        <f>Data!AS198</f>
        <v>0</v>
      </c>
      <c r="F19" s="402">
        <f>Data!AT198</f>
        <v>8996.1200000000008</v>
      </c>
      <c r="G19" s="402">
        <f>Data!AU198</f>
        <v>5270.9000000000005</v>
      </c>
      <c r="H19" s="402">
        <f>Data!AV198</f>
        <v>8996.1200000000008</v>
      </c>
      <c r="I19" s="402">
        <f>Data!AW198</f>
        <v>0</v>
      </c>
      <c r="J19" s="402">
        <f>Data!AX198</f>
        <v>5270.9000000000005</v>
      </c>
      <c r="K19" s="402">
        <f>Data!AY198</f>
        <v>8996.1200000000008</v>
      </c>
      <c r="L19" s="402">
        <f>Data!AZ198</f>
        <v>0</v>
      </c>
      <c r="M19" s="402">
        <f>Data!BA198</f>
        <v>5270.9000000000005</v>
      </c>
    </row>
    <row r="20" spans="1:13" x14ac:dyDescent="0.25">
      <c r="E20" s="401">
        <f>Data!AS199</f>
        <v>0</v>
      </c>
      <c r="F20" s="401">
        <f>Data!AT199</f>
        <v>0</v>
      </c>
      <c r="G20" s="401">
        <f>Data!AU199</f>
        <v>0</v>
      </c>
      <c r="H20" s="401">
        <f>Data!AV199</f>
        <v>0</v>
      </c>
      <c r="I20" s="401">
        <f>Data!AW199</f>
        <v>0</v>
      </c>
      <c r="J20" s="401">
        <f>Data!AX199</f>
        <v>0</v>
      </c>
      <c r="K20" s="401">
        <f>Data!AY199</f>
        <v>0</v>
      </c>
      <c r="L20" s="401">
        <f>Data!AZ199</f>
        <v>0</v>
      </c>
      <c r="M20" s="401">
        <f>Data!BA199</f>
        <v>0</v>
      </c>
    </row>
    <row r="21" spans="1:13" x14ac:dyDescent="0.25">
      <c r="A21" s="395" t="s">
        <v>776</v>
      </c>
      <c r="E21" s="403">
        <f>Data!AS200</f>
        <v>0</v>
      </c>
      <c r="F21" s="403">
        <f>Data!AT200</f>
        <v>39318.550000000003</v>
      </c>
      <c r="G21" s="403">
        <f>Data!AU200</f>
        <v>15149.09</v>
      </c>
      <c r="H21" s="403">
        <f>Data!AV200</f>
        <v>39318.550000000003</v>
      </c>
      <c r="I21" s="403">
        <f>Data!AW200</f>
        <v>0</v>
      </c>
      <c r="J21" s="403">
        <f>Data!AX200</f>
        <v>15149.09</v>
      </c>
      <c r="K21" s="403">
        <f>Data!AY200</f>
        <v>39318.550000000003</v>
      </c>
      <c r="L21" s="403">
        <f>Data!AZ200</f>
        <v>0</v>
      </c>
      <c r="M21" s="403">
        <f>Data!BA200</f>
        <v>15149.09</v>
      </c>
    </row>
    <row r="22" spans="1:13" x14ac:dyDescent="0.25">
      <c r="E22" s="401">
        <f>Data!AS201</f>
        <v>0</v>
      </c>
      <c r="F22" s="401">
        <f>Data!AT201</f>
        <v>0</v>
      </c>
      <c r="G22" s="401">
        <f>Data!AU201</f>
        <v>0</v>
      </c>
      <c r="H22" s="401">
        <f>Data!AV201</f>
        <v>0</v>
      </c>
      <c r="I22" s="401">
        <f>Data!AW201</f>
        <v>0</v>
      </c>
      <c r="J22" s="401">
        <f>Data!AX201</f>
        <v>0</v>
      </c>
      <c r="K22" s="401">
        <f>Data!AY201</f>
        <v>0</v>
      </c>
      <c r="L22" s="401">
        <f>Data!AZ201</f>
        <v>0</v>
      </c>
      <c r="M22" s="401">
        <f>Data!BA201</f>
        <v>0</v>
      </c>
    </row>
    <row r="23" spans="1:13" x14ac:dyDescent="0.25">
      <c r="A23" s="396" t="s">
        <v>777</v>
      </c>
      <c r="E23" s="399">
        <f>Data!AS202</f>
        <v>88.274999999999991</v>
      </c>
      <c r="F23" s="400">
        <f>Data!AT202</f>
        <v>6092521.5699999994</v>
      </c>
      <c r="G23" s="400">
        <f>Data!AU202</f>
        <v>2247252.1399999997</v>
      </c>
      <c r="H23" s="400">
        <f>Data!AV202</f>
        <v>6500397.8699999992</v>
      </c>
      <c r="I23" s="400">
        <f>Data!AW202</f>
        <v>1032772.5</v>
      </c>
      <c r="J23" s="400">
        <f>Data!AX202</f>
        <v>1372110.4380952001</v>
      </c>
      <c r="K23" s="400">
        <f>Data!AY202</f>
        <v>6500397.8699999992</v>
      </c>
      <c r="L23" s="400">
        <f>Data!AZ202</f>
        <v>1032772.5</v>
      </c>
      <c r="M23" s="400">
        <f>Data!BA202</f>
        <v>1339088.8534612001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State Controller&amp;R&amp;"Arial"&amp;10 Agency 140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732</vt:i4>
      </vt:variant>
    </vt:vector>
  </HeadingPairs>
  <TitlesOfParts>
    <vt:vector size="741" baseType="lpstr">
      <vt:lpstr>SCAA|0001-00</vt:lpstr>
      <vt:lpstr>SCBA|0001-00</vt:lpstr>
      <vt:lpstr>SCCA|0001-00</vt:lpstr>
      <vt:lpstr>SCDA|0480-00</vt:lpstr>
      <vt:lpstr>Data</vt:lpstr>
      <vt:lpstr>Benefits</vt:lpstr>
      <vt:lpstr>B6</vt:lpstr>
      <vt:lpstr>Summary</vt:lpstr>
      <vt:lpstr>FundSummary</vt:lpstr>
      <vt:lpstr>'SCAA|0001-00'!AdjGroupHlth</vt:lpstr>
      <vt:lpstr>'SCBA|0001-00'!AdjGroupHlth</vt:lpstr>
      <vt:lpstr>'SCCA|0001-00'!AdjGroupHlth</vt:lpstr>
      <vt:lpstr>'SCDA|0480-00'!AdjGroupHlth</vt:lpstr>
      <vt:lpstr>AdjGroupHlth</vt:lpstr>
      <vt:lpstr>'SCAA|0001-00'!AdjGroupSalary</vt:lpstr>
      <vt:lpstr>'SCBA|0001-00'!AdjGroupSalary</vt:lpstr>
      <vt:lpstr>'SCCA|0001-00'!AdjGroupSalary</vt:lpstr>
      <vt:lpstr>'SCDA|0480-00'!AdjGroupSalary</vt:lpstr>
      <vt:lpstr>AdjGroupSalary</vt:lpstr>
      <vt:lpstr>'SCAA|0001-00'!AdjGroupVB</vt:lpstr>
      <vt:lpstr>'SCBA|0001-00'!AdjGroupVB</vt:lpstr>
      <vt:lpstr>'SCCA|0001-00'!AdjGroupVB</vt:lpstr>
      <vt:lpstr>'SCDA|0480-00'!AdjGroupVB</vt:lpstr>
      <vt:lpstr>AdjGroupVB</vt:lpstr>
      <vt:lpstr>'SCAA|0001-00'!AdjGroupVBBY</vt:lpstr>
      <vt:lpstr>'SCBA|0001-00'!AdjGroupVBBY</vt:lpstr>
      <vt:lpstr>'SCCA|0001-00'!AdjGroupVBBY</vt:lpstr>
      <vt:lpstr>'SCDA|0480-00'!AdjGroupVBBY</vt:lpstr>
      <vt:lpstr>AdjGroupVBBY</vt:lpstr>
      <vt:lpstr>'SCAA|0001-00'!AdjPermHlth</vt:lpstr>
      <vt:lpstr>'SCBA|0001-00'!AdjPermHlth</vt:lpstr>
      <vt:lpstr>'SCCA|0001-00'!AdjPermHlth</vt:lpstr>
      <vt:lpstr>'SCDA|0480-00'!AdjPermHlth</vt:lpstr>
      <vt:lpstr>AdjPermHlth</vt:lpstr>
      <vt:lpstr>'SCAA|0001-00'!AdjPermHlthBY</vt:lpstr>
      <vt:lpstr>'SCBA|0001-00'!AdjPermHlthBY</vt:lpstr>
      <vt:lpstr>'SCCA|0001-00'!AdjPermHlthBY</vt:lpstr>
      <vt:lpstr>'SCDA|0480-00'!AdjPermHlthBY</vt:lpstr>
      <vt:lpstr>AdjPermHlthBY</vt:lpstr>
      <vt:lpstr>'SCAA|0001-00'!AdjPermSalary</vt:lpstr>
      <vt:lpstr>'SCBA|0001-00'!AdjPermSalary</vt:lpstr>
      <vt:lpstr>'SCCA|0001-00'!AdjPermSalary</vt:lpstr>
      <vt:lpstr>'SCDA|0480-00'!AdjPermSalary</vt:lpstr>
      <vt:lpstr>AdjPermSalary</vt:lpstr>
      <vt:lpstr>'SCAA|0001-00'!AdjPermVB</vt:lpstr>
      <vt:lpstr>'SCBA|0001-00'!AdjPermVB</vt:lpstr>
      <vt:lpstr>'SCCA|0001-00'!AdjPermVB</vt:lpstr>
      <vt:lpstr>'SCDA|0480-00'!AdjPermVB</vt:lpstr>
      <vt:lpstr>AdjPermVB</vt:lpstr>
      <vt:lpstr>'SCAA|0001-00'!AdjPermVBBY</vt:lpstr>
      <vt:lpstr>'SCBA|0001-00'!AdjPermVBBY</vt:lpstr>
      <vt:lpstr>'SCCA|0001-00'!AdjPermVBBY</vt:lpstr>
      <vt:lpstr>'SCDA|0480-00'!AdjPermVBBY</vt:lpstr>
      <vt:lpstr>AdjPermVBBY</vt:lpstr>
      <vt:lpstr>'SCAA|0001-00'!AdjustedTotal</vt:lpstr>
      <vt:lpstr>'SCBA|0001-00'!AdjustedTotal</vt:lpstr>
      <vt:lpstr>'SCCA|0001-00'!AdjustedTotal</vt:lpstr>
      <vt:lpstr>'SCDA|0480-00'!AdjustedTotal</vt:lpstr>
      <vt:lpstr>AdjustedTotal</vt:lpstr>
      <vt:lpstr>'SCAA|0001-00'!AgencyNum</vt:lpstr>
      <vt:lpstr>'SCBA|0001-00'!AgencyNum</vt:lpstr>
      <vt:lpstr>'SCCA|0001-00'!AgencyNum</vt:lpstr>
      <vt:lpstr>'SCDA|0480-00'!AgencyNum</vt:lpstr>
      <vt:lpstr>AgencyNum</vt:lpstr>
      <vt:lpstr>'SCAA|0001-00'!AppropFTP</vt:lpstr>
      <vt:lpstr>'SCBA|0001-00'!AppropFTP</vt:lpstr>
      <vt:lpstr>'SCCA|0001-00'!AppropFTP</vt:lpstr>
      <vt:lpstr>'SCDA|0480-00'!AppropFTP</vt:lpstr>
      <vt:lpstr>AppropFTP</vt:lpstr>
      <vt:lpstr>'SCAA|0001-00'!AppropTotal</vt:lpstr>
      <vt:lpstr>'SCBA|0001-00'!AppropTotal</vt:lpstr>
      <vt:lpstr>'SCCA|0001-00'!AppropTotal</vt:lpstr>
      <vt:lpstr>'SCDA|0480-00'!AppropTotal</vt:lpstr>
      <vt:lpstr>AppropTotal</vt:lpstr>
      <vt:lpstr>'SCAA|0001-00'!AtZHealth</vt:lpstr>
      <vt:lpstr>'SCBA|0001-00'!AtZHealth</vt:lpstr>
      <vt:lpstr>'SCCA|0001-00'!AtZHealth</vt:lpstr>
      <vt:lpstr>'SCDA|0480-00'!AtZHealth</vt:lpstr>
      <vt:lpstr>AtZHealth</vt:lpstr>
      <vt:lpstr>'SCAA|0001-00'!AtZSalary</vt:lpstr>
      <vt:lpstr>'SCBA|0001-00'!AtZSalary</vt:lpstr>
      <vt:lpstr>'SCCA|0001-00'!AtZSalary</vt:lpstr>
      <vt:lpstr>'SCDA|0480-00'!AtZSalary</vt:lpstr>
      <vt:lpstr>AtZSalary</vt:lpstr>
      <vt:lpstr>'SCAA|0001-00'!AtZTotal</vt:lpstr>
      <vt:lpstr>'SCBA|0001-00'!AtZTotal</vt:lpstr>
      <vt:lpstr>'SCCA|0001-00'!AtZTotal</vt:lpstr>
      <vt:lpstr>'SCDA|0480-00'!AtZTotal</vt:lpstr>
      <vt:lpstr>AtZTotal</vt:lpstr>
      <vt:lpstr>'SCAA|0001-00'!AtZVarBen</vt:lpstr>
      <vt:lpstr>'SCBA|0001-00'!AtZVarBen</vt:lpstr>
      <vt:lpstr>'SCCA|0001-00'!AtZVarBen</vt:lpstr>
      <vt:lpstr>'SCDA|0480-00'!AtZVarBen</vt:lpstr>
      <vt:lpstr>AtZVarBen</vt:lpstr>
      <vt:lpstr>'SCAA|0001-00'!BudgetUnit</vt:lpstr>
      <vt:lpstr>'SCBA|0001-00'!BudgetUnit</vt:lpstr>
      <vt:lpstr>'SCCA|0001-00'!BudgetUnit</vt:lpstr>
      <vt:lpstr>'SCDA|0480-00'!BudgetUnit</vt:lpstr>
      <vt:lpstr>BudgetUnit</vt:lpstr>
      <vt:lpstr>BudgetYear</vt:lpstr>
      <vt:lpstr>CECGroup</vt:lpstr>
      <vt:lpstr>'SCAA|0001-00'!CECOrigElectSalary</vt:lpstr>
      <vt:lpstr>'SCBA|0001-00'!CECOrigElectSalary</vt:lpstr>
      <vt:lpstr>'SCCA|0001-00'!CECOrigElectSalary</vt:lpstr>
      <vt:lpstr>'SCDA|0480-00'!CECOrigElectSalary</vt:lpstr>
      <vt:lpstr>CECOrigElectSalary</vt:lpstr>
      <vt:lpstr>'SCAA|0001-00'!CECOrigElectVB</vt:lpstr>
      <vt:lpstr>'SCBA|0001-00'!CECOrigElectVB</vt:lpstr>
      <vt:lpstr>'SCCA|0001-00'!CECOrigElectVB</vt:lpstr>
      <vt:lpstr>'SCDA|0480-00'!CECOrigElectVB</vt:lpstr>
      <vt:lpstr>CECOrigElectVB</vt:lpstr>
      <vt:lpstr>'SCAA|0001-00'!CECOrigGroupSalary</vt:lpstr>
      <vt:lpstr>'SCBA|0001-00'!CECOrigGroupSalary</vt:lpstr>
      <vt:lpstr>'SCCA|0001-00'!CECOrigGroupSalary</vt:lpstr>
      <vt:lpstr>'SCDA|0480-00'!CECOrigGroupSalary</vt:lpstr>
      <vt:lpstr>CECOrigGroupSalary</vt:lpstr>
      <vt:lpstr>'SCAA|0001-00'!CECOrigGroupVB</vt:lpstr>
      <vt:lpstr>'SCBA|0001-00'!CECOrigGroupVB</vt:lpstr>
      <vt:lpstr>'SCCA|0001-00'!CECOrigGroupVB</vt:lpstr>
      <vt:lpstr>'SCDA|0480-00'!CECOrigGroupVB</vt:lpstr>
      <vt:lpstr>CECOrigGroupVB</vt:lpstr>
      <vt:lpstr>'SCAA|0001-00'!CECOrigPermSalary</vt:lpstr>
      <vt:lpstr>'SCBA|0001-00'!CECOrigPermSalary</vt:lpstr>
      <vt:lpstr>'SCCA|0001-00'!CECOrigPermSalary</vt:lpstr>
      <vt:lpstr>'SCDA|0480-00'!CECOrigPermSalary</vt:lpstr>
      <vt:lpstr>CECOrigPermSalary</vt:lpstr>
      <vt:lpstr>'SCAA|0001-00'!CECOrigPermVB</vt:lpstr>
      <vt:lpstr>'SCBA|0001-00'!CECOrigPermVB</vt:lpstr>
      <vt:lpstr>'SCCA|0001-00'!CECOrigPermVB</vt:lpstr>
      <vt:lpstr>'SCDA|0480-00'!CECOrigPermVB</vt:lpstr>
      <vt:lpstr>CECOrigPermVB</vt:lpstr>
      <vt:lpstr>CECPerm</vt:lpstr>
      <vt:lpstr>'SCAA|0001-00'!CECpermCalc</vt:lpstr>
      <vt:lpstr>'SCBA|0001-00'!CECpermCalc</vt:lpstr>
      <vt:lpstr>'SCCA|0001-00'!CECpermCalc</vt:lpstr>
      <vt:lpstr>'SCDA|0480-00'!CECpermCalc</vt:lpstr>
      <vt:lpstr>CECpermCalc</vt:lpstr>
      <vt:lpstr>'SCAA|0001-00'!Department</vt:lpstr>
      <vt:lpstr>'SCBA|0001-00'!Department</vt:lpstr>
      <vt:lpstr>'SCCA|0001-00'!Department</vt:lpstr>
      <vt:lpstr>'SCDA|0480-00'!Department</vt:lpstr>
      <vt:lpstr>Department</vt:lpstr>
      <vt:lpstr>DHR</vt:lpstr>
      <vt:lpstr>DHRBY</vt:lpstr>
      <vt:lpstr>DHRCHG</vt:lpstr>
      <vt:lpstr>'SCAA|0001-00'!Division</vt:lpstr>
      <vt:lpstr>'SCBA|0001-00'!Division</vt:lpstr>
      <vt:lpstr>'SCCA|0001-00'!Division</vt:lpstr>
      <vt:lpstr>'SCDA|0480-00'!Division</vt:lpstr>
      <vt:lpstr>Division</vt:lpstr>
      <vt:lpstr>'SCAA|0001-00'!DUCECElect</vt:lpstr>
      <vt:lpstr>'SCBA|0001-00'!DUCECElect</vt:lpstr>
      <vt:lpstr>'SCCA|0001-00'!DUCECElect</vt:lpstr>
      <vt:lpstr>'SCDA|0480-00'!DUCECElect</vt:lpstr>
      <vt:lpstr>DUCECElect</vt:lpstr>
      <vt:lpstr>'SCAA|0001-00'!DUCECGroup</vt:lpstr>
      <vt:lpstr>'SCBA|0001-00'!DUCECGroup</vt:lpstr>
      <vt:lpstr>'SCCA|0001-00'!DUCECGroup</vt:lpstr>
      <vt:lpstr>'SCDA|0480-00'!DUCECGroup</vt:lpstr>
      <vt:lpstr>DUCECGroup</vt:lpstr>
      <vt:lpstr>'SCAA|0001-00'!DUCECPerm</vt:lpstr>
      <vt:lpstr>'SCBA|0001-00'!DUCECPerm</vt:lpstr>
      <vt:lpstr>'SCCA|0001-00'!DUCECPerm</vt:lpstr>
      <vt:lpstr>'SCDA|0480-00'!DUCECPerm</vt:lpstr>
      <vt:lpstr>DUCECPerm</vt:lpstr>
      <vt:lpstr>'SCAA|0001-00'!DUEleven</vt:lpstr>
      <vt:lpstr>'SCBA|0001-00'!DUEleven</vt:lpstr>
      <vt:lpstr>'SCCA|0001-00'!DUEleven</vt:lpstr>
      <vt:lpstr>'SCDA|0480-00'!DUEleven</vt:lpstr>
      <vt:lpstr>DUEleven</vt:lpstr>
      <vt:lpstr>'SCAA|0001-00'!DUHealthBen</vt:lpstr>
      <vt:lpstr>'SCBA|0001-00'!DUHealthBen</vt:lpstr>
      <vt:lpstr>'SCCA|0001-00'!DUHealthBen</vt:lpstr>
      <vt:lpstr>'SCDA|0480-00'!DUHealthBen</vt:lpstr>
      <vt:lpstr>DUHealthBen</vt:lpstr>
      <vt:lpstr>'SCAA|0001-00'!DUNine</vt:lpstr>
      <vt:lpstr>'SCBA|0001-00'!DUNine</vt:lpstr>
      <vt:lpstr>'SCCA|0001-00'!DUNine</vt:lpstr>
      <vt:lpstr>'SCDA|0480-00'!DUNine</vt:lpstr>
      <vt:lpstr>DUNine</vt:lpstr>
      <vt:lpstr>'SCAA|0001-00'!DUThirteen</vt:lpstr>
      <vt:lpstr>'SCBA|0001-00'!DUThirteen</vt:lpstr>
      <vt:lpstr>'SCCA|0001-00'!DUThirteen</vt:lpstr>
      <vt:lpstr>'SCDA|0480-00'!DUThirteen</vt:lpstr>
      <vt:lpstr>DUThirteen</vt:lpstr>
      <vt:lpstr>'SCAA|0001-00'!DUVariableBen</vt:lpstr>
      <vt:lpstr>'SCBA|0001-00'!DUVariableBen</vt:lpstr>
      <vt:lpstr>'SCCA|0001-00'!DUVariableBen</vt:lpstr>
      <vt:lpstr>'SCDA|0480-00'!DUVariableBen</vt:lpstr>
      <vt:lpstr>DUVariableBen</vt:lpstr>
      <vt:lpstr>'SCAA|0001-00'!Elect_chg_health</vt:lpstr>
      <vt:lpstr>'SCBA|0001-00'!Elect_chg_health</vt:lpstr>
      <vt:lpstr>'SCCA|0001-00'!Elect_chg_health</vt:lpstr>
      <vt:lpstr>'SCDA|0480-00'!Elect_chg_health</vt:lpstr>
      <vt:lpstr>Elect_chg_health</vt:lpstr>
      <vt:lpstr>'SCAA|0001-00'!Elect_chg_Var</vt:lpstr>
      <vt:lpstr>'SCBA|0001-00'!Elect_chg_Var</vt:lpstr>
      <vt:lpstr>'SCCA|0001-00'!Elect_chg_Var</vt:lpstr>
      <vt:lpstr>'SCDA|0480-00'!Elect_chg_Var</vt:lpstr>
      <vt:lpstr>Elect_chg_Var</vt:lpstr>
      <vt:lpstr>'SCAA|0001-00'!elect_FTP</vt:lpstr>
      <vt:lpstr>'SCBA|0001-00'!elect_FTP</vt:lpstr>
      <vt:lpstr>'SCCA|0001-00'!elect_FTP</vt:lpstr>
      <vt:lpstr>'SCDA|0480-00'!elect_FTP</vt:lpstr>
      <vt:lpstr>elect_FTP</vt:lpstr>
      <vt:lpstr>'SCAA|0001-00'!Elect_health</vt:lpstr>
      <vt:lpstr>'SCBA|0001-00'!Elect_health</vt:lpstr>
      <vt:lpstr>'SCCA|0001-00'!Elect_health</vt:lpstr>
      <vt:lpstr>'SCDA|0480-00'!Elect_health</vt:lpstr>
      <vt:lpstr>Elect_health</vt:lpstr>
      <vt:lpstr>'SCAA|0001-00'!Elect_name</vt:lpstr>
      <vt:lpstr>'SCBA|0001-00'!Elect_name</vt:lpstr>
      <vt:lpstr>'SCCA|0001-00'!Elect_name</vt:lpstr>
      <vt:lpstr>'SCDA|0480-00'!Elect_name</vt:lpstr>
      <vt:lpstr>Elect_name</vt:lpstr>
      <vt:lpstr>'SCAA|0001-00'!Elect_salary</vt:lpstr>
      <vt:lpstr>'SCBA|0001-00'!Elect_salary</vt:lpstr>
      <vt:lpstr>'SCCA|0001-00'!Elect_salary</vt:lpstr>
      <vt:lpstr>'SCDA|0480-00'!Elect_salary</vt:lpstr>
      <vt:lpstr>Elect_salary</vt:lpstr>
      <vt:lpstr>'SCAA|0001-00'!Elect_Var</vt:lpstr>
      <vt:lpstr>'SCBA|0001-00'!Elect_Var</vt:lpstr>
      <vt:lpstr>'SCCA|0001-00'!Elect_Var</vt:lpstr>
      <vt:lpstr>'SCDA|0480-00'!Elect_Var</vt:lpstr>
      <vt:lpstr>Elect_Var</vt:lpstr>
      <vt:lpstr>'SCAA|0001-00'!Elect_VarBen</vt:lpstr>
      <vt:lpstr>'SCBA|0001-00'!Elect_VarBen</vt:lpstr>
      <vt:lpstr>'SCCA|0001-00'!Elect_VarBen</vt:lpstr>
      <vt:lpstr>'SCDA|0480-00'!Elect_VarBen</vt:lpstr>
      <vt:lpstr>Elect_VarBen</vt:lpstr>
      <vt:lpstr>ElectVB</vt:lpstr>
      <vt:lpstr>ElectVBBY</vt:lpstr>
      <vt:lpstr>ElectVBCHG</vt:lpstr>
      <vt:lpstr>FillRate_Avg</vt:lpstr>
      <vt:lpstr>'SCAA|0001-00'!FiscalYear</vt:lpstr>
      <vt:lpstr>'SCBA|0001-00'!FiscalYear</vt:lpstr>
      <vt:lpstr>'SCCA|0001-00'!FiscalYear</vt:lpstr>
      <vt:lpstr>'SCDA|0480-00'!FiscalYear</vt:lpstr>
      <vt:lpstr>FiscalYear</vt:lpstr>
      <vt:lpstr>'SCAA|0001-00'!FundName</vt:lpstr>
      <vt:lpstr>'SCBA|0001-00'!FundName</vt:lpstr>
      <vt:lpstr>'SCCA|0001-00'!FundName</vt:lpstr>
      <vt:lpstr>'SCDA|0480-00'!FundName</vt:lpstr>
      <vt:lpstr>FundName</vt:lpstr>
      <vt:lpstr>'SCAA|0001-00'!FundNum</vt:lpstr>
      <vt:lpstr>'SCBA|0001-00'!FundNum</vt:lpstr>
      <vt:lpstr>'SCCA|0001-00'!FundNum</vt:lpstr>
      <vt:lpstr>'SCDA|0480-00'!FundNum</vt:lpstr>
      <vt:lpstr>FundNum</vt:lpstr>
      <vt:lpstr>'SCAA|0001-00'!FundNumber</vt:lpstr>
      <vt:lpstr>'SCBA|0001-00'!FundNumber</vt:lpstr>
      <vt:lpstr>'SCCA|0001-00'!FundNumber</vt:lpstr>
      <vt:lpstr>'SCDA|0480-00'!FundNumber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'SCAA|0001-00'!Group_name</vt:lpstr>
      <vt:lpstr>'SCBA|0001-00'!Group_name</vt:lpstr>
      <vt:lpstr>'SCCA|0001-00'!Group_name</vt:lpstr>
      <vt:lpstr>'SCDA|0480-00'!Group_name</vt:lpstr>
      <vt:lpstr>Group_name</vt:lpstr>
      <vt:lpstr>'SCAA|0001-00'!GroupFxdBen</vt:lpstr>
      <vt:lpstr>'SCBA|0001-00'!GroupFxdBen</vt:lpstr>
      <vt:lpstr>'SCCA|0001-00'!GroupFxdBen</vt:lpstr>
      <vt:lpstr>'SCDA|0480-00'!GroupFxdBen</vt:lpstr>
      <vt:lpstr>GroupFxdBen</vt:lpstr>
      <vt:lpstr>'SCAA|0001-00'!GroupSalary</vt:lpstr>
      <vt:lpstr>'SCBA|0001-00'!GroupSalary</vt:lpstr>
      <vt:lpstr>'SCCA|0001-00'!GroupSalary</vt:lpstr>
      <vt:lpstr>'SCDA|0480-00'!GroupSalary</vt:lpstr>
      <vt:lpstr>GroupSalary</vt:lpstr>
      <vt:lpstr>'SCAA|0001-00'!GroupVarBen</vt:lpstr>
      <vt:lpstr>'SCBA|0001-00'!GroupVarBen</vt:lpstr>
      <vt:lpstr>'SCCA|0001-00'!GroupVarBen</vt:lpstr>
      <vt:lpstr>'SCDA|0480-00'!GroupVarBen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'SCAA|0001-00'!LUMAFund</vt:lpstr>
      <vt:lpstr>'SCBA|0001-00'!LUMAFund</vt:lpstr>
      <vt:lpstr>'SCCA|0001-00'!LUMAFund</vt:lpstr>
      <vt:lpstr>'SCDA|0480-00'!LUMAFund</vt:lpstr>
      <vt:lpstr>LUMAFund</vt:lpstr>
      <vt:lpstr>MAXSSDI</vt:lpstr>
      <vt:lpstr>MAXSSDIBY</vt:lpstr>
      <vt:lpstr>'SCAA|0001-00'!NEW_AdjGroup</vt:lpstr>
      <vt:lpstr>'SCBA|0001-00'!NEW_AdjGroup</vt:lpstr>
      <vt:lpstr>'SCCA|0001-00'!NEW_AdjGroup</vt:lpstr>
      <vt:lpstr>'SCDA|0480-00'!NEW_AdjGroup</vt:lpstr>
      <vt:lpstr>NEW_AdjGroup</vt:lpstr>
      <vt:lpstr>'SCAA|0001-00'!NEW_AdjGroupSalary</vt:lpstr>
      <vt:lpstr>'SCBA|0001-00'!NEW_AdjGroupSalary</vt:lpstr>
      <vt:lpstr>'SCCA|0001-00'!NEW_AdjGroupSalary</vt:lpstr>
      <vt:lpstr>'SCDA|0480-00'!NEW_AdjGroupSalary</vt:lpstr>
      <vt:lpstr>NEW_AdjGroupSalary</vt:lpstr>
      <vt:lpstr>'SCAA|0001-00'!NEW_AdjGroupVB</vt:lpstr>
      <vt:lpstr>'SCBA|0001-00'!NEW_AdjGroupVB</vt:lpstr>
      <vt:lpstr>'SCCA|0001-00'!NEW_AdjGroupVB</vt:lpstr>
      <vt:lpstr>'SCDA|0480-00'!NEW_AdjGroupVB</vt:lpstr>
      <vt:lpstr>NEW_AdjGroupVB</vt:lpstr>
      <vt:lpstr>'SCAA|0001-00'!NEW_AdjONLYGroup</vt:lpstr>
      <vt:lpstr>'SCBA|0001-00'!NEW_AdjONLYGroup</vt:lpstr>
      <vt:lpstr>'SCCA|0001-00'!NEW_AdjONLYGroup</vt:lpstr>
      <vt:lpstr>'SCDA|0480-00'!NEW_AdjONLYGroup</vt:lpstr>
      <vt:lpstr>NEW_AdjONLYGroup</vt:lpstr>
      <vt:lpstr>'SCAA|0001-00'!NEW_AdjONLYGroupSalary</vt:lpstr>
      <vt:lpstr>'SCBA|0001-00'!NEW_AdjONLYGroupSalary</vt:lpstr>
      <vt:lpstr>'SCCA|0001-00'!NEW_AdjONLYGroupSalary</vt:lpstr>
      <vt:lpstr>'SCDA|0480-00'!NEW_AdjONLYGroupSalary</vt:lpstr>
      <vt:lpstr>NEW_AdjONLYGroupSalary</vt:lpstr>
      <vt:lpstr>'SCAA|0001-00'!NEW_AdjONLYGroupVB</vt:lpstr>
      <vt:lpstr>'SCBA|0001-00'!NEW_AdjONLYGroupVB</vt:lpstr>
      <vt:lpstr>'SCCA|0001-00'!NEW_AdjONLYGroupVB</vt:lpstr>
      <vt:lpstr>'SCDA|0480-00'!NEW_AdjONLYGroupVB</vt:lpstr>
      <vt:lpstr>NEW_AdjONLYGroupVB</vt:lpstr>
      <vt:lpstr>'SCAA|0001-00'!NEW_AdjONLYPerm</vt:lpstr>
      <vt:lpstr>'SCBA|0001-00'!NEW_AdjONLYPerm</vt:lpstr>
      <vt:lpstr>'SCCA|0001-00'!NEW_AdjONLYPerm</vt:lpstr>
      <vt:lpstr>'SCDA|0480-00'!NEW_AdjONLYPerm</vt:lpstr>
      <vt:lpstr>NEW_AdjONLYPerm</vt:lpstr>
      <vt:lpstr>'SCAA|0001-00'!NEW_AdjONLYPermSalary</vt:lpstr>
      <vt:lpstr>'SCBA|0001-00'!NEW_AdjONLYPermSalary</vt:lpstr>
      <vt:lpstr>'SCCA|0001-00'!NEW_AdjONLYPermSalary</vt:lpstr>
      <vt:lpstr>'SCDA|0480-00'!NEW_AdjONLYPermSalary</vt:lpstr>
      <vt:lpstr>NEW_AdjONLYPermSalary</vt:lpstr>
      <vt:lpstr>'SCAA|0001-00'!NEW_AdjONLYPermVB</vt:lpstr>
      <vt:lpstr>'SCBA|0001-00'!NEW_AdjONLYPermVB</vt:lpstr>
      <vt:lpstr>'SCCA|0001-00'!NEW_AdjONLYPermVB</vt:lpstr>
      <vt:lpstr>'SCDA|0480-00'!NEW_AdjONLYPermVB</vt:lpstr>
      <vt:lpstr>NEW_AdjONLYPermVB</vt:lpstr>
      <vt:lpstr>'SCAA|0001-00'!NEW_AdjPerm</vt:lpstr>
      <vt:lpstr>'SCBA|0001-00'!NEW_AdjPerm</vt:lpstr>
      <vt:lpstr>'SCCA|0001-00'!NEW_AdjPerm</vt:lpstr>
      <vt:lpstr>'SCDA|0480-00'!NEW_AdjPerm</vt:lpstr>
      <vt:lpstr>NEW_AdjPerm</vt:lpstr>
      <vt:lpstr>'SCAA|0001-00'!NEW_AdjPermSalary</vt:lpstr>
      <vt:lpstr>'SCBA|0001-00'!NEW_AdjPermSalary</vt:lpstr>
      <vt:lpstr>'SCCA|0001-00'!NEW_AdjPermSalary</vt:lpstr>
      <vt:lpstr>'SCDA|0480-00'!NEW_AdjPermSalary</vt:lpstr>
      <vt:lpstr>NEW_AdjPermSalary</vt:lpstr>
      <vt:lpstr>'SCAA|0001-00'!NEW_AdjPermVB</vt:lpstr>
      <vt:lpstr>'SCBA|0001-00'!NEW_AdjPermVB</vt:lpstr>
      <vt:lpstr>'SCCA|0001-00'!NEW_AdjPermVB</vt:lpstr>
      <vt:lpstr>'SCDA|0480-00'!NEW_AdjPermVB</vt:lpstr>
      <vt:lpstr>NEW_AdjPermVB</vt:lpstr>
      <vt:lpstr>'SCAA|0001-00'!NEW_GroupFilled</vt:lpstr>
      <vt:lpstr>'SCBA|0001-00'!NEW_GroupFilled</vt:lpstr>
      <vt:lpstr>'SCCA|0001-00'!NEW_GroupFilled</vt:lpstr>
      <vt:lpstr>'SCDA|0480-00'!NEW_GroupFilled</vt:lpstr>
      <vt:lpstr>NEW_GroupFilled</vt:lpstr>
      <vt:lpstr>'SCAA|0001-00'!NEW_GroupSalaryFilled</vt:lpstr>
      <vt:lpstr>'SCBA|0001-00'!NEW_GroupSalaryFilled</vt:lpstr>
      <vt:lpstr>'SCCA|0001-00'!NEW_GroupSalaryFilled</vt:lpstr>
      <vt:lpstr>'SCDA|0480-00'!NEW_GroupSalaryFilled</vt:lpstr>
      <vt:lpstr>NEW_GroupSalaryFilled</vt:lpstr>
      <vt:lpstr>'SCAA|0001-00'!NEW_GroupVBFilled</vt:lpstr>
      <vt:lpstr>'SCBA|0001-00'!NEW_GroupVBFilled</vt:lpstr>
      <vt:lpstr>'SCCA|0001-00'!NEW_GroupVBFilled</vt:lpstr>
      <vt:lpstr>'SCDA|0480-00'!NEW_GroupVBFilled</vt:lpstr>
      <vt:lpstr>NEW_GroupVBFilled</vt:lpstr>
      <vt:lpstr>'SCAA|0001-00'!NEW_PermFilled</vt:lpstr>
      <vt:lpstr>'SCBA|0001-00'!NEW_PermFilled</vt:lpstr>
      <vt:lpstr>'SCCA|0001-00'!NEW_PermFilled</vt:lpstr>
      <vt:lpstr>'SCDA|0480-00'!NEW_PermFilled</vt:lpstr>
      <vt:lpstr>NEW_PermFilled</vt:lpstr>
      <vt:lpstr>'SCAA|0001-00'!NEW_PermSalaryFilled</vt:lpstr>
      <vt:lpstr>'SCBA|0001-00'!NEW_PermSalaryFilled</vt:lpstr>
      <vt:lpstr>'SCCA|0001-00'!NEW_PermSalaryFilled</vt:lpstr>
      <vt:lpstr>'SCDA|0480-00'!NEW_PermSalaryFilled</vt:lpstr>
      <vt:lpstr>NEW_PermSalaryFilled</vt:lpstr>
      <vt:lpstr>'SCAA|0001-00'!NEW_PermVBFilled</vt:lpstr>
      <vt:lpstr>'SCBA|0001-00'!NEW_PermVBFilled</vt:lpstr>
      <vt:lpstr>'SCCA|0001-00'!NEW_PermVBFilled</vt:lpstr>
      <vt:lpstr>'SCDA|0480-00'!NEW_PermVBFilled</vt:lpstr>
      <vt:lpstr>NEW_PermVBFilled</vt:lpstr>
      <vt:lpstr>'SCAA|0001-00'!OneTimePC_Total</vt:lpstr>
      <vt:lpstr>'SCBA|0001-00'!OneTimePC_Total</vt:lpstr>
      <vt:lpstr>'SCCA|0001-00'!OneTimePC_Total</vt:lpstr>
      <vt:lpstr>'SCDA|0480-00'!OneTimePC_Total</vt:lpstr>
      <vt:lpstr>OneTimePC_Total</vt:lpstr>
      <vt:lpstr>'SCAA|0001-00'!OrigApprop</vt:lpstr>
      <vt:lpstr>'SCBA|0001-00'!OrigApprop</vt:lpstr>
      <vt:lpstr>'SCCA|0001-00'!OrigApprop</vt:lpstr>
      <vt:lpstr>'SCDA|0480-00'!OrigApprop</vt:lpstr>
      <vt:lpstr>OrigApprop</vt:lpstr>
      <vt:lpstr>'SCAA|0001-00'!perm_name</vt:lpstr>
      <vt:lpstr>'SCBA|0001-00'!perm_name</vt:lpstr>
      <vt:lpstr>'SCCA|0001-00'!perm_name</vt:lpstr>
      <vt:lpstr>'SCDA|0480-00'!perm_name</vt:lpstr>
      <vt:lpstr>perm_name</vt:lpstr>
      <vt:lpstr>'SCAA|0001-00'!PermFTP</vt:lpstr>
      <vt:lpstr>'SCBA|0001-00'!PermFTP</vt:lpstr>
      <vt:lpstr>'SCCA|0001-00'!PermFTP</vt:lpstr>
      <vt:lpstr>'SCDA|0480-00'!PermFTP</vt:lpstr>
      <vt:lpstr>PermFTP</vt:lpstr>
      <vt:lpstr>'SCAA|0001-00'!PermFxdBen</vt:lpstr>
      <vt:lpstr>'SCBA|0001-00'!PermFxdBen</vt:lpstr>
      <vt:lpstr>'SCCA|0001-00'!PermFxdBen</vt:lpstr>
      <vt:lpstr>'SCDA|0480-00'!PermFxdBen</vt:lpstr>
      <vt:lpstr>PermFxdBen</vt:lpstr>
      <vt:lpstr>'SCAA|0001-00'!PermFxdBenChg</vt:lpstr>
      <vt:lpstr>'SCBA|0001-00'!PermFxdBenChg</vt:lpstr>
      <vt:lpstr>'SCCA|0001-00'!PermFxdBenChg</vt:lpstr>
      <vt:lpstr>'SCDA|0480-00'!PermFxdBenChg</vt:lpstr>
      <vt:lpstr>PermFxdBenChg</vt:lpstr>
      <vt:lpstr>'SCAA|0001-00'!PermFxdChg</vt:lpstr>
      <vt:lpstr>'SCBA|0001-00'!PermFxdChg</vt:lpstr>
      <vt:lpstr>'SCCA|0001-00'!PermFxdChg</vt:lpstr>
      <vt:lpstr>'SCDA|0480-00'!PermFxdChg</vt:lpstr>
      <vt:lpstr>PermFxdChg</vt:lpstr>
      <vt:lpstr>'SCAA|0001-00'!PermSalary</vt:lpstr>
      <vt:lpstr>'SCBA|0001-00'!PermSalary</vt:lpstr>
      <vt:lpstr>'SCCA|0001-00'!PermSalary</vt:lpstr>
      <vt:lpstr>'SCDA|0480-00'!PermSalary</vt:lpstr>
      <vt:lpstr>PermSalary</vt:lpstr>
      <vt:lpstr>'SCAA|0001-00'!PermVarBen</vt:lpstr>
      <vt:lpstr>'SCBA|0001-00'!PermVarBen</vt:lpstr>
      <vt:lpstr>'SCCA|0001-00'!PermVarBen</vt:lpstr>
      <vt:lpstr>'SCDA|0480-00'!PermVarBen</vt:lpstr>
      <vt:lpstr>PermVarBen</vt:lpstr>
      <vt:lpstr>'SCAA|0001-00'!PermVarBenChg</vt:lpstr>
      <vt:lpstr>'SCBA|0001-00'!PermVarBenChg</vt:lpstr>
      <vt:lpstr>'SCCA|0001-00'!PermVarBenChg</vt:lpstr>
      <vt:lpstr>'SCDA|0480-00'!PermVarBenChg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'SCAA|0001-00'!Print_Area</vt:lpstr>
      <vt:lpstr>'SCBA|0001-00'!Print_Area</vt:lpstr>
      <vt:lpstr>'SCCA|0001-00'!Print_Area</vt:lpstr>
      <vt:lpstr>'SCDA|0480-00'!Print_Area</vt:lpstr>
      <vt:lpstr>'SCAA|0001-00'!Prog_Unadjusted_Total</vt:lpstr>
      <vt:lpstr>'SCBA|0001-00'!Prog_Unadjusted_Total</vt:lpstr>
      <vt:lpstr>'SCCA|0001-00'!Prog_Unadjusted_Total</vt:lpstr>
      <vt:lpstr>'SCDA|0480-00'!Prog_Unadjusted_Total</vt:lpstr>
      <vt:lpstr>Prog_Unadjusted_Total</vt:lpstr>
      <vt:lpstr>'SCAA|0001-00'!Program</vt:lpstr>
      <vt:lpstr>'SCBA|0001-00'!Program</vt:lpstr>
      <vt:lpstr>'SCCA|0001-00'!Program</vt:lpstr>
      <vt:lpstr>'SCDA|0480-00'!Program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'SCAA|0001-00'!RoundedAppropSalary</vt:lpstr>
      <vt:lpstr>'SCBA|0001-00'!RoundedAppropSalary</vt:lpstr>
      <vt:lpstr>'SCCA|0001-00'!RoundedAppropSalary</vt:lpstr>
      <vt:lpstr>'SCDA|0480-00'!RoundedAppropSalary</vt:lpstr>
      <vt:lpstr>RoundedAppropSalary</vt:lpstr>
      <vt:lpstr>'SCAA|0001-00'!SalaryChg</vt:lpstr>
      <vt:lpstr>'SCBA|0001-00'!SalaryChg</vt:lpstr>
      <vt:lpstr>'SCCA|0001-00'!SalaryChg</vt:lpstr>
      <vt:lpstr>'SCDA|0480-00'!SalaryChg</vt:lpstr>
      <vt:lpstr>SalaryChg</vt:lpstr>
      <vt:lpstr>SCAA000100col_1_27TH_PP</vt:lpstr>
      <vt:lpstr>SCAA000100col_DHR</vt:lpstr>
      <vt:lpstr>SCAA000100col_DHR_BY</vt:lpstr>
      <vt:lpstr>SCAA000100col_DHR_CHG</vt:lpstr>
      <vt:lpstr>SCAA000100col_FTI_SALARY_ELECT</vt:lpstr>
      <vt:lpstr>SCAA000100col_FTI_SALARY_PERM</vt:lpstr>
      <vt:lpstr>SCAA000100col_FTI_SALARY_SSDI</vt:lpstr>
      <vt:lpstr>SCAA000100col_Group_Ben</vt:lpstr>
      <vt:lpstr>SCAA000100col_Group_Salary</vt:lpstr>
      <vt:lpstr>SCAA000100col_HEALTH_ELECT</vt:lpstr>
      <vt:lpstr>SCAA000100col_HEALTH_ELECT_BY</vt:lpstr>
      <vt:lpstr>SCAA000100col_HEALTH_ELECT_CHG</vt:lpstr>
      <vt:lpstr>SCAA000100col_HEALTH_PERM</vt:lpstr>
      <vt:lpstr>SCAA000100col_HEALTH_PERM_BY</vt:lpstr>
      <vt:lpstr>SCAA000100col_HEALTH_PERM_CHG</vt:lpstr>
      <vt:lpstr>SCAA000100col_INC_FTI</vt:lpstr>
      <vt:lpstr>SCAA000100col_LIFE_INS</vt:lpstr>
      <vt:lpstr>SCAA000100col_LIFE_INS_BY</vt:lpstr>
      <vt:lpstr>SCAA000100col_LIFE_INS_CHG</vt:lpstr>
      <vt:lpstr>SCAA000100col_RETIREMENT</vt:lpstr>
      <vt:lpstr>SCAA000100col_RETIREMENT_BY</vt:lpstr>
      <vt:lpstr>SCAA000100col_RETIREMENT_CHG</vt:lpstr>
      <vt:lpstr>SCAA000100col_ROWS_PER_PCN</vt:lpstr>
      <vt:lpstr>SCAA000100col_SICK</vt:lpstr>
      <vt:lpstr>SCAA000100col_SICK_BY</vt:lpstr>
      <vt:lpstr>SCAA000100col_SICK_CHG</vt:lpstr>
      <vt:lpstr>SCAA000100col_SSDI</vt:lpstr>
      <vt:lpstr>SCAA000100col_SSDI_BY</vt:lpstr>
      <vt:lpstr>SCAA000100col_SSDI_CHG</vt:lpstr>
      <vt:lpstr>SCAA000100col_SSHI</vt:lpstr>
      <vt:lpstr>SCAA000100col_SSHI_BY</vt:lpstr>
      <vt:lpstr>SCAA000100col_SSHI_CHGv</vt:lpstr>
      <vt:lpstr>SCAA000100col_TOT_VB_ELECT</vt:lpstr>
      <vt:lpstr>SCAA000100col_TOT_VB_ELECT_BY</vt:lpstr>
      <vt:lpstr>SCAA000100col_TOT_VB_ELECT_CHG</vt:lpstr>
      <vt:lpstr>SCAA000100col_TOT_VB_PERM</vt:lpstr>
      <vt:lpstr>SCAA000100col_TOT_VB_PERM_BY</vt:lpstr>
      <vt:lpstr>SCAA000100col_TOT_VB_PERM_CHG</vt:lpstr>
      <vt:lpstr>SCAA000100col_TOTAL_ELECT_PCN_FTI</vt:lpstr>
      <vt:lpstr>SCAA000100col_TOTAL_ELECT_PCN_FTI_ALT</vt:lpstr>
      <vt:lpstr>SCAA000100col_TOTAL_PERM_PCN_FTI</vt:lpstr>
      <vt:lpstr>SCAA000100col_UNEMP_INS</vt:lpstr>
      <vt:lpstr>SCAA000100col_UNEMP_INS_BY</vt:lpstr>
      <vt:lpstr>SCAA000100col_UNEMP_INS_CHG</vt:lpstr>
      <vt:lpstr>SCAA000100col_WORKERS_COMP</vt:lpstr>
      <vt:lpstr>SCAA000100col_WORKERS_COMP_BY</vt:lpstr>
      <vt:lpstr>SCAA000100col_WORKERS_COMP_CHG</vt:lpstr>
      <vt:lpstr>SCBA000100col_1_27TH_PP</vt:lpstr>
      <vt:lpstr>SCBA000100col_DHR</vt:lpstr>
      <vt:lpstr>SCBA000100col_DHR_BY</vt:lpstr>
      <vt:lpstr>SCBA000100col_DHR_CHG</vt:lpstr>
      <vt:lpstr>SCBA000100col_FTI_SALARY_ELECT</vt:lpstr>
      <vt:lpstr>SCBA000100col_FTI_SALARY_PERM</vt:lpstr>
      <vt:lpstr>SCBA000100col_FTI_SALARY_SSDI</vt:lpstr>
      <vt:lpstr>SCBA000100col_Group_Ben</vt:lpstr>
      <vt:lpstr>SCBA000100col_Group_Salary</vt:lpstr>
      <vt:lpstr>SCBA000100col_HEALTH_ELECT</vt:lpstr>
      <vt:lpstr>SCBA000100col_HEALTH_ELECT_BY</vt:lpstr>
      <vt:lpstr>SCBA000100col_HEALTH_ELECT_CHG</vt:lpstr>
      <vt:lpstr>SCBA000100col_HEALTH_PERM</vt:lpstr>
      <vt:lpstr>SCBA000100col_HEALTH_PERM_BY</vt:lpstr>
      <vt:lpstr>SCBA000100col_HEALTH_PERM_CHG</vt:lpstr>
      <vt:lpstr>SCBA000100col_INC_FTI</vt:lpstr>
      <vt:lpstr>SCBA000100col_LIFE_INS</vt:lpstr>
      <vt:lpstr>SCBA000100col_LIFE_INS_BY</vt:lpstr>
      <vt:lpstr>SCBA000100col_LIFE_INS_CHG</vt:lpstr>
      <vt:lpstr>SCBA000100col_RETIREMENT</vt:lpstr>
      <vt:lpstr>SCBA000100col_RETIREMENT_BY</vt:lpstr>
      <vt:lpstr>SCBA000100col_RETIREMENT_CHG</vt:lpstr>
      <vt:lpstr>SCBA000100col_ROWS_PER_PCN</vt:lpstr>
      <vt:lpstr>SCBA000100col_SICK</vt:lpstr>
      <vt:lpstr>SCBA000100col_SICK_BY</vt:lpstr>
      <vt:lpstr>SCBA000100col_SICK_CHG</vt:lpstr>
      <vt:lpstr>SCBA000100col_SSDI</vt:lpstr>
      <vt:lpstr>SCBA000100col_SSDI_BY</vt:lpstr>
      <vt:lpstr>SCBA000100col_SSDI_CHG</vt:lpstr>
      <vt:lpstr>SCBA000100col_SSHI</vt:lpstr>
      <vt:lpstr>SCBA000100col_SSHI_BY</vt:lpstr>
      <vt:lpstr>SCBA000100col_SSHI_CHGv</vt:lpstr>
      <vt:lpstr>SCBA000100col_TOT_VB_ELECT</vt:lpstr>
      <vt:lpstr>SCBA000100col_TOT_VB_ELECT_BY</vt:lpstr>
      <vt:lpstr>SCBA000100col_TOT_VB_ELECT_CHG</vt:lpstr>
      <vt:lpstr>SCBA000100col_TOT_VB_PERM</vt:lpstr>
      <vt:lpstr>SCBA000100col_TOT_VB_PERM_BY</vt:lpstr>
      <vt:lpstr>SCBA000100col_TOT_VB_PERM_CHG</vt:lpstr>
      <vt:lpstr>SCBA000100col_TOTAL_ELECT_PCN_FTI</vt:lpstr>
      <vt:lpstr>SCBA000100col_TOTAL_ELECT_PCN_FTI_ALT</vt:lpstr>
      <vt:lpstr>SCBA000100col_TOTAL_PERM_PCN_FTI</vt:lpstr>
      <vt:lpstr>SCBA000100col_UNEMP_INS</vt:lpstr>
      <vt:lpstr>SCBA000100col_UNEMP_INS_BY</vt:lpstr>
      <vt:lpstr>SCBA000100col_UNEMP_INS_CHG</vt:lpstr>
      <vt:lpstr>SCBA000100col_WORKERS_COMP</vt:lpstr>
      <vt:lpstr>SCBA000100col_WORKERS_COMP_BY</vt:lpstr>
      <vt:lpstr>SCBA000100col_WORKERS_COMP_CHG</vt:lpstr>
      <vt:lpstr>SCBI012600col_1_27TH_PP</vt:lpstr>
      <vt:lpstr>SCBI012600col_DHR</vt:lpstr>
      <vt:lpstr>SCBI012600col_DHR_BY</vt:lpstr>
      <vt:lpstr>SCBI012600col_DHR_CHG</vt:lpstr>
      <vt:lpstr>SCBI012600col_FTI_SALARY_ELECT</vt:lpstr>
      <vt:lpstr>SCBI012600col_FTI_SALARY_PERM</vt:lpstr>
      <vt:lpstr>SCBI012600col_FTI_SALARY_SSDI</vt:lpstr>
      <vt:lpstr>SCBI012600col_Group_Ben</vt:lpstr>
      <vt:lpstr>SCBI012600col_Group_Salary</vt:lpstr>
      <vt:lpstr>SCBI012600col_HEALTH_ELECT</vt:lpstr>
      <vt:lpstr>SCBI012600col_HEALTH_ELECT_BY</vt:lpstr>
      <vt:lpstr>SCBI012600col_HEALTH_ELECT_CHG</vt:lpstr>
      <vt:lpstr>SCBI012600col_HEALTH_PERM</vt:lpstr>
      <vt:lpstr>SCBI012600col_HEALTH_PERM_BY</vt:lpstr>
      <vt:lpstr>SCBI012600col_HEALTH_PERM_CHG</vt:lpstr>
      <vt:lpstr>SCBI012600col_INC_FTI</vt:lpstr>
      <vt:lpstr>SCBI012600col_LIFE_INS</vt:lpstr>
      <vt:lpstr>SCBI012600col_LIFE_INS_BY</vt:lpstr>
      <vt:lpstr>SCBI012600col_LIFE_INS_CHG</vt:lpstr>
      <vt:lpstr>SCBI012600col_RETIREMENT</vt:lpstr>
      <vt:lpstr>SCBI012600col_RETIREMENT_BY</vt:lpstr>
      <vt:lpstr>SCBI012600col_RETIREMENT_CHG</vt:lpstr>
      <vt:lpstr>SCBI012600col_ROWS_PER_PCN</vt:lpstr>
      <vt:lpstr>SCBI012600col_SICK</vt:lpstr>
      <vt:lpstr>SCBI012600col_SICK_BY</vt:lpstr>
      <vt:lpstr>SCBI012600col_SICK_CHG</vt:lpstr>
      <vt:lpstr>SCBI012600col_SSDI</vt:lpstr>
      <vt:lpstr>SCBI012600col_SSDI_BY</vt:lpstr>
      <vt:lpstr>SCBI012600col_SSDI_CHG</vt:lpstr>
      <vt:lpstr>SCBI012600col_SSHI</vt:lpstr>
      <vt:lpstr>SCBI012600col_SSHI_BY</vt:lpstr>
      <vt:lpstr>SCBI012600col_SSHI_CHGv</vt:lpstr>
      <vt:lpstr>SCBI012600col_TOT_VB_ELECT</vt:lpstr>
      <vt:lpstr>SCBI012600col_TOT_VB_ELECT_BY</vt:lpstr>
      <vt:lpstr>SCBI012600col_TOT_VB_ELECT_CHG</vt:lpstr>
      <vt:lpstr>SCBI012600col_TOT_VB_PERM</vt:lpstr>
      <vt:lpstr>SCBI012600col_TOT_VB_PERM_BY</vt:lpstr>
      <vt:lpstr>SCBI012600col_TOT_VB_PERM_CHG</vt:lpstr>
      <vt:lpstr>SCBI012600col_TOTAL_ELECT_PCN_FTI</vt:lpstr>
      <vt:lpstr>SCBI012600col_TOTAL_ELECT_PCN_FTI_ALT</vt:lpstr>
      <vt:lpstr>SCBI012600col_TOTAL_PERM_PCN_FTI</vt:lpstr>
      <vt:lpstr>SCBI012600col_UNEMP_INS</vt:lpstr>
      <vt:lpstr>SCBI012600col_UNEMP_INS_BY</vt:lpstr>
      <vt:lpstr>SCBI012600col_UNEMP_INS_CHG</vt:lpstr>
      <vt:lpstr>SCBI012600col_WORKERS_COMP</vt:lpstr>
      <vt:lpstr>SCBI012600col_WORKERS_COMP_BY</vt:lpstr>
      <vt:lpstr>SCBI012600col_WORKERS_COMP_CHG</vt:lpstr>
      <vt:lpstr>SCCA000100col_1_27TH_PP</vt:lpstr>
      <vt:lpstr>SCCA000100col_DHR</vt:lpstr>
      <vt:lpstr>SCCA000100col_DHR_BY</vt:lpstr>
      <vt:lpstr>SCCA000100col_DHR_CHG</vt:lpstr>
      <vt:lpstr>SCCA000100col_FTI_SALARY_ELECT</vt:lpstr>
      <vt:lpstr>SCCA000100col_FTI_SALARY_PERM</vt:lpstr>
      <vt:lpstr>SCCA000100col_FTI_SALARY_SSDI</vt:lpstr>
      <vt:lpstr>SCCA000100col_Group_Ben</vt:lpstr>
      <vt:lpstr>SCCA000100col_Group_Salary</vt:lpstr>
      <vt:lpstr>SCCA000100col_HEALTH_ELECT</vt:lpstr>
      <vt:lpstr>SCCA000100col_HEALTH_ELECT_BY</vt:lpstr>
      <vt:lpstr>SCCA000100col_HEALTH_ELECT_CHG</vt:lpstr>
      <vt:lpstr>SCCA000100col_HEALTH_PERM</vt:lpstr>
      <vt:lpstr>SCCA000100col_HEALTH_PERM_BY</vt:lpstr>
      <vt:lpstr>SCCA000100col_HEALTH_PERM_CHG</vt:lpstr>
      <vt:lpstr>SCCA000100col_INC_FTI</vt:lpstr>
      <vt:lpstr>SCCA000100col_LIFE_INS</vt:lpstr>
      <vt:lpstr>SCCA000100col_LIFE_INS_BY</vt:lpstr>
      <vt:lpstr>SCCA000100col_LIFE_INS_CHG</vt:lpstr>
      <vt:lpstr>SCCA000100col_RETIREMENT</vt:lpstr>
      <vt:lpstr>SCCA000100col_RETIREMENT_BY</vt:lpstr>
      <vt:lpstr>SCCA000100col_RETIREMENT_CHG</vt:lpstr>
      <vt:lpstr>SCCA000100col_ROWS_PER_PCN</vt:lpstr>
      <vt:lpstr>SCCA000100col_SICK</vt:lpstr>
      <vt:lpstr>SCCA000100col_SICK_BY</vt:lpstr>
      <vt:lpstr>SCCA000100col_SICK_CHG</vt:lpstr>
      <vt:lpstr>SCCA000100col_SSDI</vt:lpstr>
      <vt:lpstr>SCCA000100col_SSDI_BY</vt:lpstr>
      <vt:lpstr>SCCA000100col_SSDI_CHG</vt:lpstr>
      <vt:lpstr>SCCA000100col_SSHI</vt:lpstr>
      <vt:lpstr>SCCA000100col_SSHI_BY</vt:lpstr>
      <vt:lpstr>SCCA000100col_SSHI_CHGv</vt:lpstr>
      <vt:lpstr>SCCA000100col_TOT_VB_ELECT</vt:lpstr>
      <vt:lpstr>SCCA000100col_TOT_VB_ELECT_BY</vt:lpstr>
      <vt:lpstr>SCCA000100col_TOT_VB_ELECT_CHG</vt:lpstr>
      <vt:lpstr>SCCA000100col_TOT_VB_PERM</vt:lpstr>
      <vt:lpstr>SCCA000100col_TOT_VB_PERM_BY</vt:lpstr>
      <vt:lpstr>SCCA000100col_TOT_VB_PERM_CHG</vt:lpstr>
      <vt:lpstr>SCCA000100col_TOTAL_ELECT_PCN_FTI</vt:lpstr>
      <vt:lpstr>SCCA000100col_TOTAL_ELECT_PCN_FTI_ALT</vt:lpstr>
      <vt:lpstr>SCCA000100col_TOTAL_PERM_PCN_FTI</vt:lpstr>
      <vt:lpstr>SCCA000100col_UNEMP_INS</vt:lpstr>
      <vt:lpstr>SCCA000100col_UNEMP_INS_BY</vt:lpstr>
      <vt:lpstr>SCCA000100col_UNEMP_INS_CHG</vt:lpstr>
      <vt:lpstr>SCCA000100col_WORKERS_COMP</vt:lpstr>
      <vt:lpstr>SCCA000100col_WORKERS_COMP_BY</vt:lpstr>
      <vt:lpstr>SCCA000100col_WORKERS_COMP_CHG</vt:lpstr>
      <vt:lpstr>SCDA048000col_1_27TH_PP</vt:lpstr>
      <vt:lpstr>SCDA048000col_DHR</vt:lpstr>
      <vt:lpstr>SCDA048000col_DHR_BY</vt:lpstr>
      <vt:lpstr>SCDA048000col_DHR_CHG</vt:lpstr>
      <vt:lpstr>SCDA048000col_FTI_SALARY_ELECT</vt:lpstr>
      <vt:lpstr>SCDA048000col_FTI_SALARY_PERM</vt:lpstr>
      <vt:lpstr>SCDA048000col_FTI_SALARY_SSDI</vt:lpstr>
      <vt:lpstr>SCDA048000col_Group_Ben</vt:lpstr>
      <vt:lpstr>SCDA048000col_Group_Salary</vt:lpstr>
      <vt:lpstr>SCDA048000col_HEALTH_ELECT</vt:lpstr>
      <vt:lpstr>SCDA048000col_HEALTH_ELECT_BY</vt:lpstr>
      <vt:lpstr>SCDA048000col_HEALTH_ELECT_CHG</vt:lpstr>
      <vt:lpstr>SCDA048000col_HEALTH_PERM</vt:lpstr>
      <vt:lpstr>SCDA048000col_HEALTH_PERM_BY</vt:lpstr>
      <vt:lpstr>SCDA048000col_HEALTH_PERM_CHG</vt:lpstr>
      <vt:lpstr>SCDA048000col_INC_FTI</vt:lpstr>
      <vt:lpstr>SCDA048000col_LIFE_INS</vt:lpstr>
      <vt:lpstr>SCDA048000col_LIFE_INS_BY</vt:lpstr>
      <vt:lpstr>SCDA048000col_LIFE_INS_CHG</vt:lpstr>
      <vt:lpstr>SCDA048000col_RETIREMENT</vt:lpstr>
      <vt:lpstr>SCDA048000col_RETIREMENT_BY</vt:lpstr>
      <vt:lpstr>SCDA048000col_RETIREMENT_CHG</vt:lpstr>
      <vt:lpstr>SCDA048000col_ROWS_PER_PCN</vt:lpstr>
      <vt:lpstr>SCDA048000col_SICK</vt:lpstr>
      <vt:lpstr>SCDA048000col_SICK_BY</vt:lpstr>
      <vt:lpstr>SCDA048000col_SICK_CHG</vt:lpstr>
      <vt:lpstr>SCDA048000col_SSDI</vt:lpstr>
      <vt:lpstr>SCDA048000col_SSDI_BY</vt:lpstr>
      <vt:lpstr>SCDA048000col_SSDI_CHG</vt:lpstr>
      <vt:lpstr>SCDA048000col_SSHI</vt:lpstr>
      <vt:lpstr>SCDA048000col_SSHI_BY</vt:lpstr>
      <vt:lpstr>SCDA048000col_SSHI_CHGv</vt:lpstr>
      <vt:lpstr>SCDA048000col_TOT_VB_ELECT</vt:lpstr>
      <vt:lpstr>SCDA048000col_TOT_VB_ELECT_BY</vt:lpstr>
      <vt:lpstr>SCDA048000col_TOT_VB_ELECT_CHG</vt:lpstr>
      <vt:lpstr>SCDA048000col_TOT_VB_PERM</vt:lpstr>
      <vt:lpstr>SCDA048000col_TOT_VB_PERM_BY</vt:lpstr>
      <vt:lpstr>SCDA048000col_TOT_VB_PERM_CHG</vt:lpstr>
      <vt:lpstr>SCDA048000col_TOTAL_ELECT_PCN_FTI</vt:lpstr>
      <vt:lpstr>SCDA048000col_TOTAL_ELECT_PCN_FTI_ALT</vt:lpstr>
      <vt:lpstr>SCDA048000col_TOTAL_PERM_PCN_FTI</vt:lpstr>
      <vt:lpstr>SCDA048000col_UNEMP_INS</vt:lpstr>
      <vt:lpstr>SCDA048000col_UNEMP_INS_BY</vt:lpstr>
      <vt:lpstr>SCDA048000col_UNEMP_INS_CHG</vt:lpstr>
      <vt:lpstr>SCDA048000col_WORKERS_COMP</vt:lpstr>
      <vt:lpstr>SCDA048000col_WORKERS_COMP_BY</vt:lpstr>
      <vt:lpstr>SCDA048000col_WORKERS_COMP_CHG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150 B6</dc:title>
  <dc:subject>B6</dc:subject>
  <dc:creator>Shane Winslow</dc:creator>
  <cp:lastModifiedBy>Max Flom</cp:lastModifiedBy>
  <cp:lastPrinted>2019-06-21T15:46:35Z</cp:lastPrinted>
  <dcterms:created xsi:type="dcterms:W3CDTF">2013-05-01T19:55:41Z</dcterms:created>
  <dcterms:modified xsi:type="dcterms:W3CDTF">2021-07-15T21:02:43Z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