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inslow\AppData\Local\Temp\B6Run\FY2023\"/>
    </mc:Choice>
  </mc:AlternateContent>
  <xr:revisionPtr revIDLastSave="0" documentId="13_ncr:1_{89F304E9-C12E-4BFB-A21D-8B96F48EF847}" xr6:coauthVersionLast="45" xr6:coauthVersionMax="45" xr10:uidLastSave="{00000000-0000-0000-0000-000000000000}"/>
  <bookViews>
    <workbookView xWindow="4896" yWindow="1368" windowWidth="17280" windowHeight="8964" xr2:uid="{00000000-000D-0000-FFFF-FFFF00000000}"/>
  </bookViews>
  <sheets>
    <sheet name="TEAB|0001-00" sheetId="12" r:id="rId1"/>
    <sheet name="TEAB|0450-00" sheetId="13" r:id="rId2"/>
    <sheet name="TEAC|0450-00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AdjGroupHlth" localSheetId="0">'TEAB|0001-00'!$H$39</definedName>
    <definedName name="AdjGroupHlth" localSheetId="1">'TEAB|0450-00'!$H$39</definedName>
    <definedName name="AdjGroupHlth" localSheetId="2">'TEAC|0450-00'!$H$39</definedName>
    <definedName name="AdjGroupHlth">'B6'!$H$39</definedName>
    <definedName name="AdjGroupSalary" localSheetId="0">'TEAB|0001-00'!$G$39</definedName>
    <definedName name="AdjGroupSalary" localSheetId="1">'TEAB|0450-00'!$G$39</definedName>
    <definedName name="AdjGroupSalary" localSheetId="2">'TEAC|0450-00'!$G$39</definedName>
    <definedName name="AdjGroupSalary">'B6'!$G$39</definedName>
    <definedName name="AdjGroupVB" localSheetId="0">'TEAB|0001-00'!$I$39</definedName>
    <definedName name="AdjGroupVB" localSheetId="1">'TEAB|0450-00'!$I$39</definedName>
    <definedName name="AdjGroupVB" localSheetId="2">'TEAC|0450-00'!$I$39</definedName>
    <definedName name="AdjGroupVB">'B6'!$I$39</definedName>
    <definedName name="AdjGroupVBBY" localSheetId="0">'TEAB|0001-00'!$M$39</definedName>
    <definedName name="AdjGroupVBBY" localSheetId="1">'TEAB|0450-00'!$M$39</definedName>
    <definedName name="AdjGroupVBBY" localSheetId="2">'TEAC|0450-00'!$M$39</definedName>
    <definedName name="AdjGroupVBBY">'B6'!$M$39</definedName>
    <definedName name="AdjPermHlth" localSheetId="0">'TEAB|0001-00'!$H$38</definedName>
    <definedName name="AdjPermHlth" localSheetId="1">'TEAB|0450-00'!$H$38</definedName>
    <definedName name="AdjPermHlth" localSheetId="2">'TEAC|0450-00'!$H$38</definedName>
    <definedName name="AdjPermHlth">'B6'!$H$38</definedName>
    <definedName name="AdjPermHlthBY" localSheetId="0">'TEAB|0001-00'!$L$38</definedName>
    <definedName name="AdjPermHlthBY" localSheetId="1">'TEAB|0450-00'!$L$38</definedName>
    <definedName name="AdjPermHlthBY" localSheetId="2">'TEAC|0450-00'!$L$38</definedName>
    <definedName name="AdjPermHlthBY">'B6'!$L$38</definedName>
    <definedName name="AdjPermSalary" localSheetId="0">'TEAB|0001-00'!$G$38</definedName>
    <definedName name="AdjPermSalary" localSheetId="1">'TEAB|0450-00'!$G$38</definedName>
    <definedName name="AdjPermSalary" localSheetId="2">'TEAC|0450-00'!$G$38</definedName>
    <definedName name="AdjPermSalary">'B6'!$G$38</definedName>
    <definedName name="AdjPermVB" localSheetId="0">'TEAB|0001-00'!$I$38</definedName>
    <definedName name="AdjPermVB" localSheetId="1">'TEAB|0450-00'!$I$38</definedName>
    <definedName name="AdjPermVB" localSheetId="2">'TEAC|0450-00'!$I$38</definedName>
    <definedName name="AdjPermVB">'B6'!$I$38</definedName>
    <definedName name="AdjPermVBBY" localSheetId="0">'TEAB|0001-00'!$M$38</definedName>
    <definedName name="AdjPermVBBY" localSheetId="1">'TEAB|0450-00'!$M$38</definedName>
    <definedName name="AdjPermVBBY" localSheetId="2">'TEAC|0450-00'!$M$38</definedName>
    <definedName name="AdjPermVBBY">'B6'!$M$38</definedName>
    <definedName name="AdjustedTotal" localSheetId="0">'TEAB|0001-00'!$J$16</definedName>
    <definedName name="AdjustedTotal" localSheetId="1">'TEAB|0450-00'!$J$16</definedName>
    <definedName name="AdjustedTotal" localSheetId="2">'TEAC|0450-00'!$J$16</definedName>
    <definedName name="AdjustedTotal">'B6'!$J$16</definedName>
    <definedName name="AgencyNum" localSheetId="0">'TEAB|0001-00'!$M$1</definedName>
    <definedName name="AgencyNum" localSheetId="1">'TEAB|0450-00'!$M$1</definedName>
    <definedName name="AgencyNum" localSheetId="2">'TEAC|0450-00'!$M$1</definedName>
    <definedName name="AgencyNum">'B6'!$M$1</definedName>
    <definedName name="AppropFTP" localSheetId="0">'TEAB|0001-00'!$F$15</definedName>
    <definedName name="AppropFTP" localSheetId="1">'TEAB|0450-00'!$F$15</definedName>
    <definedName name="AppropFTP" localSheetId="2">'TEAC|0450-00'!$F$15</definedName>
    <definedName name="AppropFTP">'B6'!$F$15</definedName>
    <definedName name="AppropTotal" localSheetId="0">'TEAB|0001-00'!$J$15</definedName>
    <definedName name="AppropTotal" localSheetId="1">'TEAB|0450-00'!$J$15</definedName>
    <definedName name="AppropTotal" localSheetId="2">'TEAC|0450-00'!$J$15</definedName>
    <definedName name="AppropTotal">'B6'!$J$15</definedName>
    <definedName name="AtZHealth" localSheetId="0">'TEAB|0001-00'!$H$45</definedName>
    <definedName name="AtZHealth" localSheetId="1">'TEAB|0450-00'!$H$45</definedName>
    <definedName name="AtZHealth" localSheetId="2">'TEAC|0450-00'!$H$45</definedName>
    <definedName name="AtZHealth">'B6'!$H$45</definedName>
    <definedName name="AtZSalary" localSheetId="0">'TEAB|0001-00'!$G$45</definedName>
    <definedName name="AtZSalary" localSheetId="1">'TEAB|0450-00'!$G$45</definedName>
    <definedName name="AtZSalary" localSheetId="2">'TEAC|0450-00'!$G$45</definedName>
    <definedName name="AtZSalary">'B6'!$G$45</definedName>
    <definedName name="AtZTotal" localSheetId="0">'TEAB|0001-00'!$J$45</definedName>
    <definedName name="AtZTotal" localSheetId="1">'TEAB|0450-00'!$J$45</definedName>
    <definedName name="AtZTotal" localSheetId="2">'TEAC|0450-00'!$J$45</definedName>
    <definedName name="AtZTotal">'B6'!$J$45</definedName>
    <definedName name="AtZVarBen" localSheetId="0">'TEAB|0001-00'!$I$45</definedName>
    <definedName name="AtZVarBen" localSheetId="1">'TEAB|0450-00'!$I$45</definedName>
    <definedName name="AtZVarBen" localSheetId="2">'TEAC|0450-00'!$I$45</definedName>
    <definedName name="AtZVarBen">'B6'!$I$45</definedName>
    <definedName name="BudgetUnit" localSheetId="0">'TEAB|0001-00'!$M$3</definedName>
    <definedName name="BudgetUnit" localSheetId="1">'TEAB|0450-00'!$M$3</definedName>
    <definedName name="BudgetUnit" localSheetId="2">'TEAC|0450-00'!$M$3</definedName>
    <definedName name="BudgetUnit">'B6'!$M$3</definedName>
    <definedName name="BudgetYear">Benefits!$D$4</definedName>
    <definedName name="CECGroup">Benefits!$C$39</definedName>
    <definedName name="CECOrigElectSalary" localSheetId="0">'TEAB|0001-00'!$G$74</definedName>
    <definedName name="CECOrigElectSalary" localSheetId="1">'TEAB|0450-00'!$G$74</definedName>
    <definedName name="CECOrigElectSalary" localSheetId="2">'TEAC|0450-00'!$G$74</definedName>
    <definedName name="CECOrigElectSalary">'B6'!$G$74</definedName>
    <definedName name="CECOrigElectVB" localSheetId="0">'TEAB|0001-00'!$I$74</definedName>
    <definedName name="CECOrigElectVB" localSheetId="1">'TEAB|0450-00'!$I$74</definedName>
    <definedName name="CECOrigElectVB" localSheetId="2">'TEAC|0450-00'!$I$74</definedName>
    <definedName name="CECOrigElectVB">'B6'!$I$74</definedName>
    <definedName name="CECOrigGroupSalary" localSheetId="0">'TEAB|0001-00'!$G$73</definedName>
    <definedName name="CECOrigGroupSalary" localSheetId="1">'TEAB|0450-00'!$G$73</definedName>
    <definedName name="CECOrigGroupSalary" localSheetId="2">'TEAC|0450-00'!$G$73</definedName>
    <definedName name="CECOrigGroupSalary">'B6'!$G$73</definedName>
    <definedName name="CECOrigGroupVB" localSheetId="0">'TEAB|0001-00'!$I$73</definedName>
    <definedName name="CECOrigGroupVB" localSheetId="1">'TEAB|0450-00'!$I$73</definedName>
    <definedName name="CECOrigGroupVB" localSheetId="2">'TEAC|0450-00'!$I$73</definedName>
    <definedName name="CECOrigGroupVB">'B6'!$I$73</definedName>
    <definedName name="CECOrigPermSalary" localSheetId="0">'TEAB|0001-00'!$G$72</definedName>
    <definedName name="CECOrigPermSalary" localSheetId="1">'TEAB|0450-00'!$G$72</definedName>
    <definedName name="CECOrigPermSalary" localSheetId="2">'TEAC|0450-00'!$G$72</definedName>
    <definedName name="CECOrigPermSalary">'B6'!$G$72</definedName>
    <definedName name="CECOrigPermVB" localSheetId="0">'TEAB|0001-00'!$I$72</definedName>
    <definedName name="CECOrigPermVB" localSheetId="1">'TEAB|0450-00'!$I$72</definedName>
    <definedName name="CECOrigPermVB" localSheetId="2">'TEAC|0450-00'!$I$72</definedName>
    <definedName name="CECOrigPermVB">'B6'!$I$72</definedName>
    <definedName name="CECPerm">Benefits!$C$38</definedName>
    <definedName name="CECpermCalc" localSheetId="0">'TEAB|0001-00'!$E$72</definedName>
    <definedName name="CECpermCalc" localSheetId="1">'TEAB|0450-00'!$E$72</definedName>
    <definedName name="CECpermCalc" localSheetId="2">'TEAC|0450-00'!$E$72</definedName>
    <definedName name="CECpermCalc">'B6'!$E$72</definedName>
    <definedName name="Department" localSheetId="0">'TEAB|0001-00'!$D$1</definedName>
    <definedName name="Department" localSheetId="1">'TEAB|0450-00'!$D$1</definedName>
    <definedName name="Department" localSheetId="2">'TEAC|0450-00'!$D$1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'TEAB|0001-00'!$D$2</definedName>
    <definedName name="Division" localSheetId="1">'TEAB|0450-00'!$D$2</definedName>
    <definedName name="Division" localSheetId="2">'TEAC|0450-00'!$D$2</definedName>
    <definedName name="Division">'B6'!$D$2</definedName>
    <definedName name="DUCECElect" localSheetId="0">'TEAB|0001-00'!$J$74</definedName>
    <definedName name="DUCECElect" localSheetId="1">'TEAB|0450-00'!$J$74</definedName>
    <definedName name="DUCECElect" localSheetId="2">'TEAC|0450-00'!$J$74</definedName>
    <definedName name="DUCECElect">'B6'!$J$74</definedName>
    <definedName name="DUCECGroup" localSheetId="0">'TEAB|0001-00'!$J$73</definedName>
    <definedName name="DUCECGroup" localSheetId="1">'TEAB|0450-00'!$J$73</definedName>
    <definedName name="DUCECGroup" localSheetId="2">'TEAC|0450-00'!$J$73</definedName>
    <definedName name="DUCECGroup">'B6'!$J$73</definedName>
    <definedName name="DUCECPerm" localSheetId="0">'TEAB|0001-00'!$J$72</definedName>
    <definedName name="DUCECPerm" localSheetId="1">'TEAB|0450-00'!$J$72</definedName>
    <definedName name="DUCECPerm" localSheetId="2">'TEAC|0450-00'!$J$72</definedName>
    <definedName name="DUCECPerm">'B6'!$J$72</definedName>
    <definedName name="DUEleven" localSheetId="0">'TEAB|0001-00'!$J$75</definedName>
    <definedName name="DUEleven" localSheetId="1">'TEAB|0450-00'!$J$75</definedName>
    <definedName name="DUEleven" localSheetId="2">'TEAC|0450-00'!$J$75</definedName>
    <definedName name="DUEleven">'B6'!$J$75</definedName>
    <definedName name="DUHealthBen" localSheetId="0">'TEAB|0001-00'!$J$68</definedName>
    <definedName name="DUHealthBen" localSheetId="1">'TEAB|0450-00'!$J$68</definedName>
    <definedName name="DUHealthBen" localSheetId="2">'TEAC|0450-00'!$J$68</definedName>
    <definedName name="DUHealthBen">'B6'!$J$68</definedName>
    <definedName name="DUNine" localSheetId="0">'TEAB|0001-00'!$J$67</definedName>
    <definedName name="DUNine" localSheetId="1">'TEAB|0450-00'!$J$67</definedName>
    <definedName name="DUNine" localSheetId="2">'TEAC|0450-00'!$J$67</definedName>
    <definedName name="DUNine">'B6'!$J$67</definedName>
    <definedName name="DUThirteen" localSheetId="0">'TEAB|0001-00'!$J$80</definedName>
    <definedName name="DUThirteen" localSheetId="1">'TEAB|0450-00'!$J$80</definedName>
    <definedName name="DUThirteen" localSheetId="2">'TEAC|0450-00'!$J$80</definedName>
    <definedName name="DUThirteen">'B6'!$J$80</definedName>
    <definedName name="DUVariableBen" localSheetId="0">'TEAB|0001-00'!$J$69</definedName>
    <definedName name="DUVariableBen" localSheetId="1">'TEAB|0450-00'!$J$69</definedName>
    <definedName name="DUVariableBen" localSheetId="2">'TEAC|0450-00'!$J$69</definedName>
    <definedName name="DUVariableBen">'B6'!$J$69</definedName>
    <definedName name="Elect_chg_health" localSheetId="0">'TEAB|0001-00'!$L$12</definedName>
    <definedName name="Elect_chg_health" localSheetId="1">'TEAB|0450-00'!$L$12</definedName>
    <definedName name="Elect_chg_health" localSheetId="2">'TEAC|0450-00'!$L$12</definedName>
    <definedName name="Elect_chg_health">'B6'!$L$12</definedName>
    <definedName name="Elect_chg_Var" localSheetId="0">'TEAB|0001-00'!$M$12</definedName>
    <definedName name="Elect_chg_Var" localSheetId="1">'TEAB|0450-00'!$M$12</definedName>
    <definedName name="Elect_chg_Var" localSheetId="2">'TEAC|0450-00'!$M$12</definedName>
    <definedName name="Elect_chg_Var">'B6'!$M$12</definedName>
    <definedName name="elect_FTP" localSheetId="0">'TEAB|0001-00'!$F$12</definedName>
    <definedName name="elect_FTP" localSheetId="1">'TEAB|0450-00'!$F$12</definedName>
    <definedName name="elect_FTP" localSheetId="2">'TEAC|0450-00'!$F$12</definedName>
    <definedName name="elect_FTP">'B6'!$F$12</definedName>
    <definedName name="Elect_health" localSheetId="0">'TEAB|0001-00'!$H$12</definedName>
    <definedName name="Elect_health" localSheetId="1">'TEAB|0450-00'!$H$12</definedName>
    <definedName name="Elect_health" localSheetId="2">'TEAC|0450-00'!$H$12</definedName>
    <definedName name="Elect_health">'B6'!$H$12</definedName>
    <definedName name="Elect_name" localSheetId="0">'TEAB|0001-00'!$C$12</definedName>
    <definedName name="Elect_name" localSheetId="1">'TEAB|0450-00'!$C$12</definedName>
    <definedName name="Elect_name" localSheetId="2">'TEAC|0450-00'!$C$12</definedName>
    <definedName name="Elect_name">'B6'!$C$12</definedName>
    <definedName name="Elect_salary" localSheetId="0">'TEAB|0001-00'!$G$12</definedName>
    <definedName name="Elect_salary" localSheetId="1">'TEAB|0450-00'!$G$12</definedName>
    <definedName name="Elect_salary" localSheetId="2">'TEAC|0450-00'!$G$12</definedName>
    <definedName name="Elect_salary">'B6'!$G$12</definedName>
    <definedName name="Elect_Var" localSheetId="0">'TEAB|0001-00'!$I$12</definedName>
    <definedName name="Elect_Var" localSheetId="1">'TEAB|0450-00'!$I$12</definedName>
    <definedName name="Elect_Var" localSheetId="2">'TEAC|0450-00'!$I$12</definedName>
    <definedName name="Elect_Var">'B6'!$I$12</definedName>
    <definedName name="Elect_VarBen" localSheetId="0">'TEAB|0001-00'!$I$12</definedName>
    <definedName name="Elect_VarBen" localSheetId="1">'TEAB|0450-00'!$I$12</definedName>
    <definedName name="Elect_VarBen" localSheetId="2">'TEAC|0450-00'!$I$12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'TEAB|0001-00'!#REF!</definedName>
    <definedName name="FillRateAvg_B6" localSheetId="1">'TEAB|0450-00'!#REF!</definedName>
    <definedName name="FillRateAvg_B6" localSheetId="2">'TEAC|0450-00'!#REF!</definedName>
    <definedName name="FillRateAvg_B6">'B6'!#REF!</definedName>
    <definedName name="FiscalYear" localSheetId="0">'TEAB|0001-00'!$M$4</definedName>
    <definedName name="FiscalYear" localSheetId="1">'TEAB|0450-00'!$M$4</definedName>
    <definedName name="FiscalYear" localSheetId="2">'TEAC|0450-00'!$M$4</definedName>
    <definedName name="FiscalYear">'B6'!$M$4</definedName>
    <definedName name="FundName" localSheetId="0">'TEAB|0001-00'!$I$5</definedName>
    <definedName name="FundName" localSheetId="1">'TEAB|0450-00'!$I$5</definedName>
    <definedName name="FundName" localSheetId="2">'TEAC|0450-00'!$I$5</definedName>
    <definedName name="FundName">'B6'!$I$5</definedName>
    <definedName name="FundNum" localSheetId="0">'TEAB|0001-00'!$N$5</definedName>
    <definedName name="FundNum" localSheetId="1">'TEAB|0450-00'!$N$5</definedName>
    <definedName name="FundNum" localSheetId="2">'TEAC|0450-00'!$N$5</definedName>
    <definedName name="FundNum">'B6'!$N$5</definedName>
    <definedName name="FundNumber" localSheetId="0">'TEAB|0001-00'!$N$5</definedName>
    <definedName name="FundNumber" localSheetId="1">'TEAB|0450-00'!$N$5</definedName>
    <definedName name="FundNumber" localSheetId="2">'TEAC|0450-00'!$N$5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'TEAB|0001-00'!$C$11</definedName>
    <definedName name="Group_name" localSheetId="1">'TEAB|0450-00'!$C$11</definedName>
    <definedName name="Group_name" localSheetId="2">'TEAC|0450-00'!$C$11</definedName>
    <definedName name="Group_name">'B6'!$C$11</definedName>
    <definedName name="GroupFxdBen" localSheetId="0">'TEAB|0001-00'!$H$11</definedName>
    <definedName name="GroupFxdBen" localSheetId="1">'TEAB|0450-00'!$H$11</definedName>
    <definedName name="GroupFxdBen" localSheetId="2">'TEAC|0450-00'!$H$11</definedName>
    <definedName name="GroupFxdBen">'B6'!$H$11</definedName>
    <definedName name="GroupSalary" localSheetId="0">'TEAB|0001-00'!$G$11</definedName>
    <definedName name="GroupSalary" localSheetId="1">'TEAB|0450-00'!$G$11</definedName>
    <definedName name="GroupSalary" localSheetId="2">'TEAC|0450-00'!$G$11</definedName>
    <definedName name="GroupSalary">'B6'!$G$11</definedName>
    <definedName name="GroupVarBen" localSheetId="0">'TEAB|0001-00'!$I$11</definedName>
    <definedName name="GroupVarBen" localSheetId="1">'TEAB|0450-00'!$I$11</definedName>
    <definedName name="GroupVarBen" localSheetId="2">'TEAC|0450-00'!$I$11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'TEAB|0001-00'!$M$2</definedName>
    <definedName name="LUMAFund" localSheetId="1">'TEAB|0450-00'!$M$2</definedName>
    <definedName name="LUMAFund" localSheetId="2">'TEAC|0450-00'!$M$2</definedName>
    <definedName name="LUMAFund">'B6'!$M$2</definedName>
    <definedName name="MAXSSDI">Benefits!$F$5</definedName>
    <definedName name="MAXSSDIBY">Benefits!$G$5</definedName>
    <definedName name="NEW_AdjGroup" localSheetId="0">'TEAB|0001-00'!$AC$39</definedName>
    <definedName name="NEW_AdjGroup" localSheetId="1">'TEAB|0450-00'!$AC$39</definedName>
    <definedName name="NEW_AdjGroup" localSheetId="2">'TEAC|0450-00'!$AC$39</definedName>
    <definedName name="NEW_AdjGroup">'B6'!$AC$39</definedName>
    <definedName name="NEW_AdjGroupSalary" localSheetId="0">'TEAB|0001-00'!$AA$39</definedName>
    <definedName name="NEW_AdjGroupSalary" localSheetId="1">'TEAB|0450-00'!$AA$39</definedName>
    <definedName name="NEW_AdjGroupSalary" localSheetId="2">'TEAC|0450-00'!$AA$39</definedName>
    <definedName name="NEW_AdjGroupSalary">'B6'!$AA$39</definedName>
    <definedName name="NEW_AdjGroupVB" localSheetId="0">'TEAB|0001-00'!$AB$39</definedName>
    <definedName name="NEW_AdjGroupVB" localSheetId="1">'TEAB|0450-00'!$AB$39</definedName>
    <definedName name="NEW_AdjGroupVB" localSheetId="2">'TEAC|0450-00'!$AB$39</definedName>
    <definedName name="NEW_AdjGroupVB">'B6'!$AB$39</definedName>
    <definedName name="NEW_AdjONLYGroup" localSheetId="0">'TEAB|0001-00'!$AC$45</definedName>
    <definedName name="NEW_AdjONLYGroup" localSheetId="1">'TEAB|0450-00'!$AC$45</definedName>
    <definedName name="NEW_AdjONLYGroup" localSheetId="2">'TEAC|0450-00'!$AC$45</definedName>
    <definedName name="NEW_AdjONLYGroup">'B6'!$AC$45</definedName>
    <definedName name="NEW_AdjONLYGroupSalary" localSheetId="0">'TEAB|0001-00'!$AA$45</definedName>
    <definedName name="NEW_AdjONLYGroupSalary" localSheetId="1">'TEAB|0450-00'!$AA$45</definedName>
    <definedName name="NEW_AdjONLYGroupSalary" localSheetId="2">'TEAC|0450-00'!$AA$45</definedName>
    <definedName name="NEW_AdjONLYGroupSalary">'B6'!$AA$45</definedName>
    <definedName name="NEW_AdjONLYGroupVB" localSheetId="0">'TEAB|0001-00'!$AB$45</definedName>
    <definedName name="NEW_AdjONLYGroupVB" localSheetId="1">'TEAB|0450-00'!$AB$45</definedName>
    <definedName name="NEW_AdjONLYGroupVB" localSheetId="2">'TEAC|0450-00'!$AB$45</definedName>
    <definedName name="NEW_AdjONLYGroupVB">'B6'!$AB$45</definedName>
    <definedName name="NEW_AdjONLYPerm" localSheetId="0">'TEAB|0001-00'!$AC$44</definedName>
    <definedName name="NEW_AdjONLYPerm" localSheetId="1">'TEAB|0450-00'!$AC$44</definedName>
    <definedName name="NEW_AdjONLYPerm" localSheetId="2">'TEAC|0450-00'!$AC$44</definedName>
    <definedName name="NEW_AdjONLYPerm">'B6'!$AC$44</definedName>
    <definedName name="NEW_AdjONLYPermSalary" localSheetId="0">'TEAB|0001-00'!$AA$44</definedName>
    <definedName name="NEW_AdjONLYPermSalary" localSheetId="1">'TEAB|0450-00'!$AA$44</definedName>
    <definedName name="NEW_AdjONLYPermSalary" localSheetId="2">'TEAC|0450-00'!$AA$44</definedName>
    <definedName name="NEW_AdjONLYPermSalary">'B6'!$AA$44</definedName>
    <definedName name="NEW_AdjONLYPermVB" localSheetId="0">'TEAB|0001-00'!$AB$44</definedName>
    <definedName name="NEW_AdjONLYPermVB" localSheetId="1">'TEAB|0450-00'!$AB$44</definedName>
    <definedName name="NEW_AdjONLYPermVB" localSheetId="2">'TEAC|0450-00'!$AB$44</definedName>
    <definedName name="NEW_AdjONLYPermVB">'B6'!$AB$44</definedName>
    <definedName name="NEW_AdjPerm" localSheetId="0">'TEAB|0001-00'!$AC$38</definedName>
    <definedName name="NEW_AdjPerm" localSheetId="1">'TEAB|0450-00'!$AC$38</definedName>
    <definedName name="NEW_AdjPerm" localSheetId="2">'TEAC|0450-00'!$AC$38</definedName>
    <definedName name="NEW_AdjPerm">'B6'!$AC$38</definedName>
    <definedName name="NEW_AdjPermSalary" localSheetId="0">'TEAB|0001-00'!$AA$38</definedName>
    <definedName name="NEW_AdjPermSalary" localSheetId="1">'TEAB|0450-00'!$AA$38</definedName>
    <definedName name="NEW_AdjPermSalary" localSheetId="2">'TEAC|0450-00'!$AA$38</definedName>
    <definedName name="NEW_AdjPermSalary">'B6'!$AA$38</definedName>
    <definedName name="NEW_AdjPermVB" localSheetId="0">'TEAB|0001-00'!$AB$38</definedName>
    <definedName name="NEW_AdjPermVB" localSheetId="1">'TEAB|0450-00'!$AB$38</definedName>
    <definedName name="NEW_AdjPermVB" localSheetId="2">'TEAC|0450-00'!$AB$38</definedName>
    <definedName name="NEW_AdjPermVB">'B6'!$AB$38</definedName>
    <definedName name="NEW_GroupFilled" localSheetId="0">'TEAB|0001-00'!$AC$11</definedName>
    <definedName name="NEW_GroupFilled" localSheetId="1">'TEAB|0450-00'!$AC$11</definedName>
    <definedName name="NEW_GroupFilled" localSheetId="2">'TEAC|0450-00'!$AC$11</definedName>
    <definedName name="NEW_GroupFilled">'B6'!$AC$11</definedName>
    <definedName name="NEW_GroupSalaryFilled" localSheetId="0">'TEAB|0001-00'!$AA$11</definedName>
    <definedName name="NEW_GroupSalaryFilled" localSheetId="1">'TEAB|0450-00'!$AA$11</definedName>
    <definedName name="NEW_GroupSalaryFilled" localSheetId="2">'TEAC|0450-00'!$AA$11</definedName>
    <definedName name="NEW_GroupSalaryFilled">'B6'!$AA$11</definedName>
    <definedName name="NEW_GroupVBFilled" localSheetId="0">'TEAB|0001-00'!$AB$11</definedName>
    <definedName name="NEW_GroupVBFilled" localSheetId="1">'TEAB|0450-00'!$AB$11</definedName>
    <definedName name="NEW_GroupVBFilled" localSheetId="2">'TEAC|0450-00'!$AB$11</definedName>
    <definedName name="NEW_GroupVBFilled">'B6'!$AB$11</definedName>
    <definedName name="NEW_PermFilled" localSheetId="0">'TEAB|0001-00'!$AC$10</definedName>
    <definedName name="NEW_PermFilled" localSheetId="1">'TEAB|0450-00'!$AC$10</definedName>
    <definedName name="NEW_PermFilled" localSheetId="2">'TEAC|0450-00'!$AC$10</definedName>
    <definedName name="NEW_PermFilled">'B6'!$AC$10</definedName>
    <definedName name="NEW_PermSalaryFilled" localSheetId="0">'TEAB|0001-00'!$AA$10</definedName>
    <definedName name="NEW_PermSalaryFilled" localSheetId="1">'TEAB|0450-00'!$AA$10</definedName>
    <definedName name="NEW_PermSalaryFilled" localSheetId="2">'TEAC|0450-00'!$AA$10</definedName>
    <definedName name="NEW_PermSalaryFilled">'B6'!$AA$10</definedName>
    <definedName name="NEW_PermVBFilled" localSheetId="0">'TEAB|0001-00'!$AB$10</definedName>
    <definedName name="NEW_PermVBFilled" localSheetId="1">'TEAB|0450-00'!$AB$10</definedName>
    <definedName name="NEW_PermVBFilled" localSheetId="2">'TEAC|0450-00'!$AB$10</definedName>
    <definedName name="NEW_PermVBFilled">'B6'!$AB$10</definedName>
    <definedName name="OneTimePC_Total" localSheetId="0">'TEAB|0001-00'!$J$63</definedName>
    <definedName name="OneTimePC_Total" localSheetId="1">'TEAB|0450-00'!$J$63</definedName>
    <definedName name="OneTimePC_Total" localSheetId="2">'TEAC|0450-00'!$J$63</definedName>
    <definedName name="OneTimePC_Total">'B6'!$J$63</definedName>
    <definedName name="OrigApprop" localSheetId="0">'TEAB|0001-00'!$E$15</definedName>
    <definedName name="OrigApprop" localSheetId="1">'TEAB|0450-00'!$E$15</definedName>
    <definedName name="OrigApprop" localSheetId="2">'TEAC|0450-00'!$E$15</definedName>
    <definedName name="OrigApprop">'B6'!$E$15</definedName>
    <definedName name="perm_name" localSheetId="0">'TEAB|0001-00'!$C$10</definedName>
    <definedName name="perm_name" localSheetId="1">'TEAB|0450-00'!$C$10</definedName>
    <definedName name="perm_name" localSheetId="2">'TEAC|0450-00'!$C$10</definedName>
    <definedName name="perm_name">'B6'!$C$10</definedName>
    <definedName name="PermFTP" localSheetId="0">'TEAB|0001-00'!$F$10</definedName>
    <definedName name="PermFTP" localSheetId="1">'TEAB|0450-00'!$F$10</definedName>
    <definedName name="PermFTP" localSheetId="2">'TEAC|0450-00'!$F$10</definedName>
    <definedName name="PermFTP">'B6'!$F$10</definedName>
    <definedName name="PermFxdBen" localSheetId="0">'TEAB|0001-00'!$H$10</definedName>
    <definedName name="PermFxdBen" localSheetId="1">'TEAB|0450-00'!$H$10</definedName>
    <definedName name="PermFxdBen" localSheetId="2">'TEAC|0450-00'!$H$10</definedName>
    <definedName name="PermFxdBen">'B6'!$H$10</definedName>
    <definedName name="PermFxdBenChg" localSheetId="0">'TEAB|0001-00'!$L$10</definedName>
    <definedName name="PermFxdBenChg" localSheetId="1">'TEAB|0450-00'!$L$10</definedName>
    <definedName name="PermFxdBenChg" localSheetId="2">'TEAC|0450-00'!$L$10</definedName>
    <definedName name="PermFxdBenChg">'B6'!$L$10</definedName>
    <definedName name="PermFxdChg" localSheetId="0">'TEAB|0001-00'!$L$10</definedName>
    <definedName name="PermFxdChg" localSheetId="1">'TEAB|0450-00'!$L$10</definedName>
    <definedName name="PermFxdChg" localSheetId="2">'TEAC|0450-00'!$L$10</definedName>
    <definedName name="PermFxdChg">'B6'!$L$10</definedName>
    <definedName name="PermSalary" localSheetId="0">'TEAB|0001-00'!$G$10</definedName>
    <definedName name="PermSalary" localSheetId="1">'TEAB|0450-00'!$G$10</definedName>
    <definedName name="PermSalary" localSheetId="2">'TEAC|0450-00'!$G$10</definedName>
    <definedName name="PermSalary">'B6'!$G$10</definedName>
    <definedName name="PermVarBen" localSheetId="0">'TEAB|0001-00'!$I$10</definedName>
    <definedName name="PermVarBen" localSheetId="1">'TEAB|0450-00'!$I$10</definedName>
    <definedName name="PermVarBen" localSheetId="2">'TEAC|0450-00'!$I$10</definedName>
    <definedName name="PermVarBen">'B6'!$I$10</definedName>
    <definedName name="PermVarBenChg" localSheetId="0">'TEAB|0001-00'!$M$10</definedName>
    <definedName name="PermVarBenChg" localSheetId="1">'TEAB|0450-00'!$M$10</definedName>
    <definedName name="PermVarBenChg" localSheetId="2">'TEAC|0450-00'!$M$10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'TEAB|0001-00'!$A$1:$N$81</definedName>
    <definedName name="_xlnm.Print_Area" localSheetId="1">'TEAB|0450-00'!$A$1:$N$81</definedName>
    <definedName name="_xlnm.Print_Area" localSheetId="2">'TEAC|0450-00'!$A$1:$N$81</definedName>
    <definedName name="Prog_Unadjusted_Total" localSheetId="0">'TEAB|0001-00'!$C$8:$N$16</definedName>
    <definedName name="Prog_Unadjusted_Total" localSheetId="1">'TEAB|0450-00'!$C$8:$N$16</definedName>
    <definedName name="Prog_Unadjusted_Total" localSheetId="2">'TEAC|0450-00'!$C$8:$N$16</definedName>
    <definedName name="Prog_Unadjusted_Total">'B6'!$C$8:$N$16</definedName>
    <definedName name="Program" localSheetId="0">'TEAB|0001-00'!$D$3</definedName>
    <definedName name="Program" localSheetId="1">'TEAB|0450-00'!$D$3</definedName>
    <definedName name="Program" localSheetId="2">'TEAC|0450-00'!$D$3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'TEAB|0001-00'!$G$52</definedName>
    <definedName name="RoundedAppropSalary" localSheetId="1">'TEAB|0450-00'!$G$52</definedName>
    <definedName name="RoundedAppropSalary" localSheetId="2">'TEAC|0450-00'!$G$52</definedName>
    <definedName name="RoundedAppropSalary">'B6'!$G$52</definedName>
    <definedName name="SalaryChg" localSheetId="0">'TEAB|0001-00'!$K$10</definedName>
    <definedName name="SalaryChg" localSheetId="1">'TEAB|0450-00'!$K$10</definedName>
    <definedName name="SalaryChg" localSheetId="2">'TEAC|0450-00'!$K$10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'TEAB|0001-00'!#REF!</definedName>
    <definedName name="SubCECBase" localSheetId="1">'TEAB|0450-00'!#REF!</definedName>
    <definedName name="SubCECBase" localSheetId="2">'TEAC|0450-00'!#REF!</definedName>
    <definedName name="SubCECBase">'B6'!#REF!</definedName>
    <definedName name="TEAB000100col_1_27TH_PP">Data!$BA$174</definedName>
    <definedName name="TEAB000100col_DHR">Data!$BI$174</definedName>
    <definedName name="TEAB000100col_DHR_BY">Data!$BU$174</definedName>
    <definedName name="TEAB000100col_DHR_CHG">Data!$CG$174</definedName>
    <definedName name="TEAB000100col_FTI_SALARY_ELECT">Data!$AZ$174</definedName>
    <definedName name="TEAB000100col_FTI_SALARY_PERM">Data!$AY$174</definedName>
    <definedName name="TEAB000100col_FTI_SALARY_SSDI">Data!$AX$174</definedName>
    <definedName name="TEAB000100col_Group_Ben">Data!$CM$174</definedName>
    <definedName name="TEAB000100col_Group_Salary">Data!$CL$174</definedName>
    <definedName name="TEAB000100col_HEALTH_ELECT">Data!$BC$174</definedName>
    <definedName name="TEAB000100col_HEALTH_ELECT_BY">Data!$BO$174</definedName>
    <definedName name="TEAB000100col_HEALTH_ELECT_CHG">Data!$CA$174</definedName>
    <definedName name="TEAB000100col_HEALTH_PERM">Data!$BB$174</definedName>
    <definedName name="TEAB000100col_HEALTH_PERM_BY">Data!$BN$174</definedName>
    <definedName name="TEAB000100col_HEALTH_PERM_CHG">Data!$BZ$174</definedName>
    <definedName name="TEAB000100col_INC_FTI">Data!$AS$174</definedName>
    <definedName name="TEAB000100col_LIFE_INS">Data!$BG$174</definedName>
    <definedName name="TEAB000100col_LIFE_INS_BY">Data!$BS$174</definedName>
    <definedName name="TEAB000100col_LIFE_INS_CHG">Data!$CE$174</definedName>
    <definedName name="TEAB000100col_RETIREMENT">Data!$BF$174</definedName>
    <definedName name="TEAB000100col_RETIREMENT_BY">Data!$BR$174</definedName>
    <definedName name="TEAB000100col_RETIREMENT_CHG">Data!$CD$174</definedName>
    <definedName name="TEAB000100col_ROWS_PER_PCN">Data!$AW$174</definedName>
    <definedName name="TEAB000100col_SICK">Data!$BK$174</definedName>
    <definedName name="TEAB000100col_SICK_BY">Data!$BW$174</definedName>
    <definedName name="TEAB000100col_SICK_CHG">Data!$CI$174</definedName>
    <definedName name="TEAB000100col_SSDI">Data!$BD$174</definedName>
    <definedName name="TEAB000100col_SSDI_BY">Data!$BP$174</definedName>
    <definedName name="TEAB000100col_SSDI_CHG">Data!$CB$174</definedName>
    <definedName name="TEAB000100col_SSHI">Data!$BE$174</definedName>
    <definedName name="TEAB000100col_SSHI_BY">Data!$BQ$174</definedName>
    <definedName name="TEAB000100col_SSHI_CHGv">Data!$CC$174</definedName>
    <definedName name="TEAB000100col_TOT_VB_ELECT">Data!$BM$174</definedName>
    <definedName name="TEAB000100col_TOT_VB_ELECT_BY">Data!$BY$174</definedName>
    <definedName name="TEAB000100col_TOT_VB_ELECT_CHG">Data!$CK$174</definedName>
    <definedName name="TEAB000100col_TOT_VB_PERM">Data!$BL$174</definedName>
    <definedName name="TEAB000100col_TOT_VB_PERM_BY">Data!$BX$174</definedName>
    <definedName name="TEAB000100col_TOT_VB_PERM_CHG">Data!$CJ$174</definedName>
    <definedName name="TEAB000100col_TOTAL_ELECT_PCN_FTI">Data!$AT$174</definedName>
    <definedName name="TEAB000100col_TOTAL_ELECT_PCN_FTI_ALT">Data!$AV$174</definedName>
    <definedName name="TEAB000100col_TOTAL_PERM_PCN_FTI">Data!$AU$174</definedName>
    <definedName name="TEAB000100col_UNEMP_INS">Data!$BH$174</definedName>
    <definedName name="TEAB000100col_UNEMP_INS_BY">Data!$BT$174</definedName>
    <definedName name="TEAB000100col_UNEMP_INS_CHG">Data!$CF$174</definedName>
    <definedName name="TEAB000100col_WORKERS_COMP">Data!$BJ$174</definedName>
    <definedName name="TEAB000100col_WORKERS_COMP_BY">Data!$BV$174</definedName>
    <definedName name="TEAB000100col_WORKERS_COMP_CHG">Data!$CH$174</definedName>
    <definedName name="TEAB045000col_1_27TH_PP">Data!$BA$180</definedName>
    <definedName name="TEAB045000col_DHR">Data!$BI$180</definedName>
    <definedName name="TEAB045000col_DHR_BY">Data!$BU$180</definedName>
    <definedName name="TEAB045000col_DHR_CHG">Data!$CG$180</definedName>
    <definedName name="TEAB045000col_FTI_SALARY_ELECT">Data!$AZ$180</definedName>
    <definedName name="TEAB045000col_FTI_SALARY_PERM">Data!$AY$180</definedName>
    <definedName name="TEAB045000col_FTI_SALARY_SSDI">Data!$AX$180</definedName>
    <definedName name="TEAB045000col_Group_Ben">Data!$CM$180</definedName>
    <definedName name="TEAB045000col_Group_Salary">Data!$CL$180</definedName>
    <definedName name="TEAB045000col_HEALTH_ELECT">Data!$BC$180</definedName>
    <definedName name="TEAB045000col_HEALTH_ELECT_BY">Data!$BO$180</definedName>
    <definedName name="TEAB045000col_HEALTH_ELECT_CHG">Data!$CA$180</definedName>
    <definedName name="TEAB045000col_HEALTH_PERM">Data!$BB$180</definedName>
    <definedName name="TEAB045000col_HEALTH_PERM_BY">Data!$BN$180</definedName>
    <definedName name="TEAB045000col_HEALTH_PERM_CHG">Data!$BZ$180</definedName>
    <definedName name="TEAB045000col_INC_FTI">Data!$AS$180</definedName>
    <definedName name="TEAB045000col_LIFE_INS">Data!$BG$180</definedName>
    <definedName name="TEAB045000col_LIFE_INS_BY">Data!$BS$180</definedName>
    <definedName name="TEAB045000col_LIFE_INS_CHG">Data!$CE$180</definedName>
    <definedName name="TEAB045000col_RETIREMENT">Data!$BF$180</definedName>
    <definedName name="TEAB045000col_RETIREMENT_BY">Data!$BR$180</definedName>
    <definedName name="TEAB045000col_RETIREMENT_CHG">Data!$CD$180</definedName>
    <definedName name="TEAB045000col_ROWS_PER_PCN">Data!$AW$180</definedName>
    <definedName name="TEAB045000col_SICK">Data!$BK$180</definedName>
    <definedName name="TEAB045000col_SICK_BY">Data!$BW$180</definedName>
    <definedName name="TEAB045000col_SICK_CHG">Data!$CI$180</definedName>
    <definedName name="TEAB045000col_SSDI">Data!$BD$180</definedName>
    <definedName name="TEAB045000col_SSDI_BY">Data!$BP$180</definedName>
    <definedName name="TEAB045000col_SSDI_CHG">Data!$CB$180</definedName>
    <definedName name="TEAB045000col_SSHI">Data!$BE$180</definedName>
    <definedName name="TEAB045000col_SSHI_BY">Data!$BQ$180</definedName>
    <definedName name="TEAB045000col_SSHI_CHGv">Data!$CC$180</definedName>
    <definedName name="TEAB045000col_TOT_VB_ELECT">Data!$BM$180</definedName>
    <definedName name="TEAB045000col_TOT_VB_ELECT_BY">Data!$BY$180</definedName>
    <definedName name="TEAB045000col_TOT_VB_ELECT_CHG">Data!$CK$180</definedName>
    <definedName name="TEAB045000col_TOT_VB_PERM">Data!$BL$180</definedName>
    <definedName name="TEAB045000col_TOT_VB_PERM_BY">Data!$BX$180</definedName>
    <definedName name="TEAB045000col_TOT_VB_PERM_CHG">Data!$CJ$180</definedName>
    <definedName name="TEAB045000col_TOTAL_ELECT_PCN_FTI">Data!$AT$180</definedName>
    <definedName name="TEAB045000col_TOTAL_ELECT_PCN_FTI_ALT">Data!$AV$180</definedName>
    <definedName name="TEAB045000col_TOTAL_PERM_PCN_FTI">Data!$AU$180</definedName>
    <definedName name="TEAB045000col_UNEMP_INS">Data!$BH$180</definedName>
    <definedName name="TEAB045000col_UNEMP_INS_BY">Data!$BT$180</definedName>
    <definedName name="TEAB045000col_UNEMP_INS_CHG">Data!$CF$180</definedName>
    <definedName name="TEAB045000col_WORKERS_COMP">Data!$BJ$180</definedName>
    <definedName name="TEAB045000col_WORKERS_COMP_BY">Data!$BV$180</definedName>
    <definedName name="TEAB045000col_WORKERS_COMP_CHG">Data!$CH$180</definedName>
    <definedName name="TEAC045000col_1_27TH_PP">Data!$BA$182</definedName>
    <definedName name="TEAC045000col_DHR">Data!$BI$182</definedName>
    <definedName name="TEAC045000col_DHR_BY">Data!$BU$182</definedName>
    <definedName name="TEAC045000col_DHR_CHG">Data!$CG$182</definedName>
    <definedName name="TEAC045000col_FTI_SALARY_ELECT">Data!$AZ$182</definedName>
    <definedName name="TEAC045000col_FTI_SALARY_PERM">Data!$AY$182</definedName>
    <definedName name="TEAC045000col_FTI_SALARY_SSDI">Data!$AX$182</definedName>
    <definedName name="TEAC045000col_Group_Ben">Data!$CM$182</definedName>
    <definedName name="TEAC045000col_Group_Salary">Data!$CL$182</definedName>
    <definedName name="TEAC045000col_HEALTH_ELECT">Data!$BC$182</definedName>
    <definedName name="TEAC045000col_HEALTH_ELECT_BY">Data!$BO$182</definedName>
    <definedName name="TEAC045000col_HEALTH_ELECT_CHG">Data!$CA$182</definedName>
    <definedName name="TEAC045000col_HEALTH_PERM">Data!$BB$182</definedName>
    <definedName name="TEAC045000col_HEALTH_PERM_BY">Data!$BN$182</definedName>
    <definedName name="TEAC045000col_HEALTH_PERM_CHG">Data!$BZ$182</definedName>
    <definedName name="TEAC045000col_INC_FTI">Data!$AS$182</definedName>
    <definedName name="TEAC045000col_LIFE_INS">Data!$BG$182</definedName>
    <definedName name="TEAC045000col_LIFE_INS_BY">Data!$BS$182</definedName>
    <definedName name="TEAC045000col_LIFE_INS_CHG">Data!$CE$182</definedName>
    <definedName name="TEAC045000col_RETIREMENT">Data!$BF$182</definedName>
    <definedName name="TEAC045000col_RETIREMENT_BY">Data!$BR$182</definedName>
    <definedName name="TEAC045000col_RETIREMENT_CHG">Data!$CD$182</definedName>
    <definedName name="TEAC045000col_ROWS_PER_PCN">Data!$AW$182</definedName>
    <definedName name="TEAC045000col_SICK">Data!$BK$182</definedName>
    <definedName name="TEAC045000col_SICK_BY">Data!$BW$182</definedName>
    <definedName name="TEAC045000col_SICK_CHG">Data!$CI$182</definedName>
    <definedName name="TEAC045000col_SSDI">Data!$BD$182</definedName>
    <definedName name="TEAC045000col_SSDI_BY">Data!$BP$182</definedName>
    <definedName name="TEAC045000col_SSDI_CHG">Data!$CB$182</definedName>
    <definedName name="TEAC045000col_SSHI">Data!$BE$182</definedName>
    <definedName name="TEAC045000col_SSHI_BY">Data!$BQ$182</definedName>
    <definedName name="TEAC045000col_SSHI_CHGv">Data!$CC$182</definedName>
    <definedName name="TEAC045000col_TOT_VB_ELECT">Data!$BM$182</definedName>
    <definedName name="TEAC045000col_TOT_VB_ELECT_BY">Data!$BY$182</definedName>
    <definedName name="TEAC045000col_TOT_VB_ELECT_CHG">Data!$CK$182</definedName>
    <definedName name="TEAC045000col_TOT_VB_PERM">Data!$BL$182</definedName>
    <definedName name="TEAC045000col_TOT_VB_PERM_BY">Data!$BX$182</definedName>
    <definedName name="TEAC045000col_TOT_VB_PERM_CHG">Data!$CJ$182</definedName>
    <definedName name="TEAC045000col_TOTAL_ELECT_PCN_FTI">Data!$AT$182</definedName>
    <definedName name="TEAC045000col_TOTAL_ELECT_PCN_FTI_ALT">Data!$AV$182</definedName>
    <definedName name="TEAC045000col_TOTAL_PERM_PCN_FTI">Data!$AU$182</definedName>
    <definedName name="TEAC045000col_UNEMP_INS">Data!$BH$182</definedName>
    <definedName name="TEAC045000col_UNEMP_INS_BY">Data!$BT$182</definedName>
    <definedName name="TEAC045000col_UNEMP_INS_CHG">Data!$CF$182</definedName>
    <definedName name="TEAC045000col_WORKERS_COMP">Data!$BJ$182</definedName>
    <definedName name="TEAC045000col_WORKERS_COMP_BY">Data!$BV$182</definedName>
    <definedName name="TEAC045000col_WORKERS_COMP_CHG">Data!$CH$182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J24" i="11"/>
  <c r="K24" i="11"/>
  <c r="L24" i="11"/>
  <c r="M24" i="11"/>
  <c r="BA206" i="5"/>
  <c r="AZ206" i="5"/>
  <c r="AY206" i="5"/>
  <c r="AX206" i="5"/>
  <c r="AW206" i="5"/>
  <c r="AV206" i="5"/>
  <c r="AU206" i="5"/>
  <c r="AT206" i="5"/>
  <c r="AS206" i="5"/>
  <c r="BA204" i="5"/>
  <c r="AZ204" i="5"/>
  <c r="AY204" i="5"/>
  <c r="AX204" i="5"/>
  <c r="AW204" i="5"/>
  <c r="AV204" i="5"/>
  <c r="AU204" i="5"/>
  <c r="AT204" i="5"/>
  <c r="AS204" i="5"/>
  <c r="BA198" i="5"/>
  <c r="AZ198" i="5"/>
  <c r="AY198" i="5"/>
  <c r="AX198" i="5"/>
  <c r="AW198" i="5"/>
  <c r="AV198" i="5"/>
  <c r="AU198" i="5"/>
  <c r="AT198" i="5"/>
  <c r="AS198" i="5"/>
  <c r="AZ202" i="5"/>
  <c r="AW202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N35" i="14" s="1"/>
  <c r="J35" i="14"/>
  <c r="I35" i="14"/>
  <c r="H35" i="14"/>
  <c r="N34" i="14"/>
  <c r="M34" i="14"/>
  <c r="L34" i="14"/>
  <c r="J34" i="14"/>
  <c r="I34" i="14"/>
  <c r="H34" i="14"/>
  <c r="M33" i="14"/>
  <c r="N33" i="14" s="1"/>
  <c r="L33" i="14"/>
  <c r="J33" i="14"/>
  <c r="I33" i="14"/>
  <c r="H33" i="14"/>
  <c r="N32" i="14"/>
  <c r="M32" i="14"/>
  <c r="L32" i="14"/>
  <c r="J32" i="14"/>
  <c r="I32" i="14"/>
  <c r="H32" i="14"/>
  <c r="M30" i="14"/>
  <c r="L30" i="14"/>
  <c r="N30" i="14" s="1"/>
  <c r="J30" i="14"/>
  <c r="I30" i="14"/>
  <c r="H30" i="14"/>
  <c r="N29" i="14"/>
  <c r="M29" i="14"/>
  <c r="L29" i="14"/>
  <c r="J29" i="14"/>
  <c r="I29" i="14"/>
  <c r="H29" i="14"/>
  <c r="M28" i="14"/>
  <c r="N28" i="14" s="1"/>
  <c r="L28" i="14"/>
  <c r="J28" i="14"/>
  <c r="I28" i="14"/>
  <c r="H28" i="14"/>
  <c r="N27" i="14"/>
  <c r="M27" i="14"/>
  <c r="L27" i="14"/>
  <c r="J27" i="14"/>
  <c r="I27" i="14"/>
  <c r="H27" i="14"/>
  <c r="M26" i="14"/>
  <c r="L26" i="14"/>
  <c r="N26" i="14" s="1"/>
  <c r="J26" i="14"/>
  <c r="I26" i="14"/>
  <c r="H26" i="14"/>
  <c r="N25" i="14"/>
  <c r="M25" i="14"/>
  <c r="L25" i="14"/>
  <c r="J25" i="14"/>
  <c r="I25" i="14"/>
  <c r="H25" i="14"/>
  <c r="M24" i="14"/>
  <c r="N24" i="14" s="1"/>
  <c r="L24" i="14"/>
  <c r="J24" i="14"/>
  <c r="I24" i="14"/>
  <c r="H24" i="14"/>
  <c r="N23" i="14"/>
  <c r="M23" i="14"/>
  <c r="L23" i="14"/>
  <c r="J23" i="14"/>
  <c r="I23" i="14"/>
  <c r="H23" i="14"/>
  <c r="M22" i="14"/>
  <c r="L22" i="14"/>
  <c r="N22" i="14" s="1"/>
  <c r="J22" i="14"/>
  <c r="I22" i="14"/>
  <c r="H22" i="14"/>
  <c r="N21" i="14"/>
  <c r="M21" i="14"/>
  <c r="L21" i="14"/>
  <c r="J21" i="14"/>
  <c r="I21" i="14"/>
  <c r="H21" i="14"/>
  <c r="M20" i="14"/>
  <c r="N20" i="14" s="1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CM181" i="5"/>
  <c r="CM182" i="5" s="1"/>
  <c r="CL181" i="5"/>
  <c r="CL182" i="5" s="1"/>
  <c r="CK181" i="5"/>
  <c r="CK182" i="5" s="1"/>
  <c r="M12" i="14" s="1"/>
  <c r="M40" i="14" s="1"/>
  <c r="CJ181" i="5"/>
  <c r="CJ182" i="5" s="1"/>
  <c r="M10" i="14" s="1"/>
  <c r="CI181" i="5"/>
  <c r="CI182" i="5" s="1"/>
  <c r="CH181" i="5"/>
  <c r="CH182" i="5" s="1"/>
  <c r="CG181" i="5"/>
  <c r="CG182" i="5" s="1"/>
  <c r="CF181" i="5"/>
  <c r="CF182" i="5" s="1"/>
  <c r="CE181" i="5"/>
  <c r="CE182" i="5" s="1"/>
  <c r="CD181" i="5"/>
  <c r="CD182" i="5" s="1"/>
  <c r="CC181" i="5"/>
  <c r="CC182" i="5" s="1"/>
  <c r="CB181" i="5"/>
  <c r="CB182" i="5" s="1"/>
  <c r="CA181" i="5"/>
  <c r="CA182" i="5" s="1"/>
  <c r="L12" i="14" s="1"/>
  <c r="BZ181" i="5"/>
  <c r="BZ182" i="5" s="1"/>
  <c r="L10" i="14" s="1"/>
  <c r="L38" i="14" s="1"/>
  <c r="BY181" i="5"/>
  <c r="BY182" i="5" s="1"/>
  <c r="BX181" i="5"/>
  <c r="BX182" i="5" s="1"/>
  <c r="BW181" i="5"/>
  <c r="BW182" i="5" s="1"/>
  <c r="BV181" i="5"/>
  <c r="BV182" i="5" s="1"/>
  <c r="BU181" i="5"/>
  <c r="BU182" i="5" s="1"/>
  <c r="BT181" i="5"/>
  <c r="BT182" i="5" s="1"/>
  <c r="BS181" i="5"/>
  <c r="BS182" i="5" s="1"/>
  <c r="BR181" i="5"/>
  <c r="BR182" i="5" s="1"/>
  <c r="BQ181" i="5"/>
  <c r="BQ182" i="5" s="1"/>
  <c r="BP181" i="5"/>
  <c r="BP182" i="5" s="1"/>
  <c r="BO181" i="5"/>
  <c r="BO182" i="5" s="1"/>
  <c r="BN181" i="5"/>
  <c r="BN182" i="5" s="1"/>
  <c r="BM181" i="5"/>
  <c r="BM182" i="5" s="1"/>
  <c r="G28" i="10" s="1"/>
  <c r="BL181" i="5"/>
  <c r="BL182" i="5" s="1"/>
  <c r="BK181" i="5"/>
  <c r="BK182" i="5" s="1"/>
  <c r="BJ181" i="5"/>
  <c r="BJ182" i="5" s="1"/>
  <c r="BI181" i="5"/>
  <c r="BI182" i="5" s="1"/>
  <c r="BH181" i="5"/>
  <c r="BH182" i="5" s="1"/>
  <c r="BG181" i="5"/>
  <c r="BG182" i="5" s="1"/>
  <c r="BF181" i="5"/>
  <c r="BF182" i="5" s="1"/>
  <c r="BE181" i="5"/>
  <c r="BE182" i="5" s="1"/>
  <c r="BD181" i="5"/>
  <c r="BD182" i="5" s="1"/>
  <c r="BC181" i="5"/>
  <c r="BC182" i="5" s="1"/>
  <c r="F28" i="10" s="1"/>
  <c r="BB181" i="5"/>
  <c r="BB182" i="5" s="1"/>
  <c r="F26" i="10" s="1"/>
  <c r="BA181" i="5"/>
  <c r="BA182" i="5" s="1"/>
  <c r="AZ181" i="5"/>
  <c r="AZ182" i="5" s="1"/>
  <c r="AY181" i="5"/>
  <c r="AY182" i="5" s="1"/>
  <c r="AX181" i="5"/>
  <c r="AX182" i="5" s="1"/>
  <c r="AW181" i="5"/>
  <c r="AW182" i="5" s="1"/>
  <c r="AV181" i="5"/>
  <c r="AV182" i="5" s="1"/>
  <c r="AU181" i="5"/>
  <c r="AU182" i="5" s="1"/>
  <c r="AT181" i="5"/>
  <c r="AT182" i="5" s="1"/>
  <c r="AS181" i="5"/>
  <c r="AS182" i="5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N35" i="13" s="1"/>
  <c r="J35" i="13"/>
  <c r="I35" i="13"/>
  <c r="H35" i="13"/>
  <c r="M34" i="13"/>
  <c r="L34" i="13"/>
  <c r="N34" i="13" s="1"/>
  <c r="J34" i="13"/>
  <c r="I34" i="13"/>
  <c r="H34" i="13"/>
  <c r="M33" i="13"/>
  <c r="N33" i="13" s="1"/>
  <c r="L33" i="13"/>
  <c r="J33" i="13"/>
  <c r="I33" i="13"/>
  <c r="H33" i="13"/>
  <c r="M32" i="13"/>
  <c r="L32" i="13"/>
  <c r="N32" i="13" s="1"/>
  <c r="J32" i="13"/>
  <c r="I32" i="13"/>
  <c r="H32" i="13"/>
  <c r="M30" i="13"/>
  <c r="L30" i="13"/>
  <c r="N30" i="13" s="1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N27" i="13" s="1"/>
  <c r="J27" i="13"/>
  <c r="I27" i="13"/>
  <c r="H27" i="13"/>
  <c r="M26" i="13"/>
  <c r="L26" i="13"/>
  <c r="J26" i="13"/>
  <c r="I26" i="13"/>
  <c r="H26" i="13"/>
  <c r="M25" i="13"/>
  <c r="L25" i="13"/>
  <c r="N25" i="13" s="1"/>
  <c r="J25" i="13"/>
  <c r="I25" i="13"/>
  <c r="H25" i="13"/>
  <c r="M24" i="13"/>
  <c r="L24" i="13"/>
  <c r="J24" i="13"/>
  <c r="I24" i="13"/>
  <c r="H24" i="13"/>
  <c r="N23" i="13"/>
  <c r="M23" i="13"/>
  <c r="L23" i="13"/>
  <c r="J23" i="13"/>
  <c r="I23" i="13"/>
  <c r="H23" i="13"/>
  <c r="M22" i="13"/>
  <c r="L22" i="13"/>
  <c r="N22" i="13" s="1"/>
  <c r="J22" i="13"/>
  <c r="I22" i="13"/>
  <c r="H22" i="13"/>
  <c r="M21" i="13"/>
  <c r="L21" i="13"/>
  <c r="N21" i="13" s="1"/>
  <c r="J21" i="13"/>
  <c r="I21" i="13"/>
  <c r="H21" i="13"/>
  <c r="M20" i="13"/>
  <c r="L20" i="13"/>
  <c r="N20" i="13" s="1"/>
  <c r="J20" i="13"/>
  <c r="I20" i="13"/>
  <c r="H20" i="13"/>
  <c r="C15" i="13"/>
  <c r="AC11" i="13"/>
  <c r="M8" i="13"/>
  <c r="L8" i="13"/>
  <c r="K8" i="13"/>
  <c r="J8" i="13"/>
  <c r="I8" i="13"/>
  <c r="H8" i="13"/>
  <c r="G8" i="13"/>
  <c r="CM175" i="5"/>
  <c r="CL175" i="5"/>
  <c r="CK175" i="5"/>
  <c r="CJ175" i="5"/>
  <c r="CI175" i="5"/>
  <c r="CH175" i="5"/>
  <c r="CG175" i="5"/>
  <c r="CF175" i="5"/>
  <c r="CE175" i="5"/>
  <c r="CD175" i="5"/>
  <c r="CC175" i="5"/>
  <c r="CB175" i="5"/>
  <c r="CA175" i="5"/>
  <c r="BZ175" i="5"/>
  <c r="BY175" i="5"/>
  <c r="BX175" i="5"/>
  <c r="BW175" i="5"/>
  <c r="BV175" i="5"/>
  <c r="BU175" i="5"/>
  <c r="BT175" i="5"/>
  <c r="BS175" i="5"/>
  <c r="BR175" i="5"/>
  <c r="BQ175" i="5"/>
  <c r="BP175" i="5"/>
  <c r="BO175" i="5"/>
  <c r="BN175" i="5"/>
  <c r="BM175" i="5"/>
  <c r="BL175" i="5"/>
  <c r="BK175" i="5"/>
  <c r="BJ175" i="5"/>
  <c r="BI175" i="5"/>
  <c r="BH175" i="5"/>
  <c r="BG175" i="5"/>
  <c r="BF175" i="5"/>
  <c r="BE175" i="5"/>
  <c r="BD175" i="5"/>
  <c r="BC175" i="5"/>
  <c r="BB175" i="5"/>
  <c r="BA175" i="5"/>
  <c r="AZ175" i="5"/>
  <c r="AY175" i="5"/>
  <c r="AX175" i="5"/>
  <c r="AW175" i="5"/>
  <c r="AV175" i="5"/>
  <c r="AU175" i="5"/>
  <c r="AT175" i="5"/>
  <c r="AS175" i="5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N33" i="12" s="1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N27" i="12" s="1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N24" i="12" s="1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121" i="5"/>
  <c r="CN122" i="5"/>
  <c r="CN123" i="5"/>
  <c r="CN124" i="5"/>
  <c r="CN125" i="5"/>
  <c r="CN126" i="5"/>
  <c r="CN127" i="5"/>
  <c r="CN128" i="5"/>
  <c r="CN129" i="5"/>
  <c r="CN130" i="5"/>
  <c r="CN131" i="5"/>
  <c r="CN132" i="5"/>
  <c r="CN133" i="5"/>
  <c r="CN134" i="5"/>
  <c r="CN135" i="5"/>
  <c r="CN136" i="5"/>
  <c r="CN137" i="5"/>
  <c r="CN138" i="5"/>
  <c r="CN139" i="5"/>
  <c r="CN140" i="5"/>
  <c r="CN141" i="5"/>
  <c r="CN142" i="5"/>
  <c r="CN143" i="5"/>
  <c r="CN144" i="5"/>
  <c r="CN145" i="5"/>
  <c r="CN146" i="5"/>
  <c r="CN147" i="5"/>
  <c r="CN148" i="5"/>
  <c r="CN149" i="5"/>
  <c r="CN150" i="5"/>
  <c r="CN151" i="5"/>
  <c r="CN152" i="5"/>
  <c r="CN153" i="5"/>
  <c r="CN154" i="5"/>
  <c r="CN155" i="5"/>
  <c r="CN156" i="5"/>
  <c r="CN157" i="5"/>
  <c r="CN158" i="5"/>
  <c r="CN159" i="5"/>
  <c r="CN160" i="5"/>
  <c r="CN161" i="5"/>
  <c r="CN162" i="5"/>
  <c r="CN163" i="5"/>
  <c r="CN164" i="5"/>
  <c r="CN165" i="5"/>
  <c r="CN166" i="5"/>
  <c r="CN167" i="5"/>
  <c r="CN168" i="5"/>
  <c r="CN169" i="5"/>
  <c r="CN170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121" i="5"/>
  <c r="CM122" i="5"/>
  <c r="CM123" i="5"/>
  <c r="CM124" i="5"/>
  <c r="CM125" i="5"/>
  <c r="CM126" i="5"/>
  <c r="CM127" i="5"/>
  <c r="CM128" i="5"/>
  <c r="CM129" i="5"/>
  <c r="CM130" i="5"/>
  <c r="CM131" i="5"/>
  <c r="CM132" i="5"/>
  <c r="CM133" i="5"/>
  <c r="CM134" i="5"/>
  <c r="CM135" i="5"/>
  <c r="CM136" i="5"/>
  <c r="CM137" i="5"/>
  <c r="CM138" i="5"/>
  <c r="CM139" i="5"/>
  <c r="CM140" i="5"/>
  <c r="CM141" i="5"/>
  <c r="CM142" i="5"/>
  <c r="CM143" i="5"/>
  <c r="CM144" i="5"/>
  <c r="CM145" i="5"/>
  <c r="CM146" i="5"/>
  <c r="CM147" i="5"/>
  <c r="CM148" i="5"/>
  <c r="CM149" i="5"/>
  <c r="CM150" i="5"/>
  <c r="CM151" i="5"/>
  <c r="CM152" i="5"/>
  <c r="CM153" i="5"/>
  <c r="CM154" i="5"/>
  <c r="CM155" i="5"/>
  <c r="CM156" i="5"/>
  <c r="CM157" i="5"/>
  <c r="CM158" i="5"/>
  <c r="CM159" i="5"/>
  <c r="CM160" i="5"/>
  <c r="CM161" i="5"/>
  <c r="CM162" i="5"/>
  <c r="CM163" i="5"/>
  <c r="CM164" i="5"/>
  <c r="CM165" i="5"/>
  <c r="CM166" i="5"/>
  <c r="CM167" i="5"/>
  <c r="CM168" i="5"/>
  <c r="CM169" i="5"/>
  <c r="CM170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121" i="5"/>
  <c r="CL122" i="5"/>
  <c r="CL123" i="5"/>
  <c r="CL124" i="5"/>
  <c r="CL125" i="5"/>
  <c r="CL126" i="5"/>
  <c r="CL127" i="5"/>
  <c r="CL128" i="5"/>
  <c r="CL129" i="5"/>
  <c r="CL130" i="5"/>
  <c r="CL131" i="5"/>
  <c r="CL132" i="5"/>
  <c r="CL133" i="5"/>
  <c r="CL134" i="5"/>
  <c r="CL135" i="5"/>
  <c r="CL136" i="5"/>
  <c r="CL137" i="5"/>
  <c r="CL138" i="5"/>
  <c r="CL139" i="5"/>
  <c r="CL140" i="5"/>
  <c r="CL141" i="5"/>
  <c r="CL142" i="5"/>
  <c r="CL143" i="5"/>
  <c r="CL144" i="5"/>
  <c r="CL145" i="5"/>
  <c r="CL146" i="5"/>
  <c r="CL147" i="5"/>
  <c r="CL148" i="5"/>
  <c r="CL149" i="5"/>
  <c r="CL150" i="5"/>
  <c r="CL151" i="5"/>
  <c r="CL152" i="5"/>
  <c r="CL153" i="5"/>
  <c r="CL154" i="5"/>
  <c r="CL155" i="5"/>
  <c r="CL156" i="5"/>
  <c r="CL157" i="5"/>
  <c r="CL158" i="5"/>
  <c r="CL159" i="5"/>
  <c r="CL160" i="5"/>
  <c r="CL161" i="5"/>
  <c r="CL162" i="5"/>
  <c r="CL163" i="5"/>
  <c r="CL164" i="5"/>
  <c r="CL165" i="5"/>
  <c r="CL166" i="5"/>
  <c r="CL167" i="5"/>
  <c r="CL168" i="5"/>
  <c r="CL169" i="5"/>
  <c r="CL170" i="5"/>
  <c r="CL2" i="5"/>
  <c r="AW170" i="5"/>
  <c r="AW169" i="5"/>
  <c r="AW168" i="5"/>
  <c r="AW167" i="5"/>
  <c r="AW166" i="5"/>
  <c r="AW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1" i="5"/>
  <c r="AW140" i="5"/>
  <c r="AW139" i="5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T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T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T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T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T50" i="5" s="1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T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T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T74" i="5" s="1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T90" i="5" s="1"/>
  <c r="AS91" i="5"/>
  <c r="AX91" i="5" s="1"/>
  <c r="AS92" i="5"/>
  <c r="AX92" i="5" s="1"/>
  <c r="AS93" i="5"/>
  <c r="AX93" i="5" s="1"/>
  <c r="AS94" i="5"/>
  <c r="AX94" i="5" s="1"/>
  <c r="AS95" i="5"/>
  <c r="AX95" i="5" s="1"/>
  <c r="AS96" i="5"/>
  <c r="AX96" i="5" s="1"/>
  <c r="AS97" i="5"/>
  <c r="AX97" i="5" s="1"/>
  <c r="AS98" i="5"/>
  <c r="AT98" i="5" s="1"/>
  <c r="AS99" i="5"/>
  <c r="AX99" i="5" s="1"/>
  <c r="AS100" i="5"/>
  <c r="AX100" i="5" s="1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T106" i="5" s="1"/>
  <c r="AS107" i="5"/>
  <c r="AX107" i="5" s="1"/>
  <c r="AS108" i="5"/>
  <c r="AX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T114" i="5" s="1"/>
  <c r="AS115" i="5"/>
  <c r="AX115" i="5" s="1"/>
  <c r="AS116" i="5"/>
  <c r="AX116" i="5" s="1"/>
  <c r="AS117" i="5"/>
  <c r="AX117" i="5" s="1"/>
  <c r="AS118" i="5"/>
  <c r="AX118" i="5" s="1"/>
  <c r="AS119" i="5"/>
  <c r="AX119" i="5" s="1"/>
  <c r="AS120" i="5"/>
  <c r="AX120" i="5" s="1"/>
  <c r="AS121" i="5"/>
  <c r="AX121" i="5" s="1"/>
  <c r="AS122" i="5"/>
  <c r="AT122" i="5" s="1"/>
  <c r="AS123" i="5"/>
  <c r="AX123" i="5" s="1"/>
  <c r="AS124" i="5"/>
  <c r="AX124" i="5" s="1"/>
  <c r="AS125" i="5"/>
  <c r="AX125" i="5" s="1"/>
  <c r="AS126" i="5"/>
  <c r="AX126" i="5" s="1"/>
  <c r="AS127" i="5"/>
  <c r="AX127" i="5" s="1"/>
  <c r="AS128" i="5"/>
  <c r="AX128" i="5" s="1"/>
  <c r="AS129" i="5"/>
  <c r="AX129" i="5" s="1"/>
  <c r="AS130" i="5"/>
  <c r="AT130" i="5" s="1"/>
  <c r="AS131" i="5"/>
  <c r="AX131" i="5" s="1"/>
  <c r="AS132" i="5"/>
  <c r="AX132" i="5" s="1"/>
  <c r="AS133" i="5"/>
  <c r="AX133" i="5" s="1"/>
  <c r="AS134" i="5"/>
  <c r="AX134" i="5" s="1"/>
  <c r="AS135" i="5"/>
  <c r="AX135" i="5" s="1"/>
  <c r="AS136" i="5"/>
  <c r="AX136" i="5" s="1"/>
  <c r="AS137" i="5"/>
  <c r="AX137" i="5" s="1"/>
  <c r="AS138" i="5"/>
  <c r="AT138" i="5" s="1"/>
  <c r="AS139" i="5"/>
  <c r="AX139" i="5" s="1"/>
  <c r="AS140" i="5"/>
  <c r="AX140" i="5" s="1"/>
  <c r="AS141" i="5"/>
  <c r="AX141" i="5" s="1"/>
  <c r="AS142" i="5"/>
  <c r="AX142" i="5" s="1"/>
  <c r="AS143" i="5"/>
  <c r="AX143" i="5" s="1"/>
  <c r="AS144" i="5"/>
  <c r="AX144" i="5" s="1"/>
  <c r="AS145" i="5"/>
  <c r="AX145" i="5" s="1"/>
  <c r="AS146" i="5"/>
  <c r="AX146" i="5" s="1"/>
  <c r="AS147" i="5"/>
  <c r="AX147" i="5" s="1"/>
  <c r="AS148" i="5"/>
  <c r="AX148" i="5" s="1"/>
  <c r="AS149" i="5"/>
  <c r="AX149" i="5" s="1"/>
  <c r="AS150" i="5"/>
  <c r="AX150" i="5" s="1"/>
  <c r="AS151" i="5"/>
  <c r="AX151" i="5" s="1"/>
  <c r="AS152" i="5"/>
  <c r="AX152" i="5" s="1"/>
  <c r="AS153" i="5"/>
  <c r="AX153" i="5" s="1"/>
  <c r="AS154" i="5"/>
  <c r="AT154" i="5" s="1"/>
  <c r="AS155" i="5"/>
  <c r="AX155" i="5" s="1"/>
  <c r="AS156" i="5"/>
  <c r="AX156" i="5" s="1"/>
  <c r="AS157" i="5"/>
  <c r="AX157" i="5" s="1"/>
  <c r="AS158" i="5"/>
  <c r="AX158" i="5" s="1"/>
  <c r="AS159" i="5"/>
  <c r="AX159" i="5" s="1"/>
  <c r="AS160" i="5"/>
  <c r="AX160" i="5" s="1"/>
  <c r="AS161" i="5"/>
  <c r="AX161" i="5" s="1"/>
  <c r="AS162" i="5"/>
  <c r="AT162" i="5" s="1"/>
  <c r="AS163" i="5"/>
  <c r="AX163" i="5" s="1"/>
  <c r="AS164" i="5"/>
  <c r="AX164" i="5" s="1"/>
  <c r="AS165" i="5"/>
  <c r="AX165" i="5" s="1"/>
  <c r="AS166" i="5"/>
  <c r="AX166" i="5" s="1"/>
  <c r="AS167" i="5"/>
  <c r="AX167" i="5" s="1"/>
  <c r="AS168" i="5"/>
  <c r="AX168" i="5" s="1"/>
  <c r="AS169" i="5"/>
  <c r="AX169" i="5" s="1"/>
  <c r="AS170" i="5"/>
  <c r="AT170" i="5" s="1"/>
  <c r="AS2" i="5"/>
  <c r="AT2" i="5" s="1"/>
  <c r="N39" i="14" l="1"/>
  <c r="AU192" i="5"/>
  <c r="AT201" i="5"/>
  <c r="AU201" i="5"/>
  <c r="AV201" i="5"/>
  <c r="AT190" i="5"/>
  <c r="AT191" i="5" s="1"/>
  <c r="AT194" i="5"/>
  <c r="AX201" i="5"/>
  <c r="AU190" i="5"/>
  <c r="AU191" i="5" s="1"/>
  <c r="AU194" i="5"/>
  <c r="AY201" i="5"/>
  <c r="BA201" i="5"/>
  <c r="AT193" i="5"/>
  <c r="AT195" i="5"/>
  <c r="AT192" i="5"/>
  <c r="AU193" i="5"/>
  <c r="AU195" i="5"/>
  <c r="F12" i="14"/>
  <c r="F40" i="14" s="1"/>
  <c r="D28" i="10"/>
  <c r="F29" i="10"/>
  <c r="L13" i="14"/>
  <c r="N12" i="14"/>
  <c r="G26" i="10"/>
  <c r="I10" i="14"/>
  <c r="G11" i="14"/>
  <c r="E27" i="10"/>
  <c r="G10" i="14"/>
  <c r="E26" i="10"/>
  <c r="I11" i="14"/>
  <c r="I39" i="14" s="1"/>
  <c r="AB39" i="14" s="1"/>
  <c r="G27" i="10"/>
  <c r="G12" i="14"/>
  <c r="E28" i="10"/>
  <c r="H28" i="10" s="1"/>
  <c r="M38" i="14"/>
  <c r="M41" i="14" s="1"/>
  <c r="M13" i="14"/>
  <c r="F10" i="14"/>
  <c r="D26" i="10"/>
  <c r="I26" i="10"/>
  <c r="K10" i="14"/>
  <c r="H10" i="14"/>
  <c r="H12" i="14"/>
  <c r="H40" i="14" s="1"/>
  <c r="J26" i="10"/>
  <c r="J28" i="10"/>
  <c r="I12" i="14"/>
  <c r="I40" i="14" s="1"/>
  <c r="K26" i="10"/>
  <c r="K28" i="10"/>
  <c r="L40" i="14"/>
  <c r="L41" i="14" s="1"/>
  <c r="N10" i="14"/>
  <c r="N21" i="12"/>
  <c r="N28" i="13"/>
  <c r="N24" i="13"/>
  <c r="N26" i="13"/>
  <c r="N29" i="13"/>
  <c r="F52" i="14"/>
  <c r="F56" i="14" s="1"/>
  <c r="F60" i="14" s="1"/>
  <c r="N39" i="13"/>
  <c r="N25" i="12"/>
  <c r="N34" i="12"/>
  <c r="N22" i="12"/>
  <c r="N29" i="12"/>
  <c r="F52" i="13"/>
  <c r="F56" i="13" s="1"/>
  <c r="F60" i="13" s="1"/>
  <c r="N30" i="12"/>
  <c r="N23" i="12"/>
  <c r="N26" i="12"/>
  <c r="N32" i="12"/>
  <c r="N35" i="12"/>
  <c r="N20" i="12"/>
  <c r="N28" i="12"/>
  <c r="CM179" i="5"/>
  <c r="AW179" i="5"/>
  <c r="CL179" i="5"/>
  <c r="CL178" i="5"/>
  <c r="CM178" i="5"/>
  <c r="AW178" i="5"/>
  <c r="CL177" i="5"/>
  <c r="CM177" i="5"/>
  <c r="AW177" i="5"/>
  <c r="AW176" i="5"/>
  <c r="CL176" i="5"/>
  <c r="CM176" i="5"/>
  <c r="AT108" i="5"/>
  <c r="AU108" i="5" s="1"/>
  <c r="AT52" i="5"/>
  <c r="AV52" i="5" s="1"/>
  <c r="AT44" i="5"/>
  <c r="AY44" i="5" s="1"/>
  <c r="AT28" i="5"/>
  <c r="BX28" i="5" s="1"/>
  <c r="AT20" i="5"/>
  <c r="AY20" i="5" s="1"/>
  <c r="AT4" i="5"/>
  <c r="AU4" i="5" s="1"/>
  <c r="AT116" i="5"/>
  <c r="AV116" i="5" s="1"/>
  <c r="AT100" i="5"/>
  <c r="AY100" i="5" s="1"/>
  <c r="AT36" i="5"/>
  <c r="AY36" i="5" s="1"/>
  <c r="CL173" i="5"/>
  <c r="CL174" i="5" s="1"/>
  <c r="AT92" i="5"/>
  <c r="AY92" i="5" s="1"/>
  <c r="CM173" i="5"/>
  <c r="CM174" i="5" s="1"/>
  <c r="AT84" i="5"/>
  <c r="AY84" i="5" s="1"/>
  <c r="AT76" i="5"/>
  <c r="AV76" i="5" s="1"/>
  <c r="AT13" i="5"/>
  <c r="AZ13" i="5" s="1"/>
  <c r="AT68" i="5"/>
  <c r="AV68" i="5" s="1"/>
  <c r="AT12" i="5"/>
  <c r="AV12" i="5" s="1"/>
  <c r="AT60" i="5"/>
  <c r="CC60" i="5" s="1"/>
  <c r="AT5" i="5"/>
  <c r="AU5" i="5" s="1"/>
  <c r="N39" i="12"/>
  <c r="F52" i="12"/>
  <c r="F56" i="12" s="1"/>
  <c r="F60" i="12" s="1"/>
  <c r="CF170" i="5"/>
  <c r="CE170" i="5"/>
  <c r="CK170" i="5"/>
  <c r="CI170" i="5"/>
  <c r="CC170" i="5"/>
  <c r="CD170" i="5"/>
  <c r="CA170" i="5"/>
  <c r="BV170" i="5"/>
  <c r="BR170" i="5"/>
  <c r="BW170" i="5"/>
  <c r="BS170" i="5"/>
  <c r="BU170" i="5"/>
  <c r="BY170" i="5"/>
  <c r="BM170" i="5"/>
  <c r="BQ170" i="5"/>
  <c r="BF170" i="5"/>
  <c r="BK170" i="5"/>
  <c r="BG170" i="5"/>
  <c r="BT170" i="5"/>
  <c r="BI170" i="5"/>
  <c r="BH170" i="5"/>
  <c r="BJ170" i="5"/>
  <c r="AV170" i="5"/>
  <c r="BO170" i="5" s="1"/>
  <c r="AU170" i="5"/>
  <c r="BB170" i="5" s="1"/>
  <c r="BE170" i="5"/>
  <c r="BA170" i="5"/>
  <c r="AZ170" i="5"/>
  <c r="AY170" i="5"/>
  <c r="CF162" i="5"/>
  <c r="CE162" i="5"/>
  <c r="CI162" i="5"/>
  <c r="CK162" i="5"/>
  <c r="CC162" i="5"/>
  <c r="CD162" i="5"/>
  <c r="BY162" i="5"/>
  <c r="BV162" i="5"/>
  <c r="BR162" i="5"/>
  <c r="BW162" i="5"/>
  <c r="BQ162" i="5"/>
  <c r="BT162" i="5"/>
  <c r="CA162" i="5"/>
  <c r="BS162" i="5"/>
  <c r="BU162" i="5"/>
  <c r="BM162" i="5"/>
  <c r="BF162" i="5"/>
  <c r="BK162" i="5"/>
  <c r="BJ162" i="5"/>
  <c r="BI162" i="5"/>
  <c r="BH162" i="5"/>
  <c r="BG162" i="5"/>
  <c r="AV162" i="5"/>
  <c r="BC162" i="5" s="1"/>
  <c r="AU162" i="5"/>
  <c r="BB162" i="5" s="1"/>
  <c r="BA162" i="5"/>
  <c r="AZ162" i="5"/>
  <c r="AY162" i="5"/>
  <c r="BE162" i="5"/>
  <c r="CF154" i="5"/>
  <c r="CE154" i="5"/>
  <c r="CI154" i="5"/>
  <c r="CK154" i="5"/>
  <c r="CC154" i="5"/>
  <c r="CD154" i="5"/>
  <c r="CA154" i="5"/>
  <c r="BW154" i="5"/>
  <c r="BV154" i="5"/>
  <c r="BR154" i="5"/>
  <c r="BU154" i="5"/>
  <c r="BQ154" i="5"/>
  <c r="BY154" i="5"/>
  <c r="BT154" i="5"/>
  <c r="BM154" i="5"/>
  <c r="BF154" i="5"/>
  <c r="BS154" i="5"/>
  <c r="BK154" i="5"/>
  <c r="BJ154" i="5"/>
  <c r="BG154" i="5"/>
  <c r="BH154" i="5"/>
  <c r="BI154" i="5"/>
  <c r="AV154" i="5"/>
  <c r="BO154" i="5" s="1"/>
  <c r="BE154" i="5"/>
  <c r="BA154" i="5"/>
  <c r="AZ154" i="5"/>
  <c r="AY154" i="5"/>
  <c r="AU154" i="5"/>
  <c r="BB154" i="5" s="1"/>
  <c r="CK2" i="5"/>
  <c r="CH2" i="5"/>
  <c r="CG2" i="5"/>
  <c r="CJ2" i="5"/>
  <c r="CD2" i="5"/>
  <c r="CI2" i="5"/>
  <c r="CF2" i="5"/>
  <c r="CE2" i="5"/>
  <c r="CC2" i="5"/>
  <c r="BY2" i="5"/>
  <c r="BZ2" i="5"/>
  <c r="BW2" i="5"/>
  <c r="BS2" i="5"/>
  <c r="CA2" i="5"/>
  <c r="BR2" i="5"/>
  <c r="BX2" i="5"/>
  <c r="BV2" i="5"/>
  <c r="BU2" i="5"/>
  <c r="BT2" i="5"/>
  <c r="BQ2" i="5"/>
  <c r="BI2" i="5"/>
  <c r="BM2" i="5"/>
  <c r="BK2" i="5"/>
  <c r="BG2" i="5"/>
  <c r="BJ2" i="5"/>
  <c r="BE2" i="5"/>
  <c r="BF2" i="5"/>
  <c r="BL2" i="5"/>
  <c r="BH2" i="5"/>
  <c r="BA2" i="5"/>
  <c r="AZ2" i="5"/>
  <c r="AY2" i="5"/>
  <c r="AU2" i="5"/>
  <c r="BB2" i="5" s="1"/>
  <c r="AV2" i="5"/>
  <c r="BO2" i="5" s="1"/>
  <c r="CF66" i="5"/>
  <c r="CI66" i="5"/>
  <c r="CE66" i="5"/>
  <c r="CK66" i="5"/>
  <c r="CC66" i="5"/>
  <c r="CA66" i="5"/>
  <c r="CD66" i="5"/>
  <c r="BY66" i="5"/>
  <c r="BV66" i="5"/>
  <c r="BR66" i="5"/>
  <c r="BQ66" i="5"/>
  <c r="BW66" i="5"/>
  <c r="BU66" i="5"/>
  <c r="BT66" i="5"/>
  <c r="BS66" i="5"/>
  <c r="BM66" i="5"/>
  <c r="BH66" i="5"/>
  <c r="BJ66" i="5"/>
  <c r="BF66" i="5"/>
  <c r="BI66" i="5"/>
  <c r="BK66" i="5"/>
  <c r="BE66" i="5"/>
  <c r="BG66" i="5"/>
  <c r="AV66" i="5"/>
  <c r="BC66" i="5" s="1"/>
  <c r="BA66" i="5"/>
  <c r="AZ66" i="5"/>
  <c r="AY66" i="5"/>
  <c r="AU66" i="5"/>
  <c r="BB66" i="5" s="1"/>
  <c r="CF50" i="5"/>
  <c r="CK50" i="5"/>
  <c r="CE50" i="5"/>
  <c r="CG50" i="5"/>
  <c r="CC50" i="5"/>
  <c r="CI50" i="5"/>
  <c r="CJ50" i="5"/>
  <c r="CH50" i="5"/>
  <c r="CA50" i="5"/>
  <c r="CD50" i="5"/>
  <c r="BZ50" i="5"/>
  <c r="BX50" i="5"/>
  <c r="BV50" i="5"/>
  <c r="BR50" i="5"/>
  <c r="BQ50" i="5"/>
  <c r="BY50" i="5"/>
  <c r="BU50" i="5"/>
  <c r="BT50" i="5"/>
  <c r="BS50" i="5"/>
  <c r="BM50" i="5"/>
  <c r="BL50" i="5"/>
  <c r="BH50" i="5"/>
  <c r="BW50" i="5"/>
  <c r="BI50" i="5"/>
  <c r="BF50" i="5"/>
  <c r="BK50" i="5"/>
  <c r="BJ50" i="5"/>
  <c r="BG50" i="5"/>
  <c r="BE50" i="5"/>
  <c r="AV50" i="5"/>
  <c r="BO50" i="5" s="1"/>
  <c r="AZ50" i="5"/>
  <c r="AY50" i="5"/>
  <c r="BA50" i="5"/>
  <c r="AU50" i="5"/>
  <c r="BN50" i="5" s="1"/>
  <c r="CF26" i="5"/>
  <c r="CE26" i="5"/>
  <c r="CI26" i="5"/>
  <c r="CH26" i="5"/>
  <c r="CC26" i="5"/>
  <c r="CK26" i="5"/>
  <c r="CJ26" i="5"/>
  <c r="CD26" i="5"/>
  <c r="CG26" i="5"/>
  <c r="CA26" i="5"/>
  <c r="BZ26" i="5"/>
  <c r="BV26" i="5"/>
  <c r="BX26" i="5"/>
  <c r="BR26" i="5"/>
  <c r="BQ26" i="5"/>
  <c r="BW26" i="5"/>
  <c r="BY26" i="5"/>
  <c r="BT26" i="5"/>
  <c r="BU26" i="5"/>
  <c r="BM26" i="5"/>
  <c r="BH26" i="5"/>
  <c r="BS26" i="5"/>
  <c r="BL26" i="5"/>
  <c r="BF26" i="5"/>
  <c r="BK26" i="5"/>
  <c r="BJ26" i="5"/>
  <c r="BG26" i="5"/>
  <c r="BE26" i="5"/>
  <c r="BI26" i="5"/>
  <c r="AV26" i="5"/>
  <c r="BC26" i="5" s="1"/>
  <c r="BA26" i="5"/>
  <c r="AZ26" i="5"/>
  <c r="AY26" i="5"/>
  <c r="AU26" i="5"/>
  <c r="BB26" i="5" s="1"/>
  <c r="CF138" i="5"/>
  <c r="CE138" i="5"/>
  <c r="CC138" i="5"/>
  <c r="CI138" i="5"/>
  <c r="CK138" i="5"/>
  <c r="BW138" i="5"/>
  <c r="BY138" i="5"/>
  <c r="BV138" i="5"/>
  <c r="CD138" i="5"/>
  <c r="BR138" i="5"/>
  <c r="CA138" i="5"/>
  <c r="BQ138" i="5"/>
  <c r="BU138" i="5"/>
  <c r="BT138" i="5"/>
  <c r="BS138" i="5"/>
  <c r="BM138" i="5"/>
  <c r="BH138" i="5"/>
  <c r="BF138" i="5"/>
  <c r="BJ138" i="5"/>
  <c r="BK138" i="5"/>
  <c r="BI138" i="5"/>
  <c r="BG138" i="5"/>
  <c r="AV138" i="5"/>
  <c r="BO138" i="5" s="1"/>
  <c r="BE138" i="5"/>
  <c r="BA138" i="5"/>
  <c r="AZ138" i="5"/>
  <c r="AY138" i="5"/>
  <c r="AU138" i="5"/>
  <c r="BB138" i="5" s="1"/>
  <c r="CJ130" i="5"/>
  <c r="CF130" i="5"/>
  <c r="CE130" i="5"/>
  <c r="CK130" i="5"/>
  <c r="CG130" i="5"/>
  <c r="CC130" i="5"/>
  <c r="CH130" i="5"/>
  <c r="CD130" i="5"/>
  <c r="CI130" i="5"/>
  <c r="CA130" i="5"/>
  <c r="BY130" i="5"/>
  <c r="BV130" i="5"/>
  <c r="BX130" i="5"/>
  <c r="BR130" i="5"/>
  <c r="BQ130" i="5"/>
  <c r="BZ130" i="5"/>
  <c r="BW130" i="5"/>
  <c r="BU130" i="5"/>
  <c r="BT130" i="5"/>
  <c r="BS130" i="5"/>
  <c r="BM130" i="5"/>
  <c r="BH130" i="5"/>
  <c r="BJ130" i="5"/>
  <c r="BF130" i="5"/>
  <c r="BI130" i="5"/>
  <c r="BL130" i="5"/>
  <c r="BK130" i="5"/>
  <c r="BG130" i="5"/>
  <c r="AV130" i="5"/>
  <c r="BO130" i="5" s="1"/>
  <c r="BA130" i="5"/>
  <c r="AZ130" i="5"/>
  <c r="AY130" i="5"/>
  <c r="BE130" i="5"/>
  <c r="AU130" i="5"/>
  <c r="BN130" i="5" s="1"/>
  <c r="CF122" i="5"/>
  <c r="CE122" i="5"/>
  <c r="CI122" i="5"/>
  <c r="CK122" i="5"/>
  <c r="CC122" i="5"/>
  <c r="CA122" i="5"/>
  <c r="BW122" i="5"/>
  <c r="BV122" i="5"/>
  <c r="BR122" i="5"/>
  <c r="BY122" i="5"/>
  <c r="BQ122" i="5"/>
  <c r="BT122" i="5"/>
  <c r="BS122" i="5"/>
  <c r="CD122" i="5"/>
  <c r="BM122" i="5"/>
  <c r="BH122" i="5"/>
  <c r="BU122" i="5"/>
  <c r="BF122" i="5"/>
  <c r="BI122" i="5"/>
  <c r="BJ122" i="5"/>
  <c r="BG122" i="5"/>
  <c r="BK122" i="5"/>
  <c r="BE122" i="5"/>
  <c r="AV122" i="5"/>
  <c r="BC122" i="5" s="1"/>
  <c r="BA122" i="5"/>
  <c r="AZ122" i="5"/>
  <c r="AY122" i="5"/>
  <c r="AU122" i="5"/>
  <c r="BB122" i="5" s="1"/>
  <c r="CF114" i="5"/>
  <c r="CK114" i="5"/>
  <c r="CE114" i="5"/>
  <c r="CI114" i="5"/>
  <c r="CC114" i="5"/>
  <c r="CD114" i="5"/>
  <c r="CA114" i="5"/>
  <c r="BV114" i="5"/>
  <c r="BR114" i="5"/>
  <c r="BQ114" i="5"/>
  <c r="BW114" i="5"/>
  <c r="BY114" i="5"/>
  <c r="BU114" i="5"/>
  <c r="BT114" i="5"/>
  <c r="BS114" i="5"/>
  <c r="BM114" i="5"/>
  <c r="BH114" i="5"/>
  <c r="BI114" i="5"/>
  <c r="BF114" i="5"/>
  <c r="BK114" i="5"/>
  <c r="BJ114" i="5"/>
  <c r="BG114" i="5"/>
  <c r="BE114" i="5"/>
  <c r="AV114" i="5"/>
  <c r="BO114" i="5" s="1"/>
  <c r="BA114" i="5"/>
  <c r="AZ114" i="5"/>
  <c r="AY114" i="5"/>
  <c r="AU114" i="5"/>
  <c r="BB114" i="5" s="1"/>
  <c r="CF106" i="5"/>
  <c r="CE106" i="5"/>
  <c r="CK106" i="5"/>
  <c r="CC106" i="5"/>
  <c r="CI106" i="5"/>
  <c r="CA106" i="5"/>
  <c r="BW106" i="5"/>
  <c r="CD106" i="5"/>
  <c r="BV106" i="5"/>
  <c r="BR106" i="5"/>
  <c r="BQ106" i="5"/>
  <c r="BS106" i="5"/>
  <c r="BU106" i="5"/>
  <c r="BY106" i="5"/>
  <c r="BM106" i="5"/>
  <c r="BH106" i="5"/>
  <c r="BF106" i="5"/>
  <c r="BI106" i="5"/>
  <c r="BT106" i="5"/>
  <c r="BG106" i="5"/>
  <c r="BJ106" i="5"/>
  <c r="BK106" i="5"/>
  <c r="AV106" i="5"/>
  <c r="BC106" i="5" s="1"/>
  <c r="BA106" i="5"/>
  <c r="AZ106" i="5"/>
  <c r="AY106" i="5"/>
  <c r="BE106" i="5"/>
  <c r="AU106" i="5"/>
  <c r="BN106" i="5" s="1"/>
  <c r="CF98" i="5"/>
  <c r="CI98" i="5"/>
  <c r="CE98" i="5"/>
  <c r="CK98" i="5"/>
  <c r="CC98" i="5"/>
  <c r="CD98" i="5"/>
  <c r="BY98" i="5"/>
  <c r="BV98" i="5"/>
  <c r="BR98" i="5"/>
  <c r="BQ98" i="5"/>
  <c r="CA98" i="5"/>
  <c r="BT98" i="5"/>
  <c r="BW98" i="5"/>
  <c r="BS98" i="5"/>
  <c r="BU98" i="5"/>
  <c r="BM98" i="5"/>
  <c r="BH98" i="5"/>
  <c r="BF98" i="5"/>
  <c r="BK98" i="5"/>
  <c r="BJ98" i="5"/>
  <c r="BI98" i="5"/>
  <c r="BG98" i="5"/>
  <c r="AV98" i="5"/>
  <c r="BO98" i="5" s="1"/>
  <c r="BA98" i="5"/>
  <c r="BE98" i="5"/>
  <c r="AZ98" i="5"/>
  <c r="AY98" i="5"/>
  <c r="AU98" i="5"/>
  <c r="BB98" i="5" s="1"/>
  <c r="CF90" i="5"/>
  <c r="CE90" i="5"/>
  <c r="CI90" i="5"/>
  <c r="CC90" i="5"/>
  <c r="CK90" i="5"/>
  <c r="CA90" i="5"/>
  <c r="CD90" i="5"/>
  <c r="BW90" i="5"/>
  <c r="BV90" i="5"/>
  <c r="BR90" i="5"/>
  <c r="BQ90" i="5"/>
  <c r="BY90" i="5"/>
  <c r="BU90" i="5"/>
  <c r="BT90" i="5"/>
  <c r="BM90" i="5"/>
  <c r="BH90" i="5"/>
  <c r="BF90" i="5"/>
  <c r="BK90" i="5"/>
  <c r="BG90" i="5"/>
  <c r="BI90" i="5"/>
  <c r="BE90" i="5"/>
  <c r="BS90" i="5"/>
  <c r="BJ90" i="5"/>
  <c r="AV90" i="5"/>
  <c r="BC90" i="5" s="1"/>
  <c r="BA90" i="5"/>
  <c r="AZ90" i="5"/>
  <c r="AY90" i="5"/>
  <c r="AU90" i="5"/>
  <c r="BN90" i="5" s="1"/>
  <c r="CF74" i="5"/>
  <c r="CE74" i="5"/>
  <c r="CK74" i="5"/>
  <c r="CI74" i="5"/>
  <c r="CC74" i="5"/>
  <c r="CA74" i="5"/>
  <c r="BW74" i="5"/>
  <c r="BY74" i="5"/>
  <c r="BV74" i="5"/>
  <c r="BR74" i="5"/>
  <c r="BQ74" i="5"/>
  <c r="BU74" i="5"/>
  <c r="BT74" i="5"/>
  <c r="BS74" i="5"/>
  <c r="CD74" i="5"/>
  <c r="BM74" i="5"/>
  <c r="BH74" i="5"/>
  <c r="BF74" i="5"/>
  <c r="BJ74" i="5"/>
  <c r="BE74" i="5"/>
  <c r="BG74" i="5"/>
  <c r="BK74" i="5"/>
  <c r="BI74" i="5"/>
  <c r="AV74" i="5"/>
  <c r="BO74" i="5" s="1"/>
  <c r="AZ74" i="5"/>
  <c r="AY74" i="5"/>
  <c r="BA74" i="5"/>
  <c r="AU74" i="5"/>
  <c r="BB74" i="5" s="1"/>
  <c r="CF58" i="5"/>
  <c r="CE58" i="5"/>
  <c r="CI58" i="5"/>
  <c r="CK58" i="5"/>
  <c r="CC58" i="5"/>
  <c r="CA58" i="5"/>
  <c r="BW58" i="5"/>
  <c r="BV58" i="5"/>
  <c r="BY58" i="5"/>
  <c r="BR58" i="5"/>
  <c r="BQ58" i="5"/>
  <c r="BT58" i="5"/>
  <c r="BS58" i="5"/>
  <c r="CD58" i="5"/>
  <c r="BM58" i="5"/>
  <c r="BH58" i="5"/>
  <c r="BU58" i="5"/>
  <c r="BF58" i="5"/>
  <c r="BI58" i="5"/>
  <c r="BG58" i="5"/>
  <c r="BJ58" i="5"/>
  <c r="BE58" i="5"/>
  <c r="BK58" i="5"/>
  <c r="AV58" i="5"/>
  <c r="BO58" i="5" s="1"/>
  <c r="BA58" i="5"/>
  <c r="AZ58" i="5"/>
  <c r="AY58" i="5"/>
  <c r="AU58" i="5"/>
  <c r="BN58" i="5" s="1"/>
  <c r="CF42" i="5"/>
  <c r="CE42" i="5"/>
  <c r="CC42" i="5"/>
  <c r="CI42" i="5"/>
  <c r="CA42" i="5"/>
  <c r="CK42" i="5"/>
  <c r="CD42" i="5"/>
  <c r="BW42" i="5"/>
  <c r="BV42" i="5"/>
  <c r="BR42" i="5"/>
  <c r="BY42" i="5"/>
  <c r="BU42" i="5"/>
  <c r="BQ42" i="5"/>
  <c r="BS42" i="5"/>
  <c r="BM42" i="5"/>
  <c r="BH42" i="5"/>
  <c r="BF42" i="5"/>
  <c r="BT42" i="5"/>
  <c r="BE42" i="5"/>
  <c r="BK42" i="5"/>
  <c r="BG42" i="5"/>
  <c r="BI42" i="5"/>
  <c r="BJ42" i="5"/>
  <c r="AV42" i="5"/>
  <c r="BO42" i="5" s="1"/>
  <c r="AZ42" i="5"/>
  <c r="AY42" i="5"/>
  <c r="BA42" i="5"/>
  <c r="AU42" i="5"/>
  <c r="BN42" i="5" s="1"/>
  <c r="CF34" i="5"/>
  <c r="CI34" i="5"/>
  <c r="CE34" i="5"/>
  <c r="CD34" i="5"/>
  <c r="CC34" i="5"/>
  <c r="CA34" i="5"/>
  <c r="CK34" i="5"/>
  <c r="BY34" i="5"/>
  <c r="BV34" i="5"/>
  <c r="BR34" i="5"/>
  <c r="BQ34" i="5"/>
  <c r="BW34" i="5"/>
  <c r="BT34" i="5"/>
  <c r="BU34" i="5"/>
  <c r="BS34" i="5"/>
  <c r="BM34" i="5"/>
  <c r="BH34" i="5"/>
  <c r="BF34" i="5"/>
  <c r="BK34" i="5"/>
  <c r="BJ34" i="5"/>
  <c r="BI34" i="5"/>
  <c r="BE34" i="5"/>
  <c r="BG34" i="5"/>
  <c r="AV34" i="5"/>
  <c r="BC34" i="5" s="1"/>
  <c r="BA34" i="5"/>
  <c r="AZ34" i="5"/>
  <c r="AY34" i="5"/>
  <c r="AU34" i="5"/>
  <c r="BN34" i="5" s="1"/>
  <c r="CF10" i="5"/>
  <c r="CE10" i="5"/>
  <c r="CK10" i="5"/>
  <c r="CC10" i="5"/>
  <c r="CI10" i="5"/>
  <c r="CD10" i="5"/>
  <c r="CA10" i="5"/>
  <c r="BY10" i="5"/>
  <c r="BV10" i="5"/>
  <c r="BR10" i="5"/>
  <c r="BU10" i="5"/>
  <c r="BQ10" i="5"/>
  <c r="BT10" i="5"/>
  <c r="BW10" i="5"/>
  <c r="BS10" i="5"/>
  <c r="BM10" i="5"/>
  <c r="BH10" i="5"/>
  <c r="BF10" i="5"/>
  <c r="BJ10" i="5"/>
  <c r="BK10" i="5"/>
  <c r="BE10" i="5"/>
  <c r="BI10" i="5"/>
  <c r="BG10" i="5"/>
  <c r="AZ10" i="5"/>
  <c r="AY10" i="5"/>
  <c r="BA10" i="5"/>
  <c r="AU10" i="5"/>
  <c r="BN10" i="5" s="1"/>
  <c r="AV10" i="5"/>
  <c r="BO10" i="5" s="1"/>
  <c r="AT169" i="5"/>
  <c r="AT161" i="5"/>
  <c r="AT153" i="5"/>
  <c r="AT145" i="5"/>
  <c r="AT137" i="5"/>
  <c r="AT129" i="5"/>
  <c r="AT121" i="5"/>
  <c r="AT113" i="5"/>
  <c r="AT105" i="5"/>
  <c r="AT97" i="5"/>
  <c r="AT89" i="5"/>
  <c r="AT81" i="5"/>
  <c r="AT73" i="5"/>
  <c r="AT65" i="5"/>
  <c r="AT57" i="5"/>
  <c r="AT49" i="5"/>
  <c r="AT41" i="5"/>
  <c r="AT33" i="5"/>
  <c r="AT25" i="5"/>
  <c r="AT17" i="5"/>
  <c r="AT9" i="5"/>
  <c r="AX26" i="5"/>
  <c r="AX90" i="5"/>
  <c r="AX154" i="5"/>
  <c r="AT168" i="5"/>
  <c r="AT160" i="5"/>
  <c r="AT152" i="5"/>
  <c r="AT144" i="5"/>
  <c r="AT136" i="5"/>
  <c r="AT128" i="5"/>
  <c r="AT120" i="5"/>
  <c r="AT112" i="5"/>
  <c r="AT104" i="5"/>
  <c r="AT96" i="5"/>
  <c r="AT88" i="5"/>
  <c r="AT80" i="5"/>
  <c r="AT72" i="5"/>
  <c r="AT64" i="5"/>
  <c r="AT56" i="5"/>
  <c r="AT48" i="5"/>
  <c r="AT40" i="5"/>
  <c r="AT32" i="5"/>
  <c r="AT24" i="5"/>
  <c r="AT16" i="5"/>
  <c r="AT8" i="5"/>
  <c r="AX34" i="5"/>
  <c r="AX177" i="5" s="1"/>
  <c r="AX98" i="5"/>
  <c r="AX162" i="5"/>
  <c r="AT167" i="5"/>
  <c r="AT159" i="5"/>
  <c r="AT151" i="5"/>
  <c r="AT143" i="5"/>
  <c r="AT135" i="5"/>
  <c r="AT127" i="5"/>
  <c r="AT119" i="5"/>
  <c r="AT111" i="5"/>
  <c r="AT103" i="5"/>
  <c r="AT95" i="5"/>
  <c r="AT87" i="5"/>
  <c r="AT79" i="5"/>
  <c r="AT71" i="5"/>
  <c r="AT63" i="5"/>
  <c r="AT55" i="5"/>
  <c r="AT47" i="5"/>
  <c r="AT39" i="5"/>
  <c r="AT31" i="5"/>
  <c r="AT23" i="5"/>
  <c r="AT15" i="5"/>
  <c r="AT7" i="5"/>
  <c r="AX42" i="5"/>
  <c r="AX178" i="5" s="1"/>
  <c r="AX106" i="5"/>
  <c r="AX170" i="5"/>
  <c r="AT166" i="5"/>
  <c r="AT158" i="5"/>
  <c r="AT150" i="5"/>
  <c r="AT142" i="5"/>
  <c r="AT134" i="5"/>
  <c r="AT126" i="5"/>
  <c r="AT118" i="5"/>
  <c r="AT110" i="5"/>
  <c r="AT102" i="5"/>
  <c r="AT94" i="5"/>
  <c r="AT86" i="5"/>
  <c r="AT78" i="5"/>
  <c r="AT70" i="5"/>
  <c r="AT62" i="5"/>
  <c r="AT54" i="5"/>
  <c r="AT46" i="5"/>
  <c r="AT38" i="5"/>
  <c r="AT30" i="5"/>
  <c r="AT22" i="5"/>
  <c r="AT14" i="5"/>
  <c r="AT6" i="5"/>
  <c r="AX50" i="5"/>
  <c r="AX114" i="5"/>
  <c r="AT165" i="5"/>
  <c r="AT157" i="5"/>
  <c r="AT149" i="5"/>
  <c r="AT141" i="5"/>
  <c r="AT133" i="5"/>
  <c r="AT125" i="5"/>
  <c r="AT117" i="5"/>
  <c r="AT109" i="5"/>
  <c r="AT101" i="5"/>
  <c r="AT93" i="5"/>
  <c r="AT85" i="5"/>
  <c r="AT77" i="5"/>
  <c r="AT69" i="5"/>
  <c r="AT61" i="5"/>
  <c r="AT53" i="5"/>
  <c r="AT45" i="5"/>
  <c r="AT37" i="5"/>
  <c r="AT29" i="5"/>
  <c r="AT21" i="5"/>
  <c r="AW173" i="5"/>
  <c r="AW174" i="5" s="1"/>
  <c r="AX58" i="5"/>
  <c r="AX122" i="5"/>
  <c r="BD122" i="5" s="1"/>
  <c r="AY28" i="5"/>
  <c r="AX2" i="5"/>
  <c r="AX66" i="5"/>
  <c r="AX130" i="5"/>
  <c r="AT164" i="5"/>
  <c r="AT156" i="5"/>
  <c r="AT148" i="5"/>
  <c r="AT140" i="5"/>
  <c r="AT132" i="5"/>
  <c r="AT124" i="5"/>
  <c r="BU100" i="5"/>
  <c r="AT163" i="5"/>
  <c r="AT155" i="5"/>
  <c r="AT147" i="5"/>
  <c r="AT139" i="5"/>
  <c r="AT131" i="5"/>
  <c r="AT123" i="5"/>
  <c r="AT115" i="5"/>
  <c r="AT107" i="5"/>
  <c r="AT99" i="5"/>
  <c r="AT91" i="5"/>
  <c r="AT83" i="5"/>
  <c r="AT75" i="5"/>
  <c r="AT67" i="5"/>
  <c r="AT59" i="5"/>
  <c r="AT51" i="5"/>
  <c r="AT43" i="5"/>
  <c r="AT35" i="5"/>
  <c r="AT27" i="5"/>
  <c r="AT19" i="5"/>
  <c r="AT11" i="5"/>
  <c r="AT3" i="5"/>
  <c r="AX10" i="5"/>
  <c r="BD10" i="5" s="1"/>
  <c r="AX74" i="5"/>
  <c r="BD74" i="5" s="1"/>
  <c r="AX138" i="5"/>
  <c r="BD138" i="5" s="1"/>
  <c r="AT146" i="5"/>
  <c r="AT82" i="5"/>
  <c r="AT18" i="5"/>
  <c r="C12" i="7"/>
  <c r="C13" i="7"/>
  <c r="C14" i="7"/>
  <c r="E51" i="9"/>
  <c r="BI20" i="5" l="1"/>
  <c r="BG84" i="5"/>
  <c r="BU28" i="5"/>
  <c r="BU20" i="5"/>
  <c r="BP162" i="5"/>
  <c r="CK20" i="5"/>
  <c r="AS194" i="5"/>
  <c r="L28" i="10"/>
  <c r="AY68" i="5"/>
  <c r="CE28" i="5"/>
  <c r="J11" i="14"/>
  <c r="AV202" i="5"/>
  <c r="BA202" i="5"/>
  <c r="AS190" i="5"/>
  <c r="AS191" i="5" s="1"/>
  <c r="H27" i="10"/>
  <c r="AS192" i="5"/>
  <c r="AY202" i="5"/>
  <c r="AS195" i="5"/>
  <c r="N13" i="14"/>
  <c r="AU202" i="5"/>
  <c r="AX202" i="5"/>
  <c r="F13" i="14"/>
  <c r="F16" i="14" s="1"/>
  <c r="G13" i="14"/>
  <c r="CI28" i="5"/>
  <c r="AS193" i="5"/>
  <c r="L26" i="10"/>
  <c r="AT202" i="5"/>
  <c r="AU196" i="5"/>
  <c r="AT196" i="5"/>
  <c r="H26" i="10"/>
  <c r="N38" i="14"/>
  <c r="J29" i="10"/>
  <c r="G29" i="10"/>
  <c r="H38" i="14"/>
  <c r="H41" i="14" s="1"/>
  <c r="H13" i="14"/>
  <c r="J12" i="14"/>
  <c r="G40" i="14"/>
  <c r="J40" i="14" s="1"/>
  <c r="I38" i="14"/>
  <c r="I13" i="14"/>
  <c r="AB10" i="14"/>
  <c r="AB11" i="14"/>
  <c r="AB45" i="14" s="1"/>
  <c r="F38" i="14"/>
  <c r="F41" i="14" s="1"/>
  <c r="F43" i="14" s="1"/>
  <c r="K29" i="10"/>
  <c r="D29" i="10"/>
  <c r="D32" i="10" s="1"/>
  <c r="E29" i="10"/>
  <c r="N41" i="14"/>
  <c r="J10" i="14"/>
  <c r="G38" i="14"/>
  <c r="AA10" i="14"/>
  <c r="G39" i="14"/>
  <c r="AA11" i="14"/>
  <c r="N40" i="14"/>
  <c r="F67" i="14"/>
  <c r="BF68" i="5"/>
  <c r="BL68" i="5"/>
  <c r="CI68" i="5"/>
  <c r="CE68" i="5"/>
  <c r="BW100" i="5"/>
  <c r="BR13" i="5"/>
  <c r="BE116" i="5"/>
  <c r="BS116" i="5"/>
  <c r="BI68" i="5"/>
  <c r="CJ68" i="5"/>
  <c r="CA100" i="5"/>
  <c r="BP50" i="5"/>
  <c r="BV68" i="5"/>
  <c r="CC100" i="5"/>
  <c r="BQ68" i="5"/>
  <c r="BA100" i="5"/>
  <c r="BP100" i="5" s="1"/>
  <c r="CE100" i="5"/>
  <c r="AV100" i="5"/>
  <c r="BO100" i="5" s="1"/>
  <c r="AZ68" i="5"/>
  <c r="BS68" i="5"/>
  <c r="BE100" i="5"/>
  <c r="CI100" i="5"/>
  <c r="AU100" i="5"/>
  <c r="BN100" i="5" s="1"/>
  <c r="BC68" i="5"/>
  <c r="BZ68" i="5"/>
  <c r="BM100" i="5"/>
  <c r="BG68" i="5"/>
  <c r="CG68" i="5"/>
  <c r="BI100" i="5"/>
  <c r="BD68" i="5"/>
  <c r="BM68" i="5"/>
  <c r="BW68" i="5"/>
  <c r="CC68" i="5"/>
  <c r="BH100" i="5"/>
  <c r="BV100" i="5"/>
  <c r="CD100" i="5"/>
  <c r="AU68" i="5"/>
  <c r="BB68" i="5" s="1"/>
  <c r="BP26" i="5"/>
  <c r="BA68" i="5"/>
  <c r="BP68" i="5" s="1"/>
  <c r="CB68" i="5" s="1"/>
  <c r="BK68" i="5"/>
  <c r="BR68" i="5"/>
  <c r="CK68" i="5"/>
  <c r="AZ100" i="5"/>
  <c r="BK100" i="5"/>
  <c r="BS100" i="5"/>
  <c r="CK100" i="5"/>
  <c r="BY68" i="5"/>
  <c r="BJ68" i="5"/>
  <c r="CA68" i="5"/>
  <c r="CF68" i="5"/>
  <c r="BD100" i="5"/>
  <c r="BJ100" i="5"/>
  <c r="BT100" i="5"/>
  <c r="BE68" i="5"/>
  <c r="BO68" i="5"/>
  <c r="BT68" i="5"/>
  <c r="CD68" i="5"/>
  <c r="BG100" i="5"/>
  <c r="BQ100" i="5"/>
  <c r="BY100" i="5"/>
  <c r="BP66" i="5"/>
  <c r="BH68" i="5"/>
  <c r="BU68" i="5"/>
  <c r="BX68" i="5"/>
  <c r="CH68" i="5"/>
  <c r="BF100" i="5"/>
  <c r="BR100" i="5"/>
  <c r="CF100" i="5"/>
  <c r="BF12" i="5"/>
  <c r="BI12" i="5"/>
  <c r="BE36" i="5"/>
  <c r="CF12" i="5"/>
  <c r="BM36" i="5"/>
  <c r="BK108" i="5"/>
  <c r="CE36" i="5"/>
  <c r="BV108" i="5"/>
  <c r="CF108" i="5"/>
  <c r="BP130" i="5"/>
  <c r="AZ84" i="5"/>
  <c r="AZ20" i="5"/>
  <c r="BQ84" i="5"/>
  <c r="BH20" i="5"/>
  <c r="BR84" i="5"/>
  <c r="BM20" i="5"/>
  <c r="CD84" i="5"/>
  <c r="CL180" i="5"/>
  <c r="E16" i="10" s="1"/>
  <c r="BS20" i="5"/>
  <c r="BI84" i="5"/>
  <c r="BW20" i="5"/>
  <c r="BT84" i="5"/>
  <c r="AV84" i="5"/>
  <c r="BC84" i="5" s="1"/>
  <c r="CF20" i="5"/>
  <c r="CA84" i="5"/>
  <c r="BQ52" i="5"/>
  <c r="BM52" i="5"/>
  <c r="BT52" i="5"/>
  <c r="BA52" i="5"/>
  <c r="BP52" i="5" s="1"/>
  <c r="CI52" i="5"/>
  <c r="CK52" i="5"/>
  <c r="AV20" i="5"/>
  <c r="BC20" i="5" s="1"/>
  <c r="BF20" i="5"/>
  <c r="BY20" i="5"/>
  <c r="CI20" i="5"/>
  <c r="BD84" i="5"/>
  <c r="BJ84" i="5"/>
  <c r="CF84" i="5"/>
  <c r="AU84" i="5"/>
  <c r="BN84" i="5" s="1"/>
  <c r="BK20" i="5"/>
  <c r="BT20" i="5"/>
  <c r="BA84" i="5"/>
  <c r="BP84" i="5" s="1"/>
  <c r="BU84" i="5"/>
  <c r="CC84" i="5"/>
  <c r="BD20" i="5"/>
  <c r="BJ20" i="5"/>
  <c r="CD20" i="5"/>
  <c r="BH84" i="5"/>
  <c r="CK84" i="5"/>
  <c r="BV84" i="5"/>
  <c r="BA20" i="5"/>
  <c r="BP20" i="5" s="1"/>
  <c r="BQ20" i="5"/>
  <c r="CA20" i="5"/>
  <c r="BM84" i="5"/>
  <c r="BW84" i="5"/>
  <c r="CI84" i="5"/>
  <c r="BG20" i="5"/>
  <c r="BR20" i="5"/>
  <c r="CE20" i="5"/>
  <c r="BK84" i="5"/>
  <c r="BS84" i="5"/>
  <c r="BE84" i="5"/>
  <c r="CM180" i="5"/>
  <c r="I11" i="13" s="1"/>
  <c r="I39" i="13" s="1"/>
  <c r="AB39" i="13" s="1"/>
  <c r="BK60" i="5"/>
  <c r="CF60" i="5"/>
  <c r="AW180" i="5"/>
  <c r="G11" i="13"/>
  <c r="F67" i="13"/>
  <c r="BC52" i="5"/>
  <c r="CC52" i="5"/>
  <c r="CD60" i="5"/>
  <c r="BI52" i="5"/>
  <c r="BM60" i="5"/>
  <c r="AU52" i="5"/>
  <c r="BN52" i="5" s="1"/>
  <c r="BY52" i="5"/>
  <c r="BU60" i="5"/>
  <c r="BV52" i="5"/>
  <c r="BW60" i="5"/>
  <c r="AZ92" i="5"/>
  <c r="AY5" i="5"/>
  <c r="BA44" i="5"/>
  <c r="BP44" i="5" s="1"/>
  <c r="CG44" i="5"/>
  <c r="BM44" i="5"/>
  <c r="BS92" i="5"/>
  <c r="BE5" i="5"/>
  <c r="CK92" i="5"/>
  <c r="BW5" i="5"/>
  <c r="CD44" i="5"/>
  <c r="BT92" i="5"/>
  <c r="BM5" i="5"/>
  <c r="BK44" i="5"/>
  <c r="BF92" i="5"/>
  <c r="BY5" i="5"/>
  <c r="CA5" i="5"/>
  <c r="CJ5" i="5"/>
  <c r="BI44" i="5"/>
  <c r="BD92" i="5"/>
  <c r="BT44" i="5"/>
  <c r="BK92" i="5"/>
  <c r="CA44" i="5"/>
  <c r="BR92" i="5"/>
  <c r="CI4" i="5"/>
  <c r="AT179" i="5"/>
  <c r="AS179" i="5"/>
  <c r="AX179" i="5"/>
  <c r="AT178" i="5"/>
  <c r="AS178" i="5"/>
  <c r="BF44" i="5"/>
  <c r="CH44" i="5"/>
  <c r="BE92" i="5"/>
  <c r="CE92" i="5"/>
  <c r="BK5" i="5"/>
  <c r="CG5" i="5"/>
  <c r="BU44" i="5"/>
  <c r="CJ44" i="5"/>
  <c r="BI92" i="5"/>
  <c r="CI92" i="5"/>
  <c r="AV5" i="5"/>
  <c r="BO5" i="5" s="1"/>
  <c r="BR5" i="5"/>
  <c r="CI5" i="5"/>
  <c r="AU92" i="5"/>
  <c r="BN92" i="5" s="1"/>
  <c r="CI44" i="5"/>
  <c r="BJ92" i="5"/>
  <c r="BX5" i="5"/>
  <c r="BY44" i="5"/>
  <c r="BA5" i="5"/>
  <c r="BP5" i="5" s="1"/>
  <c r="AU44" i="5"/>
  <c r="BN44" i="5" s="1"/>
  <c r="AZ44" i="5"/>
  <c r="BV44" i="5"/>
  <c r="BV92" i="5"/>
  <c r="AZ5" i="5"/>
  <c r="BH5" i="5"/>
  <c r="CD5" i="5"/>
  <c r="BU5" i="5"/>
  <c r="CC5" i="5"/>
  <c r="BS108" i="5"/>
  <c r="BV12" i="5"/>
  <c r="BU36" i="5"/>
  <c r="BA108" i="5"/>
  <c r="BP108" i="5" s="1"/>
  <c r="CE108" i="5"/>
  <c r="CI12" i="5"/>
  <c r="BM108" i="5"/>
  <c r="CC36" i="5"/>
  <c r="BA12" i="5"/>
  <c r="BP12" i="5" s="1"/>
  <c r="BG108" i="5"/>
  <c r="AU12" i="5"/>
  <c r="BN12" i="5" s="1"/>
  <c r="BM12" i="5"/>
  <c r="BQ108" i="5"/>
  <c r="BT12" i="5"/>
  <c r="BR36" i="5"/>
  <c r="AZ108" i="5"/>
  <c r="CC108" i="5"/>
  <c r="BC12" i="5"/>
  <c r="BJ12" i="5"/>
  <c r="BW12" i="5"/>
  <c r="BH36" i="5"/>
  <c r="BV36" i="5"/>
  <c r="CD36" i="5"/>
  <c r="BG52" i="5"/>
  <c r="BJ52" i="5"/>
  <c r="BW52" i="5"/>
  <c r="AZ60" i="5"/>
  <c r="BF60" i="5"/>
  <c r="BS60" i="5"/>
  <c r="CK60" i="5"/>
  <c r="BB108" i="5"/>
  <c r="BI108" i="5"/>
  <c r="BT108" i="5"/>
  <c r="CI108" i="5"/>
  <c r="AV108" i="5"/>
  <c r="BC108" i="5" s="1"/>
  <c r="AV60" i="5"/>
  <c r="BC60" i="5" s="1"/>
  <c r="AV36" i="5"/>
  <c r="BC36" i="5" s="1"/>
  <c r="BE12" i="5"/>
  <c r="BU12" i="5"/>
  <c r="CA12" i="5"/>
  <c r="BK36" i="5"/>
  <c r="BS36" i="5"/>
  <c r="CF36" i="5"/>
  <c r="BH52" i="5"/>
  <c r="BO52" i="5"/>
  <c r="CA52" i="5"/>
  <c r="BD60" i="5"/>
  <c r="BI60" i="5"/>
  <c r="BT60" i="5"/>
  <c r="CI60" i="5"/>
  <c r="BF108" i="5"/>
  <c r="BN108" i="5"/>
  <c r="BW108" i="5"/>
  <c r="BG12" i="5"/>
  <c r="BO12" i="5"/>
  <c r="CC12" i="5"/>
  <c r="AZ36" i="5"/>
  <c r="BF36" i="5"/>
  <c r="BT36" i="5"/>
  <c r="CK36" i="5"/>
  <c r="BK52" i="5"/>
  <c r="BR52" i="5"/>
  <c r="CE52" i="5"/>
  <c r="BA60" i="5"/>
  <c r="BP60" i="5" s="1"/>
  <c r="BJ60" i="5"/>
  <c r="BY60" i="5"/>
  <c r="BD108" i="5"/>
  <c r="BJ108" i="5"/>
  <c r="CA108" i="5"/>
  <c r="AU60" i="5"/>
  <c r="BB60" i="5" s="1"/>
  <c r="BQ12" i="5"/>
  <c r="CK12" i="5"/>
  <c r="BB42" i="5"/>
  <c r="BZ42" i="5" s="1"/>
  <c r="BR12" i="5"/>
  <c r="BY12" i="5"/>
  <c r="CD12" i="5"/>
  <c r="BA36" i="5"/>
  <c r="BP36" i="5" s="1"/>
  <c r="BY36" i="5"/>
  <c r="BS52" i="5"/>
  <c r="BG60" i="5"/>
  <c r="BU108" i="5"/>
  <c r="BR108" i="5"/>
  <c r="CD108" i="5"/>
  <c r="AY108" i="5"/>
  <c r="AY60" i="5"/>
  <c r="BH12" i="5"/>
  <c r="BD36" i="5"/>
  <c r="BI36" i="5"/>
  <c r="BW36" i="5"/>
  <c r="CI36" i="5"/>
  <c r="BE60" i="5"/>
  <c r="BQ60" i="5"/>
  <c r="CE60" i="5"/>
  <c r="AZ12" i="5"/>
  <c r="BJ36" i="5"/>
  <c r="AZ52" i="5"/>
  <c r="BE52" i="5"/>
  <c r="CF52" i="5"/>
  <c r="BR60" i="5"/>
  <c r="CA60" i="5"/>
  <c r="AY12" i="5"/>
  <c r="BD12" i="5"/>
  <c r="BK12" i="5"/>
  <c r="BS12" i="5"/>
  <c r="CE12" i="5"/>
  <c r="BG36" i="5"/>
  <c r="BQ36" i="5"/>
  <c r="CA36" i="5"/>
  <c r="BD52" i="5"/>
  <c r="CB52" i="5" s="1"/>
  <c r="BF52" i="5"/>
  <c r="BU52" i="5"/>
  <c r="CD52" i="5"/>
  <c r="BH60" i="5"/>
  <c r="BV60" i="5"/>
  <c r="BE108" i="5"/>
  <c r="BH108" i="5"/>
  <c r="BY108" i="5"/>
  <c r="CK108" i="5"/>
  <c r="AY52" i="5"/>
  <c r="AU36" i="5"/>
  <c r="BN36" i="5" s="1"/>
  <c r="BD44" i="5"/>
  <c r="CB44" i="5" s="1"/>
  <c r="BL44" i="5"/>
  <c r="BS44" i="5"/>
  <c r="CC44" i="5"/>
  <c r="BA92" i="5"/>
  <c r="BP92" i="5" s="1"/>
  <c r="CA92" i="5"/>
  <c r="BY92" i="5"/>
  <c r="BF5" i="5"/>
  <c r="BI5" i="5"/>
  <c r="BS5" i="5"/>
  <c r="BZ5" i="5"/>
  <c r="CF5" i="5"/>
  <c r="AV92" i="5"/>
  <c r="BC92" i="5" s="1"/>
  <c r="BH44" i="5"/>
  <c r="BJ44" i="5"/>
  <c r="BW44" i="5"/>
  <c r="CK44" i="5"/>
  <c r="BM92" i="5"/>
  <c r="BU92" i="5"/>
  <c r="CC92" i="5"/>
  <c r="BB5" i="5"/>
  <c r="BL5" i="5"/>
  <c r="BQ5" i="5"/>
  <c r="CK5" i="5"/>
  <c r="AV44" i="5"/>
  <c r="BC44" i="5" s="1"/>
  <c r="BE44" i="5"/>
  <c r="BQ44" i="5"/>
  <c r="BZ44" i="5"/>
  <c r="CE44" i="5"/>
  <c r="BH92" i="5"/>
  <c r="BQ92" i="5"/>
  <c r="CD92" i="5"/>
  <c r="BN5" i="5"/>
  <c r="BG5" i="5"/>
  <c r="BV5" i="5"/>
  <c r="CH5" i="5"/>
  <c r="AT177" i="5"/>
  <c r="AS177" i="5"/>
  <c r="BG44" i="5"/>
  <c r="BR44" i="5"/>
  <c r="BX44" i="5"/>
  <c r="CF44" i="5"/>
  <c r="BG92" i="5"/>
  <c r="BW92" i="5"/>
  <c r="CF92" i="5"/>
  <c r="BD5" i="5"/>
  <c r="BJ5" i="5"/>
  <c r="BT5" i="5"/>
  <c r="CE5" i="5"/>
  <c r="BP42" i="5"/>
  <c r="BX42" i="5" s="1"/>
  <c r="BF116" i="5"/>
  <c r="CE116" i="5"/>
  <c r="BT13" i="5"/>
  <c r="BQ116" i="5"/>
  <c r="CC116" i="5"/>
  <c r="AY13" i="5"/>
  <c r="CA13" i="5"/>
  <c r="AY116" i="5"/>
  <c r="BI116" i="5"/>
  <c r="CK116" i="5"/>
  <c r="BF13" i="5"/>
  <c r="CK13" i="5"/>
  <c r="BO116" i="5"/>
  <c r="BD13" i="5"/>
  <c r="CI13" i="5"/>
  <c r="BU116" i="5"/>
  <c r="BI13" i="5"/>
  <c r="AZ116" i="5"/>
  <c r="BY116" i="5"/>
  <c r="BJ13" i="5"/>
  <c r="BG116" i="5"/>
  <c r="BT116" i="5"/>
  <c r="BQ13" i="5"/>
  <c r="AU20" i="5"/>
  <c r="BB20" i="5" s="1"/>
  <c r="BE20" i="5"/>
  <c r="BV20" i="5"/>
  <c r="CC20" i="5"/>
  <c r="BF84" i="5"/>
  <c r="BY84" i="5"/>
  <c r="CE84" i="5"/>
  <c r="BZ28" i="5"/>
  <c r="CA28" i="5"/>
  <c r="BA28" i="5"/>
  <c r="BP28" i="5" s="1"/>
  <c r="BG28" i="5"/>
  <c r="BI28" i="5"/>
  <c r="BC42" i="5"/>
  <c r="BM4" i="5"/>
  <c r="BB4" i="5"/>
  <c r="BV4" i="5"/>
  <c r="CG4" i="5"/>
  <c r="AT176" i="5"/>
  <c r="AS176" i="5"/>
  <c r="BY76" i="5"/>
  <c r="BP114" i="5"/>
  <c r="BX114" i="5" s="1"/>
  <c r="AX176" i="5"/>
  <c r="BP106" i="5"/>
  <c r="BX106" i="5" s="1"/>
  <c r="BC116" i="5"/>
  <c r="BJ116" i="5"/>
  <c r="BV116" i="5"/>
  <c r="CI116" i="5"/>
  <c r="AV13" i="5"/>
  <c r="BC13" i="5" s="1"/>
  <c r="BM13" i="5"/>
  <c r="BU13" i="5"/>
  <c r="CG13" i="5"/>
  <c r="BH116" i="5"/>
  <c r="BR116" i="5"/>
  <c r="CA116" i="5"/>
  <c r="BA13" i="5"/>
  <c r="BP13" i="5" s="1"/>
  <c r="BK13" i="5"/>
  <c r="BV13" i="5"/>
  <c r="CF13" i="5"/>
  <c r="AU13" i="5"/>
  <c r="BN13" i="5" s="1"/>
  <c r="BA116" i="5"/>
  <c r="BP116" i="5" s="1"/>
  <c r="BK116" i="5"/>
  <c r="BW116" i="5"/>
  <c r="CF116" i="5"/>
  <c r="BH13" i="5"/>
  <c r="BW13" i="5"/>
  <c r="CD13" i="5"/>
  <c r="AU116" i="5"/>
  <c r="BN116" i="5" s="1"/>
  <c r="BE13" i="5"/>
  <c r="BS13" i="5"/>
  <c r="CC13" i="5"/>
  <c r="BD116" i="5"/>
  <c r="BM116" i="5"/>
  <c r="CD116" i="5"/>
  <c r="BG13" i="5"/>
  <c r="BY13" i="5"/>
  <c r="CE13" i="5"/>
  <c r="BP170" i="5"/>
  <c r="BE28" i="5"/>
  <c r="BJ28" i="5"/>
  <c r="BT28" i="5"/>
  <c r="CG28" i="5"/>
  <c r="BV28" i="5"/>
  <c r="CK28" i="5"/>
  <c r="BL28" i="5"/>
  <c r="BQ28" i="5"/>
  <c r="CF28" i="5"/>
  <c r="CJ28" i="5"/>
  <c r="BP98" i="5"/>
  <c r="BX98" i="5" s="1"/>
  <c r="AU28" i="5"/>
  <c r="BB28" i="5" s="1"/>
  <c r="AZ28" i="5"/>
  <c r="BR28" i="5"/>
  <c r="CD28" i="5"/>
  <c r="BC130" i="5"/>
  <c r="BM28" i="5"/>
  <c r="BD28" i="5"/>
  <c r="BF28" i="5"/>
  <c r="BS28" i="5"/>
  <c r="CC28" i="5"/>
  <c r="BW28" i="5"/>
  <c r="AV28" i="5"/>
  <c r="BC28" i="5" s="1"/>
  <c r="BH28" i="5"/>
  <c r="BY28" i="5"/>
  <c r="CH28" i="5"/>
  <c r="BK28" i="5"/>
  <c r="BB106" i="5"/>
  <c r="BZ106" i="5" s="1"/>
  <c r="BL4" i="5"/>
  <c r="BJ4" i="5"/>
  <c r="CE4" i="5"/>
  <c r="BC76" i="5"/>
  <c r="BH4" i="5"/>
  <c r="BU4" i="5"/>
  <c r="CJ4" i="5"/>
  <c r="CK4" i="5"/>
  <c r="BE76" i="5"/>
  <c r="BP154" i="5"/>
  <c r="BT4" i="5"/>
  <c r="AZ4" i="5"/>
  <c r="BF4" i="5"/>
  <c r="BQ4" i="5"/>
  <c r="BZ4" i="5"/>
  <c r="CH4" i="5"/>
  <c r="BK76" i="5"/>
  <c r="BP90" i="5"/>
  <c r="AY4" i="5"/>
  <c r="BK4" i="5"/>
  <c r="CA4" i="5"/>
  <c r="BC58" i="5"/>
  <c r="BD4" i="5"/>
  <c r="BR4" i="5"/>
  <c r="BT76" i="5"/>
  <c r="BI4" i="5"/>
  <c r="CC76" i="5"/>
  <c r="BA4" i="5"/>
  <c r="BP4" i="5" s="1"/>
  <c r="BW4" i="5"/>
  <c r="CD4" i="5"/>
  <c r="BG4" i="5"/>
  <c r="BN4" i="5"/>
  <c r="BX4" i="5"/>
  <c r="CF4" i="5"/>
  <c r="CF76" i="5"/>
  <c r="AV4" i="5"/>
  <c r="BC4" i="5" s="1"/>
  <c r="BB90" i="5"/>
  <c r="BZ90" i="5" s="1"/>
  <c r="BD90" i="5"/>
  <c r="BL90" i="5" s="1"/>
  <c r="BB50" i="5"/>
  <c r="BE4" i="5"/>
  <c r="BY4" i="5"/>
  <c r="BS4" i="5"/>
  <c r="CC4" i="5"/>
  <c r="AU76" i="5"/>
  <c r="BB76" i="5" s="1"/>
  <c r="BO66" i="5"/>
  <c r="BO106" i="5"/>
  <c r="AY76" i="5"/>
  <c r="BG76" i="5"/>
  <c r="BJ76" i="5"/>
  <c r="BV76" i="5"/>
  <c r="CI76" i="5"/>
  <c r="BC114" i="5"/>
  <c r="BM76" i="5"/>
  <c r="BO76" i="5"/>
  <c r="BW76" i="5"/>
  <c r="BP34" i="5"/>
  <c r="BX34" i="5" s="1"/>
  <c r="BB130" i="5"/>
  <c r="I11" i="12"/>
  <c r="I39" i="12" s="1"/>
  <c r="AB39" i="12" s="1"/>
  <c r="G5" i="10"/>
  <c r="BR76" i="5"/>
  <c r="BU76" i="5"/>
  <c r="CA76" i="5"/>
  <c r="BO122" i="5"/>
  <c r="BN138" i="5"/>
  <c r="BZ138" i="5" s="1"/>
  <c r="AZ76" i="5"/>
  <c r="BH76" i="5"/>
  <c r="BQ76" i="5"/>
  <c r="CK76" i="5"/>
  <c r="BN74" i="5"/>
  <c r="BZ74" i="5" s="1"/>
  <c r="G11" i="12"/>
  <c r="E5" i="10"/>
  <c r="BN122" i="5"/>
  <c r="BZ122" i="5" s="1"/>
  <c r="BC2" i="5"/>
  <c r="BP58" i="5"/>
  <c r="BX58" i="5" s="1"/>
  <c r="BD76" i="5"/>
  <c r="BF76" i="5"/>
  <c r="CD76" i="5"/>
  <c r="AS173" i="5"/>
  <c r="AS174" i="5" s="1"/>
  <c r="BA76" i="5"/>
  <c r="BP76" i="5" s="1"/>
  <c r="BI76" i="5"/>
  <c r="BS76" i="5"/>
  <c r="CE76" i="5"/>
  <c r="F67" i="12"/>
  <c r="CK43" i="5"/>
  <c r="CF43" i="5"/>
  <c r="CD43" i="5"/>
  <c r="CI43" i="5"/>
  <c r="CC43" i="5"/>
  <c r="CE43" i="5"/>
  <c r="BY43" i="5"/>
  <c r="BW43" i="5"/>
  <c r="BS43" i="5"/>
  <c r="BR43" i="5"/>
  <c r="BV43" i="5"/>
  <c r="CA43" i="5"/>
  <c r="BQ43" i="5"/>
  <c r="BU43" i="5"/>
  <c r="BT43" i="5"/>
  <c r="BI43" i="5"/>
  <c r="BM43" i="5"/>
  <c r="BK43" i="5"/>
  <c r="BG43" i="5"/>
  <c r="BJ43" i="5"/>
  <c r="BH43" i="5"/>
  <c r="BE43" i="5"/>
  <c r="BF43" i="5"/>
  <c r="BA43" i="5"/>
  <c r="BP43" i="5" s="1"/>
  <c r="AZ43" i="5"/>
  <c r="AY43" i="5"/>
  <c r="BD43" i="5"/>
  <c r="AV43" i="5"/>
  <c r="BO43" i="5" s="1"/>
  <c r="AU43" i="5"/>
  <c r="BN43" i="5" s="1"/>
  <c r="CK107" i="5"/>
  <c r="CI107" i="5"/>
  <c r="CD107" i="5"/>
  <c r="CF107" i="5"/>
  <c r="CE107" i="5"/>
  <c r="BY107" i="5"/>
  <c r="BW107" i="5"/>
  <c r="CA107" i="5"/>
  <c r="BS107" i="5"/>
  <c r="BR107" i="5"/>
  <c r="CC107" i="5"/>
  <c r="BV107" i="5"/>
  <c r="BQ107" i="5"/>
  <c r="BU107" i="5"/>
  <c r="BT107" i="5"/>
  <c r="BI107" i="5"/>
  <c r="BM107" i="5"/>
  <c r="BK107" i="5"/>
  <c r="BG107" i="5"/>
  <c r="BJ107" i="5"/>
  <c r="BH107" i="5"/>
  <c r="BE107" i="5"/>
  <c r="BF107" i="5"/>
  <c r="BA107" i="5"/>
  <c r="BP107" i="5" s="1"/>
  <c r="AZ107" i="5"/>
  <c r="AY107" i="5"/>
  <c r="BD107" i="5"/>
  <c r="AV107" i="5"/>
  <c r="BO107" i="5" s="1"/>
  <c r="AU107" i="5"/>
  <c r="BB107" i="5" s="1"/>
  <c r="CF82" i="5"/>
  <c r="CK82" i="5"/>
  <c r="CE82" i="5"/>
  <c r="CI82" i="5"/>
  <c r="CC82" i="5"/>
  <c r="CD82" i="5"/>
  <c r="BV82" i="5"/>
  <c r="BR82" i="5"/>
  <c r="BY82" i="5"/>
  <c r="BQ82" i="5"/>
  <c r="CA82" i="5"/>
  <c r="BS82" i="5"/>
  <c r="BU82" i="5"/>
  <c r="BW82" i="5"/>
  <c r="BT82" i="5"/>
  <c r="BM82" i="5"/>
  <c r="BH82" i="5"/>
  <c r="BK82" i="5"/>
  <c r="BF82" i="5"/>
  <c r="BJ82" i="5"/>
  <c r="BI82" i="5"/>
  <c r="BD82" i="5"/>
  <c r="BG82" i="5"/>
  <c r="BE82" i="5"/>
  <c r="AV82" i="5"/>
  <c r="BC82" i="5" s="1"/>
  <c r="AZ82" i="5"/>
  <c r="AY82" i="5"/>
  <c r="BA82" i="5"/>
  <c r="BP82" i="5" s="1"/>
  <c r="AU82" i="5"/>
  <c r="BB82" i="5" s="1"/>
  <c r="CF146" i="5"/>
  <c r="CK146" i="5"/>
  <c r="CE146" i="5"/>
  <c r="CC146" i="5"/>
  <c r="CI146" i="5"/>
  <c r="CD146" i="5"/>
  <c r="CA146" i="5"/>
  <c r="BV146" i="5"/>
  <c r="BR146" i="5"/>
  <c r="BW146" i="5"/>
  <c r="BY146" i="5"/>
  <c r="BS146" i="5"/>
  <c r="BQ146" i="5"/>
  <c r="BU146" i="5"/>
  <c r="BT146" i="5"/>
  <c r="BM146" i="5"/>
  <c r="BH146" i="5"/>
  <c r="BK146" i="5"/>
  <c r="BF146" i="5"/>
  <c r="BJ146" i="5"/>
  <c r="BI146" i="5"/>
  <c r="BD146" i="5"/>
  <c r="BG146" i="5"/>
  <c r="AV146" i="5"/>
  <c r="BC146" i="5" s="1"/>
  <c r="BA146" i="5"/>
  <c r="BP146" i="5" s="1"/>
  <c r="AZ146" i="5"/>
  <c r="AY146" i="5"/>
  <c r="AU146" i="5"/>
  <c r="BN146" i="5" s="1"/>
  <c r="BE146" i="5"/>
  <c r="CK59" i="5"/>
  <c r="CF59" i="5"/>
  <c r="CI59" i="5"/>
  <c r="CD59" i="5"/>
  <c r="CE59" i="5"/>
  <c r="BY59" i="5"/>
  <c r="BW59" i="5"/>
  <c r="CA59" i="5"/>
  <c r="BS59" i="5"/>
  <c r="BR59" i="5"/>
  <c r="BV59" i="5"/>
  <c r="CC59" i="5"/>
  <c r="BT59" i="5"/>
  <c r="BU59" i="5"/>
  <c r="BI59" i="5"/>
  <c r="BM59" i="5"/>
  <c r="BG59" i="5"/>
  <c r="BK59" i="5"/>
  <c r="BJ59" i="5"/>
  <c r="BH59" i="5"/>
  <c r="BQ59" i="5"/>
  <c r="BE59" i="5"/>
  <c r="BF59" i="5"/>
  <c r="BA59" i="5"/>
  <c r="BP59" i="5" s="1"/>
  <c r="AZ59" i="5"/>
  <c r="AY59" i="5"/>
  <c r="BD59" i="5"/>
  <c r="AV59" i="5"/>
  <c r="BO59" i="5" s="1"/>
  <c r="AU59" i="5"/>
  <c r="BN59" i="5" s="1"/>
  <c r="BO34" i="5"/>
  <c r="BD42" i="5"/>
  <c r="BL42" i="5" s="1"/>
  <c r="BL122" i="5"/>
  <c r="BD130" i="5"/>
  <c r="CB130" i="5" s="1"/>
  <c r="BL138" i="5"/>
  <c r="BN66" i="5"/>
  <c r="BZ66" i="5" s="1"/>
  <c r="BN2" i="5"/>
  <c r="BC154" i="5"/>
  <c r="BN154" i="5"/>
  <c r="BZ154" i="5" s="1"/>
  <c r="BN162" i="5"/>
  <c r="BZ162" i="5" s="1"/>
  <c r="CK123" i="5"/>
  <c r="CD123" i="5"/>
  <c r="CF123" i="5"/>
  <c r="CE123" i="5"/>
  <c r="CI123" i="5"/>
  <c r="BY123" i="5"/>
  <c r="BW123" i="5"/>
  <c r="CC123" i="5"/>
  <c r="BS123" i="5"/>
  <c r="BR123" i="5"/>
  <c r="BV123" i="5"/>
  <c r="BT123" i="5"/>
  <c r="CA123" i="5"/>
  <c r="BU123" i="5"/>
  <c r="BI123" i="5"/>
  <c r="BM123" i="5"/>
  <c r="BQ123" i="5"/>
  <c r="BG123" i="5"/>
  <c r="BK123" i="5"/>
  <c r="BJ123" i="5"/>
  <c r="BH123" i="5"/>
  <c r="BE123" i="5"/>
  <c r="BF123" i="5"/>
  <c r="BA123" i="5"/>
  <c r="BP123" i="5" s="1"/>
  <c r="AZ123" i="5"/>
  <c r="AY123" i="5"/>
  <c r="BD123" i="5"/>
  <c r="AU123" i="5"/>
  <c r="BN123" i="5" s="1"/>
  <c r="AV123" i="5"/>
  <c r="BC123" i="5" s="1"/>
  <c r="CF77" i="5"/>
  <c r="CI77" i="5"/>
  <c r="CK77" i="5"/>
  <c r="CE77" i="5"/>
  <c r="CD77" i="5"/>
  <c r="CC77" i="5"/>
  <c r="CA77" i="5"/>
  <c r="BU77" i="5"/>
  <c r="BV77" i="5"/>
  <c r="BT77" i="5"/>
  <c r="BQ77" i="5"/>
  <c r="BY77" i="5"/>
  <c r="BW77" i="5"/>
  <c r="BS77" i="5"/>
  <c r="BR77" i="5"/>
  <c r="BK77" i="5"/>
  <c r="BJ77" i="5"/>
  <c r="BM77" i="5"/>
  <c r="BI77" i="5"/>
  <c r="BG77" i="5"/>
  <c r="BH77" i="5"/>
  <c r="BE77" i="5"/>
  <c r="BD77" i="5"/>
  <c r="BA77" i="5"/>
  <c r="BP77" i="5" s="1"/>
  <c r="BF77" i="5"/>
  <c r="AV77" i="5"/>
  <c r="BO77" i="5" s="1"/>
  <c r="AY77" i="5"/>
  <c r="AZ77" i="5"/>
  <c r="AU77" i="5"/>
  <c r="BB77" i="5" s="1"/>
  <c r="CK40" i="5"/>
  <c r="CJ40" i="5"/>
  <c r="CI40" i="5"/>
  <c r="CG40" i="5"/>
  <c r="CE40" i="5"/>
  <c r="CD40" i="5"/>
  <c r="CA40" i="5"/>
  <c r="CF40" i="5"/>
  <c r="CC40" i="5"/>
  <c r="CH40" i="5"/>
  <c r="BZ40" i="5"/>
  <c r="BY40" i="5"/>
  <c r="BU40" i="5"/>
  <c r="BV40" i="5"/>
  <c r="BT40" i="5"/>
  <c r="BR40" i="5"/>
  <c r="BW40" i="5"/>
  <c r="BQ40" i="5"/>
  <c r="BX40" i="5"/>
  <c r="BL40" i="5"/>
  <c r="BJ40" i="5"/>
  <c r="BH40" i="5"/>
  <c r="BS40" i="5"/>
  <c r="BG40" i="5"/>
  <c r="BK40" i="5"/>
  <c r="BI40" i="5"/>
  <c r="BF40" i="5"/>
  <c r="BM40" i="5"/>
  <c r="AZ40" i="5"/>
  <c r="AY40" i="5"/>
  <c r="BE40" i="5"/>
  <c r="BD40" i="5"/>
  <c r="BA40" i="5"/>
  <c r="BP40" i="5" s="1"/>
  <c r="AV40" i="5"/>
  <c r="BO40" i="5" s="1"/>
  <c r="AU40" i="5"/>
  <c r="BN40" i="5" s="1"/>
  <c r="CK104" i="5"/>
  <c r="CD104" i="5"/>
  <c r="CE104" i="5"/>
  <c r="CI104" i="5"/>
  <c r="CF104" i="5"/>
  <c r="CC104" i="5"/>
  <c r="CA104" i="5"/>
  <c r="BY104" i="5"/>
  <c r="BW104" i="5"/>
  <c r="BV104" i="5"/>
  <c r="BT104" i="5"/>
  <c r="BR104" i="5"/>
  <c r="BQ104" i="5"/>
  <c r="BU104" i="5"/>
  <c r="BJ104" i="5"/>
  <c r="BS104" i="5"/>
  <c r="BH104" i="5"/>
  <c r="BG104" i="5"/>
  <c r="BF104" i="5"/>
  <c r="BM104" i="5"/>
  <c r="BK104" i="5"/>
  <c r="BI104" i="5"/>
  <c r="BA104" i="5"/>
  <c r="BP104" i="5" s="1"/>
  <c r="AZ104" i="5"/>
  <c r="AY104" i="5"/>
  <c r="BE104" i="5"/>
  <c r="BD104" i="5"/>
  <c r="AU104" i="5"/>
  <c r="BB104" i="5" s="1"/>
  <c r="AV104" i="5"/>
  <c r="BC104" i="5" s="1"/>
  <c r="CK168" i="5"/>
  <c r="CF168" i="5"/>
  <c r="CI168" i="5"/>
  <c r="CE168" i="5"/>
  <c r="CD168" i="5"/>
  <c r="CC168" i="5"/>
  <c r="CA168" i="5"/>
  <c r="BY168" i="5"/>
  <c r="BW168" i="5"/>
  <c r="BV168" i="5"/>
  <c r="BT168" i="5"/>
  <c r="BR168" i="5"/>
  <c r="BU168" i="5"/>
  <c r="BS168" i="5"/>
  <c r="BJ168" i="5"/>
  <c r="BH168" i="5"/>
  <c r="BG168" i="5"/>
  <c r="BK168" i="5"/>
  <c r="BF168" i="5"/>
  <c r="BI168" i="5"/>
  <c r="BQ168" i="5"/>
  <c r="BM168" i="5"/>
  <c r="BE168" i="5"/>
  <c r="BA168" i="5"/>
  <c r="BP168" i="5" s="1"/>
  <c r="AZ168" i="5"/>
  <c r="AY168" i="5"/>
  <c r="AV168" i="5"/>
  <c r="BO168" i="5" s="1"/>
  <c r="AU168" i="5"/>
  <c r="BN168" i="5" s="1"/>
  <c r="BD168" i="5"/>
  <c r="CI65" i="5"/>
  <c r="CF65" i="5"/>
  <c r="CE65" i="5"/>
  <c r="CK65" i="5"/>
  <c r="CD65" i="5"/>
  <c r="CC65" i="5"/>
  <c r="BW65" i="5"/>
  <c r="CA65" i="5"/>
  <c r="BQ65" i="5"/>
  <c r="BV65" i="5"/>
  <c r="BU65" i="5"/>
  <c r="BR65" i="5"/>
  <c r="BT65" i="5"/>
  <c r="BY65" i="5"/>
  <c r="BS65" i="5"/>
  <c r="BK65" i="5"/>
  <c r="BE65" i="5"/>
  <c r="BF65" i="5"/>
  <c r="BI65" i="5"/>
  <c r="BH65" i="5"/>
  <c r="BG65" i="5"/>
  <c r="BJ65" i="5"/>
  <c r="BM65" i="5"/>
  <c r="BA65" i="5"/>
  <c r="BP65" i="5" s="1"/>
  <c r="AV65" i="5"/>
  <c r="BC65" i="5" s="1"/>
  <c r="BD65" i="5"/>
  <c r="AZ65" i="5"/>
  <c r="AY65" i="5"/>
  <c r="AU65" i="5"/>
  <c r="BB65" i="5" s="1"/>
  <c r="CI129" i="5"/>
  <c r="CF129" i="5"/>
  <c r="CK129" i="5"/>
  <c r="CE129" i="5"/>
  <c r="CD129" i="5"/>
  <c r="CC129" i="5"/>
  <c r="CA129" i="5"/>
  <c r="BW129" i="5"/>
  <c r="BQ129" i="5"/>
  <c r="BV129" i="5"/>
  <c r="BU129" i="5"/>
  <c r="BR129" i="5"/>
  <c r="BT129" i="5"/>
  <c r="BY129" i="5"/>
  <c r="BS129" i="5"/>
  <c r="BK129" i="5"/>
  <c r="BE129" i="5"/>
  <c r="BJ129" i="5"/>
  <c r="BM129" i="5"/>
  <c r="BH129" i="5"/>
  <c r="BG129" i="5"/>
  <c r="BI129" i="5"/>
  <c r="BA129" i="5"/>
  <c r="BP129" i="5" s="1"/>
  <c r="AV129" i="5"/>
  <c r="BO129" i="5" s="1"/>
  <c r="BD129" i="5"/>
  <c r="AZ129" i="5"/>
  <c r="AY129" i="5"/>
  <c r="BF129" i="5"/>
  <c r="AU129" i="5"/>
  <c r="BN129" i="5" s="1"/>
  <c r="BL10" i="5"/>
  <c r="BD114" i="5"/>
  <c r="BL114" i="5" s="1"/>
  <c r="BP122" i="5"/>
  <c r="CB122" i="5" s="1"/>
  <c r="BN26" i="5"/>
  <c r="CI63" i="5"/>
  <c r="CF63" i="5"/>
  <c r="CK63" i="5"/>
  <c r="CE63" i="5"/>
  <c r="CD63" i="5"/>
  <c r="CC63" i="5"/>
  <c r="CA63" i="5"/>
  <c r="BY63" i="5"/>
  <c r="BW63" i="5"/>
  <c r="BV63" i="5"/>
  <c r="BS63" i="5"/>
  <c r="BQ63" i="5"/>
  <c r="BU63" i="5"/>
  <c r="BT63" i="5"/>
  <c r="BR63" i="5"/>
  <c r="BI63" i="5"/>
  <c r="BK63" i="5"/>
  <c r="BG63" i="5"/>
  <c r="BF63" i="5"/>
  <c r="BE63" i="5"/>
  <c r="BA63" i="5"/>
  <c r="BP63" i="5" s="1"/>
  <c r="BH63" i="5"/>
  <c r="BJ63" i="5"/>
  <c r="BM63" i="5"/>
  <c r="BD63" i="5"/>
  <c r="AZ63" i="5"/>
  <c r="AY63" i="5"/>
  <c r="AV63" i="5"/>
  <c r="BO63" i="5" s="1"/>
  <c r="AU63" i="5"/>
  <c r="BN63" i="5" s="1"/>
  <c r="CI127" i="5"/>
  <c r="CK127" i="5"/>
  <c r="CF127" i="5"/>
  <c r="CD127" i="5"/>
  <c r="CE127" i="5"/>
  <c r="CC127" i="5"/>
  <c r="CA127" i="5"/>
  <c r="BY127" i="5"/>
  <c r="BW127" i="5"/>
  <c r="BV127" i="5"/>
  <c r="BS127" i="5"/>
  <c r="BQ127" i="5"/>
  <c r="BU127" i="5"/>
  <c r="BT127" i="5"/>
  <c r="BI127" i="5"/>
  <c r="BK127" i="5"/>
  <c r="BG127" i="5"/>
  <c r="BJ127" i="5"/>
  <c r="BM127" i="5"/>
  <c r="BF127" i="5"/>
  <c r="BR127" i="5"/>
  <c r="BH127" i="5"/>
  <c r="BD127" i="5"/>
  <c r="AZ127" i="5"/>
  <c r="AY127" i="5"/>
  <c r="AV127" i="5"/>
  <c r="BC127" i="5" s="1"/>
  <c r="AU127" i="5"/>
  <c r="BN127" i="5" s="1"/>
  <c r="BA127" i="5"/>
  <c r="BP127" i="5" s="1"/>
  <c r="BE127" i="5"/>
  <c r="CK11" i="5"/>
  <c r="CI11" i="5"/>
  <c r="CF11" i="5"/>
  <c r="CE11" i="5"/>
  <c r="CD11" i="5"/>
  <c r="CC11" i="5"/>
  <c r="BY11" i="5"/>
  <c r="BW11" i="5"/>
  <c r="BS11" i="5"/>
  <c r="BR11" i="5"/>
  <c r="CA11" i="5"/>
  <c r="BU11" i="5"/>
  <c r="BT11" i="5"/>
  <c r="BQ11" i="5"/>
  <c r="BI11" i="5"/>
  <c r="BM11" i="5"/>
  <c r="BG11" i="5"/>
  <c r="BH11" i="5"/>
  <c r="BK11" i="5"/>
  <c r="BV11" i="5"/>
  <c r="BE11" i="5"/>
  <c r="BJ11" i="5"/>
  <c r="BF11" i="5"/>
  <c r="BA11" i="5"/>
  <c r="BP11" i="5" s="1"/>
  <c r="AZ11" i="5"/>
  <c r="AY11" i="5"/>
  <c r="BD11" i="5"/>
  <c r="AV11" i="5"/>
  <c r="BC11" i="5" s="1"/>
  <c r="AU11" i="5"/>
  <c r="BN11" i="5" s="1"/>
  <c r="CK75" i="5"/>
  <c r="CE75" i="5"/>
  <c r="CD75" i="5"/>
  <c r="CI75" i="5"/>
  <c r="CF75" i="5"/>
  <c r="CC75" i="5"/>
  <c r="BY75" i="5"/>
  <c r="BW75" i="5"/>
  <c r="BS75" i="5"/>
  <c r="BR75" i="5"/>
  <c r="BU75" i="5"/>
  <c r="BT75" i="5"/>
  <c r="CA75" i="5"/>
  <c r="BV75" i="5"/>
  <c r="BQ75" i="5"/>
  <c r="BI75" i="5"/>
  <c r="BM75" i="5"/>
  <c r="BG75" i="5"/>
  <c r="BH75" i="5"/>
  <c r="BK75" i="5"/>
  <c r="BJ75" i="5"/>
  <c r="BE75" i="5"/>
  <c r="BF75" i="5"/>
  <c r="BA75" i="5"/>
  <c r="BP75" i="5" s="1"/>
  <c r="AZ75" i="5"/>
  <c r="AY75" i="5"/>
  <c r="BD75" i="5"/>
  <c r="AU75" i="5"/>
  <c r="BB75" i="5" s="1"/>
  <c r="AV75" i="5"/>
  <c r="BO75" i="5" s="1"/>
  <c r="CK139" i="5"/>
  <c r="CI139" i="5"/>
  <c r="CE139" i="5"/>
  <c r="CD139" i="5"/>
  <c r="CF139" i="5"/>
  <c r="CC139" i="5"/>
  <c r="BY139" i="5"/>
  <c r="BW139" i="5"/>
  <c r="BS139" i="5"/>
  <c r="BR139" i="5"/>
  <c r="BV139" i="5"/>
  <c r="BU139" i="5"/>
  <c r="BT139" i="5"/>
  <c r="BQ139" i="5"/>
  <c r="BI139" i="5"/>
  <c r="BM139" i="5"/>
  <c r="CA139" i="5"/>
  <c r="BG139" i="5"/>
  <c r="BH139" i="5"/>
  <c r="BK139" i="5"/>
  <c r="BE139" i="5"/>
  <c r="BF139" i="5"/>
  <c r="BJ139" i="5"/>
  <c r="BA139" i="5"/>
  <c r="BP139" i="5" s="1"/>
  <c r="AZ139" i="5"/>
  <c r="AY139" i="5"/>
  <c r="BD139" i="5"/>
  <c r="AV139" i="5"/>
  <c r="BC139" i="5" s="1"/>
  <c r="AU139" i="5"/>
  <c r="BB139" i="5" s="1"/>
  <c r="CI132" i="5"/>
  <c r="CD132" i="5"/>
  <c r="CK132" i="5"/>
  <c r="CE132" i="5"/>
  <c r="CC132" i="5"/>
  <c r="CF132" i="5"/>
  <c r="CA132" i="5"/>
  <c r="BT132" i="5"/>
  <c r="BS132" i="5"/>
  <c r="BY132" i="5"/>
  <c r="BR132" i="5"/>
  <c r="BQ132" i="5"/>
  <c r="BW132" i="5"/>
  <c r="BV132" i="5"/>
  <c r="BU132" i="5"/>
  <c r="BJ132" i="5"/>
  <c r="BI132" i="5"/>
  <c r="BK132" i="5"/>
  <c r="BM132" i="5"/>
  <c r="BH132" i="5"/>
  <c r="BE132" i="5"/>
  <c r="BF132" i="5"/>
  <c r="BG132" i="5"/>
  <c r="BD132" i="5"/>
  <c r="BA132" i="5"/>
  <c r="BP132" i="5" s="1"/>
  <c r="AZ132" i="5"/>
  <c r="AY132" i="5"/>
  <c r="AU132" i="5"/>
  <c r="BN132" i="5" s="1"/>
  <c r="AV132" i="5"/>
  <c r="BC132" i="5" s="1"/>
  <c r="CF29" i="5"/>
  <c r="CK29" i="5"/>
  <c r="CE29" i="5"/>
  <c r="CI29" i="5"/>
  <c r="CD29" i="5"/>
  <c r="CA29" i="5"/>
  <c r="CC29" i="5"/>
  <c r="BU29" i="5"/>
  <c r="BT29" i="5"/>
  <c r="BY29" i="5"/>
  <c r="BQ29" i="5"/>
  <c r="BW29" i="5"/>
  <c r="BR29" i="5"/>
  <c r="BV29" i="5"/>
  <c r="BS29" i="5"/>
  <c r="BK29" i="5"/>
  <c r="BJ29" i="5"/>
  <c r="BH29" i="5"/>
  <c r="BM29" i="5"/>
  <c r="BI29" i="5"/>
  <c r="BG29" i="5"/>
  <c r="BE29" i="5"/>
  <c r="BD29" i="5"/>
  <c r="BA29" i="5"/>
  <c r="BP29" i="5" s="1"/>
  <c r="AV29" i="5"/>
  <c r="BC29" i="5" s="1"/>
  <c r="BF29" i="5"/>
  <c r="AY29" i="5"/>
  <c r="AU29" i="5"/>
  <c r="BN29" i="5" s="1"/>
  <c r="AZ29" i="5"/>
  <c r="CF93" i="5"/>
  <c r="CK93" i="5"/>
  <c r="CI93" i="5"/>
  <c r="CE93" i="5"/>
  <c r="CD93" i="5"/>
  <c r="CC93" i="5"/>
  <c r="CA93" i="5"/>
  <c r="BU93" i="5"/>
  <c r="BT93" i="5"/>
  <c r="BQ93" i="5"/>
  <c r="BR93" i="5"/>
  <c r="BW93" i="5"/>
  <c r="BY93" i="5"/>
  <c r="BS93" i="5"/>
  <c r="BK93" i="5"/>
  <c r="BJ93" i="5"/>
  <c r="BV93" i="5"/>
  <c r="BH93" i="5"/>
  <c r="BM93" i="5"/>
  <c r="BI93" i="5"/>
  <c r="BG93" i="5"/>
  <c r="BE93" i="5"/>
  <c r="BF93" i="5"/>
  <c r="BD93" i="5"/>
  <c r="BA93" i="5"/>
  <c r="BP93" i="5" s="1"/>
  <c r="AV93" i="5"/>
  <c r="BO93" i="5" s="1"/>
  <c r="AY93" i="5"/>
  <c r="AU93" i="5"/>
  <c r="BN93" i="5" s="1"/>
  <c r="AZ93" i="5"/>
  <c r="CK157" i="5"/>
  <c r="CH157" i="5"/>
  <c r="CG157" i="5"/>
  <c r="CJ157" i="5"/>
  <c r="CE157" i="5"/>
  <c r="CI157" i="5"/>
  <c r="CD157" i="5"/>
  <c r="CF157" i="5"/>
  <c r="CA157" i="5"/>
  <c r="BZ157" i="5"/>
  <c r="BX157" i="5"/>
  <c r="CC157" i="5"/>
  <c r="BU157" i="5"/>
  <c r="BW157" i="5"/>
  <c r="BT157" i="5"/>
  <c r="BQ157" i="5"/>
  <c r="BR157" i="5"/>
  <c r="BY157" i="5"/>
  <c r="BV157" i="5"/>
  <c r="BS157" i="5"/>
  <c r="BK157" i="5"/>
  <c r="BJ157" i="5"/>
  <c r="BM157" i="5"/>
  <c r="BI157" i="5"/>
  <c r="BG157" i="5"/>
  <c r="BL157" i="5"/>
  <c r="BF157" i="5"/>
  <c r="BD157" i="5"/>
  <c r="BH157" i="5"/>
  <c r="BE157" i="5"/>
  <c r="BA157" i="5"/>
  <c r="BP157" i="5" s="1"/>
  <c r="AV157" i="5"/>
  <c r="BC157" i="5" s="1"/>
  <c r="AY157" i="5"/>
  <c r="AZ157" i="5"/>
  <c r="AU157" i="5"/>
  <c r="BN157" i="5" s="1"/>
  <c r="CH38" i="5"/>
  <c r="CG38" i="5"/>
  <c r="CK38" i="5"/>
  <c r="CJ38" i="5"/>
  <c r="CI38" i="5"/>
  <c r="CE38" i="5"/>
  <c r="CF38" i="5"/>
  <c r="CC38" i="5"/>
  <c r="CA38" i="5"/>
  <c r="CD38" i="5"/>
  <c r="BX38" i="5"/>
  <c r="BV38" i="5"/>
  <c r="BU38" i="5"/>
  <c r="BY38" i="5"/>
  <c r="BW38" i="5"/>
  <c r="BZ38" i="5"/>
  <c r="BR38" i="5"/>
  <c r="BQ38" i="5"/>
  <c r="BT38" i="5"/>
  <c r="BS38" i="5"/>
  <c r="BK38" i="5"/>
  <c r="BM38" i="5"/>
  <c r="BH38" i="5"/>
  <c r="BI38" i="5"/>
  <c r="BF38" i="5"/>
  <c r="BL38" i="5"/>
  <c r="BJ38" i="5"/>
  <c r="BE38" i="5"/>
  <c r="BD38" i="5"/>
  <c r="AY38" i="5"/>
  <c r="BG38" i="5"/>
  <c r="BA38" i="5"/>
  <c r="BP38" i="5" s="1"/>
  <c r="AV38" i="5"/>
  <c r="BC38" i="5" s="1"/>
  <c r="AZ38" i="5"/>
  <c r="AU38" i="5"/>
  <c r="BN38" i="5" s="1"/>
  <c r="CK102" i="5"/>
  <c r="CF102" i="5"/>
  <c r="CE102" i="5"/>
  <c r="CC102" i="5"/>
  <c r="CD102" i="5"/>
  <c r="CA102" i="5"/>
  <c r="CI102" i="5"/>
  <c r="BV102" i="5"/>
  <c r="BY102" i="5"/>
  <c r="BU102" i="5"/>
  <c r="BR102" i="5"/>
  <c r="BQ102" i="5"/>
  <c r="BT102" i="5"/>
  <c r="BW102" i="5"/>
  <c r="BS102" i="5"/>
  <c r="BK102" i="5"/>
  <c r="BM102" i="5"/>
  <c r="BH102" i="5"/>
  <c r="BI102" i="5"/>
  <c r="BF102" i="5"/>
  <c r="BJ102" i="5"/>
  <c r="BE102" i="5"/>
  <c r="BD102" i="5"/>
  <c r="AY102" i="5"/>
  <c r="BG102" i="5"/>
  <c r="AV102" i="5"/>
  <c r="BO102" i="5" s="1"/>
  <c r="AU102" i="5"/>
  <c r="BN102" i="5" s="1"/>
  <c r="AZ102" i="5"/>
  <c r="BA102" i="5"/>
  <c r="BP102" i="5" s="1"/>
  <c r="CK166" i="5"/>
  <c r="CE166" i="5"/>
  <c r="CI166" i="5"/>
  <c r="CC166" i="5"/>
  <c r="CA166" i="5"/>
  <c r="CF166" i="5"/>
  <c r="CD166" i="5"/>
  <c r="BV166" i="5"/>
  <c r="BU166" i="5"/>
  <c r="BR166" i="5"/>
  <c r="BW166" i="5"/>
  <c r="BT166" i="5"/>
  <c r="BQ166" i="5"/>
  <c r="BS166" i="5"/>
  <c r="BK166" i="5"/>
  <c r="BM166" i="5"/>
  <c r="BI166" i="5"/>
  <c r="BH166" i="5"/>
  <c r="BF166" i="5"/>
  <c r="BJ166" i="5"/>
  <c r="BE166" i="5"/>
  <c r="BD166" i="5"/>
  <c r="BY166" i="5"/>
  <c r="AY166" i="5"/>
  <c r="BG166" i="5"/>
  <c r="AV166" i="5"/>
  <c r="BC166" i="5" s="1"/>
  <c r="AU166" i="5"/>
  <c r="BN166" i="5" s="1"/>
  <c r="AZ166" i="5"/>
  <c r="BA166" i="5"/>
  <c r="BP166" i="5" s="1"/>
  <c r="CK7" i="5"/>
  <c r="CI7" i="5"/>
  <c r="CF7" i="5"/>
  <c r="CD7" i="5"/>
  <c r="CE7" i="5"/>
  <c r="CA7" i="5"/>
  <c r="BY7" i="5"/>
  <c r="BW7" i="5"/>
  <c r="BV7" i="5"/>
  <c r="CC7" i="5"/>
  <c r="BS7" i="5"/>
  <c r="BT7" i="5"/>
  <c r="BR7" i="5"/>
  <c r="BQ7" i="5"/>
  <c r="BU7" i="5"/>
  <c r="BI7" i="5"/>
  <c r="BM7" i="5"/>
  <c r="BG7" i="5"/>
  <c r="BF7" i="5"/>
  <c r="BA7" i="5"/>
  <c r="BP7" i="5" s="1"/>
  <c r="BJ7" i="5"/>
  <c r="BH7" i="5"/>
  <c r="BK7" i="5"/>
  <c r="BE7" i="5"/>
  <c r="BD7" i="5"/>
  <c r="AZ7" i="5"/>
  <c r="AY7" i="5"/>
  <c r="AV7" i="5"/>
  <c r="BC7" i="5" s="1"/>
  <c r="AU7" i="5"/>
  <c r="BB7" i="5" s="1"/>
  <c r="CH71" i="5"/>
  <c r="CG71" i="5"/>
  <c r="CK71" i="5"/>
  <c r="CE71" i="5"/>
  <c r="CI71" i="5"/>
  <c r="CJ71" i="5"/>
  <c r="CF71" i="5"/>
  <c r="CC71" i="5"/>
  <c r="CD71" i="5"/>
  <c r="CA71" i="5"/>
  <c r="BY71" i="5"/>
  <c r="BW71" i="5"/>
  <c r="BV71" i="5"/>
  <c r="BS71" i="5"/>
  <c r="BT71" i="5"/>
  <c r="BZ71" i="5"/>
  <c r="BR71" i="5"/>
  <c r="BX71" i="5"/>
  <c r="BI71" i="5"/>
  <c r="BQ71" i="5"/>
  <c r="BM71" i="5"/>
  <c r="BG71" i="5"/>
  <c r="BU71" i="5"/>
  <c r="BF71" i="5"/>
  <c r="BL71" i="5"/>
  <c r="BJ71" i="5"/>
  <c r="BA71" i="5"/>
  <c r="BP71" i="5" s="1"/>
  <c r="BK71" i="5"/>
  <c r="BH71" i="5"/>
  <c r="BE71" i="5"/>
  <c r="BD71" i="5"/>
  <c r="AZ71" i="5"/>
  <c r="AY71" i="5"/>
  <c r="AV71" i="5"/>
  <c r="BC71" i="5" s="1"/>
  <c r="AU71" i="5"/>
  <c r="BN71" i="5" s="1"/>
  <c r="CK135" i="5"/>
  <c r="CI135" i="5"/>
  <c r="CE135" i="5"/>
  <c r="CF135" i="5"/>
  <c r="CC135" i="5"/>
  <c r="CD135" i="5"/>
  <c r="CA135" i="5"/>
  <c r="BY135" i="5"/>
  <c r="BW135" i="5"/>
  <c r="BV135" i="5"/>
  <c r="BS135" i="5"/>
  <c r="BT135" i="5"/>
  <c r="BR135" i="5"/>
  <c r="BQ135" i="5"/>
  <c r="BI135" i="5"/>
  <c r="BM135" i="5"/>
  <c r="BG135" i="5"/>
  <c r="BJ135" i="5"/>
  <c r="BH135" i="5"/>
  <c r="BU135" i="5"/>
  <c r="BK135" i="5"/>
  <c r="BE135" i="5"/>
  <c r="BD135" i="5"/>
  <c r="AZ135" i="5"/>
  <c r="AY135" i="5"/>
  <c r="AV135" i="5"/>
  <c r="BO135" i="5" s="1"/>
  <c r="AU135" i="5"/>
  <c r="BN135" i="5" s="1"/>
  <c r="BF135" i="5"/>
  <c r="BA135" i="5"/>
  <c r="BP135" i="5" s="1"/>
  <c r="CK48" i="5"/>
  <c r="CI48" i="5"/>
  <c r="CD48" i="5"/>
  <c r="CE48" i="5"/>
  <c r="CC48" i="5"/>
  <c r="CA48" i="5"/>
  <c r="CF48" i="5"/>
  <c r="BY48" i="5"/>
  <c r="BW48" i="5"/>
  <c r="BT48" i="5"/>
  <c r="BU48" i="5"/>
  <c r="BS48" i="5"/>
  <c r="BV48" i="5"/>
  <c r="BR48" i="5"/>
  <c r="BQ48" i="5"/>
  <c r="BJ48" i="5"/>
  <c r="BG48" i="5"/>
  <c r="BM48" i="5"/>
  <c r="BF48" i="5"/>
  <c r="BK48" i="5"/>
  <c r="BI48" i="5"/>
  <c r="BH48" i="5"/>
  <c r="BE48" i="5"/>
  <c r="BD48" i="5"/>
  <c r="AZ48" i="5"/>
  <c r="AY48" i="5"/>
  <c r="BA48" i="5"/>
  <c r="BP48" i="5" s="1"/>
  <c r="AU48" i="5"/>
  <c r="BB48" i="5" s="1"/>
  <c r="AV48" i="5"/>
  <c r="BO48" i="5" s="1"/>
  <c r="CK112" i="5"/>
  <c r="CD112" i="5"/>
  <c r="CI112" i="5"/>
  <c r="CE112" i="5"/>
  <c r="CF112" i="5"/>
  <c r="CC112" i="5"/>
  <c r="BY112" i="5"/>
  <c r="BW112" i="5"/>
  <c r="BT112" i="5"/>
  <c r="BU112" i="5"/>
  <c r="CA112" i="5"/>
  <c r="BS112" i="5"/>
  <c r="BV112" i="5"/>
  <c r="BR112" i="5"/>
  <c r="BQ112" i="5"/>
  <c r="BJ112" i="5"/>
  <c r="BG112" i="5"/>
  <c r="BK112" i="5"/>
  <c r="BI112" i="5"/>
  <c r="BM112" i="5"/>
  <c r="BH112" i="5"/>
  <c r="BE112" i="5"/>
  <c r="BF112" i="5"/>
  <c r="BA112" i="5"/>
  <c r="BP112" i="5" s="1"/>
  <c r="BD112" i="5"/>
  <c r="AZ112" i="5"/>
  <c r="AY112" i="5"/>
  <c r="AU112" i="5"/>
  <c r="BN112" i="5" s="1"/>
  <c r="AV112" i="5"/>
  <c r="BC112" i="5" s="1"/>
  <c r="CI9" i="5"/>
  <c r="CE9" i="5"/>
  <c r="CD9" i="5"/>
  <c r="CK9" i="5"/>
  <c r="CF9" i="5"/>
  <c r="CC9" i="5"/>
  <c r="BY9" i="5"/>
  <c r="CA9" i="5"/>
  <c r="BU9" i="5"/>
  <c r="BQ9" i="5"/>
  <c r="BT9" i="5"/>
  <c r="BW9" i="5"/>
  <c r="BS9" i="5"/>
  <c r="BV9" i="5"/>
  <c r="BR9" i="5"/>
  <c r="BK9" i="5"/>
  <c r="BE9" i="5"/>
  <c r="BJ9" i="5"/>
  <c r="BI9" i="5"/>
  <c r="BG9" i="5"/>
  <c r="BM9" i="5"/>
  <c r="BF9" i="5"/>
  <c r="BH9" i="5"/>
  <c r="AV9" i="5"/>
  <c r="BC9" i="5" s="1"/>
  <c r="AZ9" i="5"/>
  <c r="AY9" i="5"/>
  <c r="BD9" i="5"/>
  <c r="BA9" i="5"/>
  <c r="BP9" i="5" s="1"/>
  <c r="AU9" i="5"/>
  <c r="BB9" i="5" s="1"/>
  <c r="CI73" i="5"/>
  <c r="CK73" i="5"/>
  <c r="CD73" i="5"/>
  <c r="CF73" i="5"/>
  <c r="CE73" i="5"/>
  <c r="CC73" i="5"/>
  <c r="BY73" i="5"/>
  <c r="CA73" i="5"/>
  <c r="BQ73" i="5"/>
  <c r="BU73" i="5"/>
  <c r="BT73" i="5"/>
  <c r="BS73" i="5"/>
  <c r="BW73" i="5"/>
  <c r="BR73" i="5"/>
  <c r="BV73" i="5"/>
  <c r="BK73" i="5"/>
  <c r="BE73" i="5"/>
  <c r="BJ73" i="5"/>
  <c r="BM73" i="5"/>
  <c r="BG73" i="5"/>
  <c r="BI73" i="5"/>
  <c r="BF73" i="5"/>
  <c r="BH73" i="5"/>
  <c r="AV73" i="5"/>
  <c r="BC73" i="5" s="1"/>
  <c r="AZ73" i="5"/>
  <c r="AY73" i="5"/>
  <c r="AU73" i="5"/>
  <c r="BN73" i="5" s="1"/>
  <c r="BD73" i="5"/>
  <c r="BA73" i="5"/>
  <c r="BP73" i="5" s="1"/>
  <c r="CI137" i="5"/>
  <c r="CK137" i="5"/>
  <c r="CF137" i="5"/>
  <c r="CD137" i="5"/>
  <c r="CC137" i="5"/>
  <c r="BY137" i="5"/>
  <c r="CA137" i="5"/>
  <c r="BW137" i="5"/>
  <c r="BQ137" i="5"/>
  <c r="CE137" i="5"/>
  <c r="BU137" i="5"/>
  <c r="BT137" i="5"/>
  <c r="BS137" i="5"/>
  <c r="BR137" i="5"/>
  <c r="BV137" i="5"/>
  <c r="BK137" i="5"/>
  <c r="BE137" i="5"/>
  <c r="BJ137" i="5"/>
  <c r="BI137" i="5"/>
  <c r="BG137" i="5"/>
  <c r="BF137" i="5"/>
  <c r="BM137" i="5"/>
  <c r="BH137" i="5"/>
  <c r="BA137" i="5"/>
  <c r="BP137" i="5" s="1"/>
  <c r="AV137" i="5"/>
  <c r="BC137" i="5" s="1"/>
  <c r="AZ137" i="5"/>
  <c r="AY137" i="5"/>
  <c r="BD137" i="5"/>
  <c r="AU137" i="5"/>
  <c r="BN137" i="5" s="1"/>
  <c r="BL74" i="5"/>
  <c r="BP74" i="5"/>
  <c r="CB74" i="5" s="1"/>
  <c r="BN114" i="5"/>
  <c r="BZ114" i="5" s="1"/>
  <c r="BC138" i="5"/>
  <c r="BD154" i="5"/>
  <c r="BO162" i="5"/>
  <c r="BC170" i="5"/>
  <c r="CF86" i="5"/>
  <c r="CI86" i="5"/>
  <c r="CE86" i="5"/>
  <c r="CK86" i="5"/>
  <c r="CC86" i="5"/>
  <c r="CD86" i="5"/>
  <c r="CA86" i="5"/>
  <c r="BV86" i="5"/>
  <c r="BY86" i="5"/>
  <c r="BW86" i="5"/>
  <c r="BU86" i="5"/>
  <c r="BR86" i="5"/>
  <c r="BT86" i="5"/>
  <c r="BS86" i="5"/>
  <c r="BK86" i="5"/>
  <c r="BM86" i="5"/>
  <c r="BH86" i="5"/>
  <c r="BJ86" i="5"/>
  <c r="BF86" i="5"/>
  <c r="BQ86" i="5"/>
  <c r="BI86" i="5"/>
  <c r="BE86" i="5"/>
  <c r="BD86" i="5"/>
  <c r="BA86" i="5"/>
  <c r="BP86" i="5" s="1"/>
  <c r="AY86" i="5"/>
  <c r="BG86" i="5"/>
  <c r="AV86" i="5"/>
  <c r="BO86" i="5" s="1"/>
  <c r="AU86" i="5"/>
  <c r="BN86" i="5" s="1"/>
  <c r="AZ86" i="5"/>
  <c r="CI119" i="5"/>
  <c r="CF119" i="5"/>
  <c r="CK119" i="5"/>
  <c r="CC119" i="5"/>
  <c r="CD119" i="5"/>
  <c r="CA119" i="5"/>
  <c r="BY119" i="5"/>
  <c r="BW119" i="5"/>
  <c r="CE119" i="5"/>
  <c r="BV119" i="5"/>
  <c r="BS119" i="5"/>
  <c r="BR119" i="5"/>
  <c r="BQ119" i="5"/>
  <c r="BU119" i="5"/>
  <c r="BI119" i="5"/>
  <c r="BT119" i="5"/>
  <c r="BM119" i="5"/>
  <c r="BG119" i="5"/>
  <c r="BH119" i="5"/>
  <c r="BK119" i="5"/>
  <c r="BJ119" i="5"/>
  <c r="BD119" i="5"/>
  <c r="AZ119" i="5"/>
  <c r="AY119" i="5"/>
  <c r="BE119" i="5"/>
  <c r="AV119" i="5"/>
  <c r="BC119" i="5" s="1"/>
  <c r="BF119" i="5"/>
  <c r="AU119" i="5"/>
  <c r="BN119" i="5" s="1"/>
  <c r="BA119" i="5"/>
  <c r="BP119" i="5" s="1"/>
  <c r="CK160" i="5"/>
  <c r="CF160" i="5"/>
  <c r="CE160" i="5"/>
  <c r="CD160" i="5"/>
  <c r="CC160" i="5"/>
  <c r="CI160" i="5"/>
  <c r="BY160" i="5"/>
  <c r="BW160" i="5"/>
  <c r="BV160" i="5"/>
  <c r="BT160" i="5"/>
  <c r="CA160" i="5"/>
  <c r="BS160" i="5"/>
  <c r="BR160" i="5"/>
  <c r="BQ160" i="5"/>
  <c r="BU160" i="5"/>
  <c r="BJ160" i="5"/>
  <c r="BM160" i="5"/>
  <c r="BI160" i="5"/>
  <c r="BH160" i="5"/>
  <c r="BG160" i="5"/>
  <c r="BF160" i="5"/>
  <c r="BK160" i="5"/>
  <c r="BE160" i="5"/>
  <c r="BA160" i="5"/>
  <c r="BP160" i="5" s="1"/>
  <c r="BD160" i="5"/>
  <c r="AZ160" i="5"/>
  <c r="AY160" i="5"/>
  <c r="AV160" i="5"/>
  <c r="BC160" i="5" s="1"/>
  <c r="AU160" i="5"/>
  <c r="BN160" i="5" s="1"/>
  <c r="CK67" i="5"/>
  <c r="CI67" i="5"/>
  <c r="CF67" i="5"/>
  <c r="CD67" i="5"/>
  <c r="CE67" i="5"/>
  <c r="CC67" i="5"/>
  <c r="CA67" i="5"/>
  <c r="BY67" i="5"/>
  <c r="BW67" i="5"/>
  <c r="BS67" i="5"/>
  <c r="BR67" i="5"/>
  <c r="BQ67" i="5"/>
  <c r="BV67" i="5"/>
  <c r="BU67" i="5"/>
  <c r="BI67" i="5"/>
  <c r="BM67" i="5"/>
  <c r="BG67" i="5"/>
  <c r="BH67" i="5"/>
  <c r="BT67" i="5"/>
  <c r="BK67" i="5"/>
  <c r="BF67" i="5"/>
  <c r="BJ67" i="5"/>
  <c r="BE67" i="5"/>
  <c r="BA67" i="5"/>
  <c r="BP67" i="5" s="1"/>
  <c r="BD67" i="5"/>
  <c r="AZ67" i="5"/>
  <c r="AY67" i="5"/>
  <c r="AV67" i="5"/>
  <c r="BO67" i="5" s="1"/>
  <c r="AU67" i="5"/>
  <c r="BN67" i="5" s="1"/>
  <c r="AX173" i="5"/>
  <c r="AX174" i="5" s="1"/>
  <c r="CF85" i="5"/>
  <c r="CK85" i="5"/>
  <c r="CI85" i="5"/>
  <c r="CE85" i="5"/>
  <c r="CD85" i="5"/>
  <c r="CC85" i="5"/>
  <c r="CA85" i="5"/>
  <c r="BY85" i="5"/>
  <c r="BW85" i="5"/>
  <c r="BU85" i="5"/>
  <c r="BT85" i="5"/>
  <c r="BQ85" i="5"/>
  <c r="BS85" i="5"/>
  <c r="BV85" i="5"/>
  <c r="BR85" i="5"/>
  <c r="BK85" i="5"/>
  <c r="BJ85" i="5"/>
  <c r="BH85" i="5"/>
  <c r="BG85" i="5"/>
  <c r="BE85" i="5"/>
  <c r="BM85" i="5"/>
  <c r="BI85" i="5"/>
  <c r="BD85" i="5"/>
  <c r="AV85" i="5"/>
  <c r="BC85" i="5" s="1"/>
  <c r="BA85" i="5"/>
  <c r="BP85" i="5" s="1"/>
  <c r="AY85" i="5"/>
  <c r="AZ85" i="5"/>
  <c r="BF85" i="5"/>
  <c r="AU85" i="5"/>
  <c r="BB85" i="5" s="1"/>
  <c r="CI149" i="5"/>
  <c r="CK149" i="5"/>
  <c r="CF149" i="5"/>
  <c r="CE149" i="5"/>
  <c r="CD149" i="5"/>
  <c r="CA149" i="5"/>
  <c r="CC149" i="5"/>
  <c r="BY149" i="5"/>
  <c r="BW149" i="5"/>
  <c r="BU149" i="5"/>
  <c r="BT149" i="5"/>
  <c r="BQ149" i="5"/>
  <c r="BS149" i="5"/>
  <c r="BV149" i="5"/>
  <c r="BR149" i="5"/>
  <c r="BK149" i="5"/>
  <c r="BJ149" i="5"/>
  <c r="BH149" i="5"/>
  <c r="BG149" i="5"/>
  <c r="BM149" i="5"/>
  <c r="BI149" i="5"/>
  <c r="BF149" i="5"/>
  <c r="BD149" i="5"/>
  <c r="BE149" i="5"/>
  <c r="BA149" i="5"/>
  <c r="BP149" i="5" s="1"/>
  <c r="AV149" i="5"/>
  <c r="BO149" i="5" s="1"/>
  <c r="AY149" i="5"/>
  <c r="AZ149" i="5"/>
  <c r="AU149" i="5"/>
  <c r="BB149" i="5" s="1"/>
  <c r="CK30" i="5"/>
  <c r="CI30" i="5"/>
  <c r="CF30" i="5"/>
  <c r="CD30" i="5"/>
  <c r="CE30" i="5"/>
  <c r="CC30" i="5"/>
  <c r="CA30" i="5"/>
  <c r="BW30" i="5"/>
  <c r="BV30" i="5"/>
  <c r="BU30" i="5"/>
  <c r="BR30" i="5"/>
  <c r="BS30" i="5"/>
  <c r="BQ30" i="5"/>
  <c r="BY30" i="5"/>
  <c r="BK30" i="5"/>
  <c r="BT30" i="5"/>
  <c r="BM30" i="5"/>
  <c r="BH30" i="5"/>
  <c r="BF30" i="5"/>
  <c r="BI30" i="5"/>
  <c r="BJ30" i="5"/>
  <c r="BD30" i="5"/>
  <c r="AY30" i="5"/>
  <c r="BG30" i="5"/>
  <c r="BE30" i="5"/>
  <c r="AV30" i="5"/>
  <c r="BO30" i="5" s="1"/>
  <c r="AZ30" i="5"/>
  <c r="BA30" i="5"/>
  <c r="BP30" i="5" s="1"/>
  <c r="AU30" i="5"/>
  <c r="BN30" i="5" s="1"/>
  <c r="CK158" i="5"/>
  <c r="CE158" i="5"/>
  <c r="CI158" i="5"/>
  <c r="CD158" i="5"/>
  <c r="CC158" i="5"/>
  <c r="CF158" i="5"/>
  <c r="CA158" i="5"/>
  <c r="BV158" i="5"/>
  <c r="BU158" i="5"/>
  <c r="BR158" i="5"/>
  <c r="BS158" i="5"/>
  <c r="BY158" i="5"/>
  <c r="BW158" i="5"/>
  <c r="BK158" i="5"/>
  <c r="BM158" i="5"/>
  <c r="BT158" i="5"/>
  <c r="BH158" i="5"/>
  <c r="BF158" i="5"/>
  <c r="BI158" i="5"/>
  <c r="BJ158" i="5"/>
  <c r="BQ158" i="5"/>
  <c r="BE158" i="5"/>
  <c r="BD158" i="5"/>
  <c r="AY158" i="5"/>
  <c r="BG158" i="5"/>
  <c r="AV158" i="5"/>
  <c r="BO158" i="5" s="1"/>
  <c r="AU158" i="5"/>
  <c r="BB158" i="5" s="1"/>
  <c r="AZ158" i="5"/>
  <c r="BA158" i="5"/>
  <c r="BP158" i="5" s="1"/>
  <c r="CK19" i="5"/>
  <c r="CJ19" i="5"/>
  <c r="CG19" i="5"/>
  <c r="CE19" i="5"/>
  <c r="CH19" i="5"/>
  <c r="CI19" i="5"/>
  <c r="CC19" i="5"/>
  <c r="CF19" i="5"/>
  <c r="CD19" i="5"/>
  <c r="CA19" i="5"/>
  <c r="BY19" i="5"/>
  <c r="BW19" i="5"/>
  <c r="BZ19" i="5"/>
  <c r="BU19" i="5"/>
  <c r="BS19" i="5"/>
  <c r="BR19" i="5"/>
  <c r="BV19" i="5"/>
  <c r="BT19" i="5"/>
  <c r="BX19" i="5"/>
  <c r="BQ19" i="5"/>
  <c r="BL19" i="5"/>
  <c r="BI19" i="5"/>
  <c r="BM19" i="5"/>
  <c r="BH19" i="5"/>
  <c r="BG19" i="5"/>
  <c r="BJ19" i="5"/>
  <c r="BK19" i="5"/>
  <c r="BF19" i="5"/>
  <c r="BE19" i="5"/>
  <c r="BD19" i="5"/>
  <c r="AZ19" i="5"/>
  <c r="AY19" i="5"/>
  <c r="AV19" i="5"/>
  <c r="BO19" i="5" s="1"/>
  <c r="BA19" i="5"/>
  <c r="BP19" i="5" s="1"/>
  <c r="AU19" i="5"/>
  <c r="BB19" i="5" s="1"/>
  <c r="CK83" i="5"/>
  <c r="CD83" i="5"/>
  <c r="CI83" i="5"/>
  <c r="CF83" i="5"/>
  <c r="CA83" i="5"/>
  <c r="BY83" i="5"/>
  <c r="BW83" i="5"/>
  <c r="CC83" i="5"/>
  <c r="BS83" i="5"/>
  <c r="BR83" i="5"/>
  <c r="BV83" i="5"/>
  <c r="BT83" i="5"/>
  <c r="CE83" i="5"/>
  <c r="BQ83" i="5"/>
  <c r="BI83" i="5"/>
  <c r="BM83" i="5"/>
  <c r="BH83" i="5"/>
  <c r="BG83" i="5"/>
  <c r="BF83" i="5"/>
  <c r="BJ83" i="5"/>
  <c r="BU83" i="5"/>
  <c r="BK83" i="5"/>
  <c r="BD83" i="5"/>
  <c r="AZ83" i="5"/>
  <c r="BE83" i="5"/>
  <c r="AY83" i="5"/>
  <c r="BA83" i="5"/>
  <c r="BP83" i="5" s="1"/>
  <c r="AV83" i="5"/>
  <c r="BC83" i="5" s="1"/>
  <c r="AU83" i="5"/>
  <c r="BB83" i="5" s="1"/>
  <c r="CK147" i="5"/>
  <c r="CD147" i="5"/>
  <c r="CI147" i="5"/>
  <c r="CE147" i="5"/>
  <c r="CA147" i="5"/>
  <c r="BY147" i="5"/>
  <c r="BW147" i="5"/>
  <c r="CF147" i="5"/>
  <c r="BS147" i="5"/>
  <c r="BR147" i="5"/>
  <c r="BV147" i="5"/>
  <c r="BT147" i="5"/>
  <c r="CC147" i="5"/>
  <c r="BU147" i="5"/>
  <c r="BI147" i="5"/>
  <c r="BM147" i="5"/>
  <c r="BQ147" i="5"/>
  <c r="BH147" i="5"/>
  <c r="BG147" i="5"/>
  <c r="BJ147" i="5"/>
  <c r="BF147" i="5"/>
  <c r="BE147" i="5"/>
  <c r="BK147" i="5"/>
  <c r="BD147" i="5"/>
  <c r="BA147" i="5"/>
  <c r="BP147" i="5" s="1"/>
  <c r="AZ147" i="5"/>
  <c r="AY147" i="5"/>
  <c r="AV147" i="5"/>
  <c r="BC147" i="5" s="1"/>
  <c r="AU147" i="5"/>
  <c r="BN147" i="5" s="1"/>
  <c r="CI140" i="5"/>
  <c r="CF140" i="5"/>
  <c r="CK140" i="5"/>
  <c r="CE140" i="5"/>
  <c r="CD140" i="5"/>
  <c r="CC140" i="5"/>
  <c r="CA140" i="5"/>
  <c r="BW140" i="5"/>
  <c r="BV140" i="5"/>
  <c r="BT140" i="5"/>
  <c r="BS140" i="5"/>
  <c r="BY140" i="5"/>
  <c r="BQ140" i="5"/>
  <c r="BU140" i="5"/>
  <c r="BJ140" i="5"/>
  <c r="BI140" i="5"/>
  <c r="BR140" i="5"/>
  <c r="BK140" i="5"/>
  <c r="BG140" i="5"/>
  <c r="BM140" i="5"/>
  <c r="BF140" i="5"/>
  <c r="BD140" i="5"/>
  <c r="BH140" i="5"/>
  <c r="BE140" i="5"/>
  <c r="BA140" i="5"/>
  <c r="BP140" i="5" s="1"/>
  <c r="AZ140" i="5"/>
  <c r="AY140" i="5"/>
  <c r="AV140" i="5"/>
  <c r="BO140" i="5" s="1"/>
  <c r="AU140" i="5"/>
  <c r="BN140" i="5" s="1"/>
  <c r="CJ37" i="5"/>
  <c r="CF37" i="5"/>
  <c r="CG37" i="5"/>
  <c r="CI37" i="5"/>
  <c r="CK37" i="5"/>
  <c r="CH37" i="5"/>
  <c r="CE37" i="5"/>
  <c r="CA37" i="5"/>
  <c r="CD37" i="5"/>
  <c r="BZ37" i="5"/>
  <c r="CC37" i="5"/>
  <c r="BX37" i="5"/>
  <c r="BW37" i="5"/>
  <c r="BV37" i="5"/>
  <c r="BT37" i="5"/>
  <c r="BQ37" i="5"/>
  <c r="BS37" i="5"/>
  <c r="BU37" i="5"/>
  <c r="BY37" i="5"/>
  <c r="BK37" i="5"/>
  <c r="BL37" i="5"/>
  <c r="BJ37" i="5"/>
  <c r="BG37" i="5"/>
  <c r="BE37" i="5"/>
  <c r="BR37" i="5"/>
  <c r="BH37" i="5"/>
  <c r="BI37" i="5"/>
  <c r="BD37" i="5"/>
  <c r="BM37" i="5"/>
  <c r="BF37" i="5"/>
  <c r="BA37" i="5"/>
  <c r="AV37" i="5"/>
  <c r="AY37" i="5"/>
  <c r="AU37" i="5"/>
  <c r="AZ37" i="5"/>
  <c r="CF101" i="5"/>
  <c r="CI101" i="5"/>
  <c r="CD101" i="5"/>
  <c r="CC101" i="5"/>
  <c r="CA101" i="5"/>
  <c r="CK101" i="5"/>
  <c r="BW101" i="5"/>
  <c r="BY101" i="5"/>
  <c r="BV101" i="5"/>
  <c r="BU101" i="5"/>
  <c r="BT101" i="5"/>
  <c r="BQ101" i="5"/>
  <c r="CE101" i="5"/>
  <c r="BS101" i="5"/>
  <c r="BK101" i="5"/>
  <c r="BJ101" i="5"/>
  <c r="BR101" i="5"/>
  <c r="BG101" i="5"/>
  <c r="BE101" i="5"/>
  <c r="BH101" i="5"/>
  <c r="BM101" i="5"/>
  <c r="BD101" i="5"/>
  <c r="BI101" i="5"/>
  <c r="BF101" i="5"/>
  <c r="BA101" i="5"/>
  <c r="BP101" i="5" s="1"/>
  <c r="AV101" i="5"/>
  <c r="BO101" i="5" s="1"/>
  <c r="AY101" i="5"/>
  <c r="AU101" i="5"/>
  <c r="BN101" i="5" s="1"/>
  <c r="AZ101" i="5"/>
  <c r="CI165" i="5"/>
  <c r="CK165" i="5"/>
  <c r="CD165" i="5"/>
  <c r="CE165" i="5"/>
  <c r="CA165" i="5"/>
  <c r="CF165" i="5"/>
  <c r="CC165" i="5"/>
  <c r="BV165" i="5"/>
  <c r="BU165" i="5"/>
  <c r="BY165" i="5"/>
  <c r="BT165" i="5"/>
  <c r="BQ165" i="5"/>
  <c r="BW165" i="5"/>
  <c r="BS165" i="5"/>
  <c r="BK165" i="5"/>
  <c r="BR165" i="5"/>
  <c r="BJ165" i="5"/>
  <c r="BG165" i="5"/>
  <c r="BI165" i="5"/>
  <c r="BH165" i="5"/>
  <c r="BD165" i="5"/>
  <c r="BM165" i="5"/>
  <c r="BF165" i="5"/>
  <c r="BE165" i="5"/>
  <c r="BA165" i="5"/>
  <c r="BP165" i="5" s="1"/>
  <c r="AV165" i="5"/>
  <c r="BC165" i="5" s="1"/>
  <c r="AY165" i="5"/>
  <c r="AU165" i="5"/>
  <c r="BN165" i="5" s="1"/>
  <c r="AZ165" i="5"/>
  <c r="CI46" i="5"/>
  <c r="CF46" i="5"/>
  <c r="CK46" i="5"/>
  <c r="CD46" i="5"/>
  <c r="CC46" i="5"/>
  <c r="CA46" i="5"/>
  <c r="CE46" i="5"/>
  <c r="BY46" i="5"/>
  <c r="BV46" i="5"/>
  <c r="BU46" i="5"/>
  <c r="BR46" i="5"/>
  <c r="BT46" i="5"/>
  <c r="BS46" i="5"/>
  <c r="BW46" i="5"/>
  <c r="BQ46" i="5"/>
  <c r="BK46" i="5"/>
  <c r="BM46" i="5"/>
  <c r="BH46" i="5"/>
  <c r="BF46" i="5"/>
  <c r="BI46" i="5"/>
  <c r="BJ46" i="5"/>
  <c r="BD46" i="5"/>
  <c r="AY46" i="5"/>
  <c r="BA46" i="5"/>
  <c r="BG46" i="5"/>
  <c r="AV46" i="5"/>
  <c r="AZ46" i="5"/>
  <c r="BE46" i="5"/>
  <c r="AU46" i="5"/>
  <c r="CI110" i="5"/>
  <c r="CF110" i="5"/>
  <c r="CK110" i="5"/>
  <c r="CD110" i="5"/>
  <c r="CC110" i="5"/>
  <c r="CE110" i="5"/>
  <c r="CA110" i="5"/>
  <c r="BY110" i="5"/>
  <c r="BV110" i="5"/>
  <c r="BU110" i="5"/>
  <c r="BR110" i="5"/>
  <c r="BT110" i="5"/>
  <c r="BS110" i="5"/>
  <c r="BW110" i="5"/>
  <c r="BK110" i="5"/>
  <c r="BM110" i="5"/>
  <c r="BH110" i="5"/>
  <c r="BF110" i="5"/>
  <c r="BI110" i="5"/>
  <c r="BQ110" i="5"/>
  <c r="BJ110" i="5"/>
  <c r="BD110" i="5"/>
  <c r="BE110" i="5"/>
  <c r="AY110" i="5"/>
  <c r="BG110" i="5"/>
  <c r="AV110" i="5"/>
  <c r="BO110" i="5" s="1"/>
  <c r="AU110" i="5"/>
  <c r="BN110" i="5" s="1"/>
  <c r="AZ110" i="5"/>
  <c r="BA110" i="5"/>
  <c r="BP110" i="5" s="1"/>
  <c r="CJ15" i="5"/>
  <c r="CI15" i="5"/>
  <c r="CE15" i="5"/>
  <c r="CD15" i="5"/>
  <c r="CH15" i="5"/>
  <c r="CF15" i="5"/>
  <c r="CK15" i="5"/>
  <c r="CG15" i="5"/>
  <c r="CC15" i="5"/>
  <c r="CA15" i="5"/>
  <c r="BY15" i="5"/>
  <c r="BW15" i="5"/>
  <c r="BX15" i="5"/>
  <c r="BV15" i="5"/>
  <c r="BZ15" i="5"/>
  <c r="BS15" i="5"/>
  <c r="BR15" i="5"/>
  <c r="BU15" i="5"/>
  <c r="BQ15" i="5"/>
  <c r="BT15" i="5"/>
  <c r="BI15" i="5"/>
  <c r="BJ15" i="5"/>
  <c r="BG15" i="5"/>
  <c r="BH15" i="5"/>
  <c r="BF15" i="5"/>
  <c r="BL15" i="5"/>
  <c r="BK15" i="5"/>
  <c r="BA15" i="5"/>
  <c r="BP15" i="5" s="1"/>
  <c r="BE15" i="5"/>
  <c r="BM15" i="5"/>
  <c r="BD15" i="5"/>
  <c r="AZ15" i="5"/>
  <c r="AY15" i="5"/>
  <c r="AV15" i="5"/>
  <c r="BO15" i="5" s="1"/>
  <c r="AU15" i="5"/>
  <c r="BN15" i="5" s="1"/>
  <c r="CI79" i="5"/>
  <c r="CF79" i="5"/>
  <c r="CK79" i="5"/>
  <c r="CD79" i="5"/>
  <c r="CC79" i="5"/>
  <c r="CE79" i="5"/>
  <c r="CA79" i="5"/>
  <c r="BY79" i="5"/>
  <c r="BW79" i="5"/>
  <c r="BV79" i="5"/>
  <c r="BS79" i="5"/>
  <c r="BR79" i="5"/>
  <c r="BQ79" i="5"/>
  <c r="BU79" i="5"/>
  <c r="BT79" i="5"/>
  <c r="BI79" i="5"/>
  <c r="BJ79" i="5"/>
  <c r="BG79" i="5"/>
  <c r="BH79" i="5"/>
  <c r="BF79" i="5"/>
  <c r="BA79" i="5"/>
  <c r="BP79" i="5" s="1"/>
  <c r="BM79" i="5"/>
  <c r="BK79" i="5"/>
  <c r="BE79" i="5"/>
  <c r="BD79" i="5"/>
  <c r="AZ79" i="5"/>
  <c r="AY79" i="5"/>
  <c r="AV79" i="5"/>
  <c r="BO79" i="5" s="1"/>
  <c r="AU79" i="5"/>
  <c r="BB79" i="5" s="1"/>
  <c r="CI143" i="5"/>
  <c r="CH143" i="5"/>
  <c r="CK143" i="5"/>
  <c r="CJ143" i="5"/>
  <c r="CE143" i="5"/>
  <c r="CD143" i="5"/>
  <c r="CC143" i="5"/>
  <c r="CG143" i="5"/>
  <c r="CF143" i="5"/>
  <c r="CA143" i="5"/>
  <c r="BY143" i="5"/>
  <c r="BW143" i="5"/>
  <c r="BV143" i="5"/>
  <c r="BZ143" i="5"/>
  <c r="BX143" i="5"/>
  <c r="BS143" i="5"/>
  <c r="BR143" i="5"/>
  <c r="BQ143" i="5"/>
  <c r="BU143" i="5"/>
  <c r="BT143" i="5"/>
  <c r="BI143" i="5"/>
  <c r="BJ143" i="5"/>
  <c r="BG143" i="5"/>
  <c r="BH143" i="5"/>
  <c r="BK143" i="5"/>
  <c r="BL143" i="5"/>
  <c r="BF143" i="5"/>
  <c r="BE143" i="5"/>
  <c r="BM143" i="5"/>
  <c r="BD143" i="5"/>
  <c r="AZ143" i="5"/>
  <c r="AY143" i="5"/>
  <c r="AV143" i="5"/>
  <c r="BO143" i="5" s="1"/>
  <c r="AU143" i="5"/>
  <c r="BN143" i="5" s="1"/>
  <c r="BA143" i="5"/>
  <c r="BP143" i="5" s="1"/>
  <c r="CK56" i="5"/>
  <c r="CI56" i="5"/>
  <c r="CF56" i="5"/>
  <c r="CD56" i="5"/>
  <c r="CE56" i="5"/>
  <c r="CA56" i="5"/>
  <c r="CC56" i="5"/>
  <c r="BY56" i="5"/>
  <c r="BW56" i="5"/>
  <c r="BU56" i="5"/>
  <c r="BT56" i="5"/>
  <c r="BS56" i="5"/>
  <c r="BR56" i="5"/>
  <c r="BQ56" i="5"/>
  <c r="BV56" i="5"/>
  <c r="BJ56" i="5"/>
  <c r="BK56" i="5"/>
  <c r="BH56" i="5"/>
  <c r="BG56" i="5"/>
  <c r="BI56" i="5"/>
  <c r="BM56" i="5"/>
  <c r="BF56" i="5"/>
  <c r="BE56" i="5"/>
  <c r="BA56" i="5"/>
  <c r="BP56" i="5" s="1"/>
  <c r="AZ56" i="5"/>
  <c r="AY56" i="5"/>
  <c r="BD56" i="5"/>
  <c r="AU56" i="5"/>
  <c r="BN56" i="5" s="1"/>
  <c r="AV56" i="5"/>
  <c r="BO56" i="5" s="1"/>
  <c r="CK120" i="5"/>
  <c r="CH120" i="5"/>
  <c r="CG120" i="5"/>
  <c r="CI120" i="5"/>
  <c r="CJ120" i="5"/>
  <c r="CF120" i="5"/>
  <c r="CD120" i="5"/>
  <c r="CE120" i="5"/>
  <c r="CC120" i="5"/>
  <c r="BY120" i="5"/>
  <c r="BZ120" i="5"/>
  <c r="BX120" i="5"/>
  <c r="CA120" i="5"/>
  <c r="BT120" i="5"/>
  <c r="BV120" i="5"/>
  <c r="BS120" i="5"/>
  <c r="BW120" i="5"/>
  <c r="BR120" i="5"/>
  <c r="BQ120" i="5"/>
  <c r="BU120" i="5"/>
  <c r="BJ120" i="5"/>
  <c r="BL120" i="5"/>
  <c r="BK120" i="5"/>
  <c r="BH120" i="5"/>
  <c r="BG120" i="5"/>
  <c r="BM120" i="5"/>
  <c r="BI120" i="5"/>
  <c r="BF120" i="5"/>
  <c r="BA120" i="5"/>
  <c r="BP120" i="5" s="1"/>
  <c r="AZ120" i="5"/>
  <c r="AY120" i="5"/>
  <c r="BE120" i="5"/>
  <c r="BD120" i="5"/>
  <c r="AV120" i="5"/>
  <c r="BO120" i="5" s="1"/>
  <c r="AU120" i="5"/>
  <c r="BN120" i="5" s="1"/>
  <c r="CI17" i="5"/>
  <c r="CG17" i="5"/>
  <c r="CE17" i="5"/>
  <c r="CK17" i="5"/>
  <c r="CD17" i="5"/>
  <c r="CF17" i="5"/>
  <c r="CC17" i="5"/>
  <c r="BU17" i="5"/>
  <c r="BQ17" i="5"/>
  <c r="BW17" i="5"/>
  <c r="CA17" i="5"/>
  <c r="BV17" i="5"/>
  <c r="BS17" i="5"/>
  <c r="BY17" i="5"/>
  <c r="BR17" i="5"/>
  <c r="BK17" i="5"/>
  <c r="BE17" i="5"/>
  <c r="BT17" i="5"/>
  <c r="BM17" i="5"/>
  <c r="BH17" i="5"/>
  <c r="BF17" i="5"/>
  <c r="BI17" i="5"/>
  <c r="BG17" i="5"/>
  <c r="BJ17" i="5"/>
  <c r="AV17" i="5"/>
  <c r="BO17" i="5" s="1"/>
  <c r="BD17" i="5"/>
  <c r="AZ17" i="5"/>
  <c r="AY17" i="5"/>
  <c r="BA17" i="5"/>
  <c r="BP17" i="5" s="1"/>
  <c r="AU17" i="5"/>
  <c r="BN17" i="5" s="1"/>
  <c r="CI81" i="5"/>
  <c r="CK81" i="5"/>
  <c r="CF81" i="5"/>
  <c r="CE81" i="5"/>
  <c r="CD81" i="5"/>
  <c r="CC81" i="5"/>
  <c r="BY81" i="5"/>
  <c r="BQ81" i="5"/>
  <c r="BU81" i="5"/>
  <c r="BS81" i="5"/>
  <c r="BV81" i="5"/>
  <c r="BR81" i="5"/>
  <c r="CA81" i="5"/>
  <c r="BT81" i="5"/>
  <c r="BK81" i="5"/>
  <c r="BE81" i="5"/>
  <c r="BW81" i="5"/>
  <c r="BI81" i="5"/>
  <c r="BH81" i="5"/>
  <c r="BF81" i="5"/>
  <c r="BJ81" i="5"/>
  <c r="BM81" i="5"/>
  <c r="BG81" i="5"/>
  <c r="AV81" i="5"/>
  <c r="BO81" i="5" s="1"/>
  <c r="BD81" i="5"/>
  <c r="AZ81" i="5"/>
  <c r="AY81" i="5"/>
  <c r="BA81" i="5"/>
  <c r="BP81" i="5" s="1"/>
  <c r="AU81" i="5"/>
  <c r="BN81" i="5" s="1"/>
  <c r="CI145" i="5"/>
  <c r="CK145" i="5"/>
  <c r="CF145" i="5"/>
  <c r="CE145" i="5"/>
  <c r="CD145" i="5"/>
  <c r="CC145" i="5"/>
  <c r="BQ145" i="5"/>
  <c r="BY145" i="5"/>
  <c r="BU145" i="5"/>
  <c r="BS145" i="5"/>
  <c r="BW145" i="5"/>
  <c r="BV145" i="5"/>
  <c r="BR145" i="5"/>
  <c r="CA145" i="5"/>
  <c r="BK145" i="5"/>
  <c r="BM145" i="5"/>
  <c r="BH145" i="5"/>
  <c r="BT145" i="5"/>
  <c r="BI145" i="5"/>
  <c r="BG145" i="5"/>
  <c r="BJ145" i="5"/>
  <c r="BF145" i="5"/>
  <c r="BA145" i="5"/>
  <c r="BP145" i="5" s="1"/>
  <c r="AV145" i="5"/>
  <c r="BC145" i="5" s="1"/>
  <c r="BD145" i="5"/>
  <c r="AZ145" i="5"/>
  <c r="AY145" i="5"/>
  <c r="BE145" i="5"/>
  <c r="AU145" i="5"/>
  <c r="BB145" i="5" s="1"/>
  <c r="BD34" i="5"/>
  <c r="BB58" i="5"/>
  <c r="BZ58" i="5" s="1"/>
  <c r="BD58" i="5"/>
  <c r="BL58" i="5" s="1"/>
  <c r="BD98" i="5"/>
  <c r="BL98" i="5" s="1"/>
  <c r="BD26" i="5"/>
  <c r="CB26" i="5" s="1"/>
  <c r="BC50" i="5"/>
  <c r="BD50" i="5"/>
  <c r="CB50" i="5" s="1"/>
  <c r="BD66" i="5"/>
  <c r="CB66" i="5" s="1"/>
  <c r="BD162" i="5"/>
  <c r="CB162" i="5" s="1"/>
  <c r="BN170" i="5"/>
  <c r="BZ170" i="5" s="1"/>
  <c r="BX170" i="5"/>
  <c r="CK22" i="5"/>
  <c r="CI22" i="5"/>
  <c r="CF22" i="5"/>
  <c r="CD22" i="5"/>
  <c r="CC22" i="5"/>
  <c r="CA22" i="5"/>
  <c r="CE22" i="5"/>
  <c r="BV22" i="5"/>
  <c r="BY22" i="5"/>
  <c r="BU22" i="5"/>
  <c r="BR22" i="5"/>
  <c r="BT22" i="5"/>
  <c r="BS22" i="5"/>
  <c r="BW22" i="5"/>
  <c r="BK22" i="5"/>
  <c r="BM22" i="5"/>
  <c r="BH22" i="5"/>
  <c r="BQ22" i="5"/>
  <c r="BJ22" i="5"/>
  <c r="BF22" i="5"/>
  <c r="BE22" i="5"/>
  <c r="BI22" i="5"/>
  <c r="BD22" i="5"/>
  <c r="BA22" i="5"/>
  <c r="BP22" i="5" s="1"/>
  <c r="AY22" i="5"/>
  <c r="BG22" i="5"/>
  <c r="AV22" i="5"/>
  <c r="BC22" i="5" s="1"/>
  <c r="AZ22" i="5"/>
  <c r="AU22" i="5"/>
  <c r="BB22" i="5" s="1"/>
  <c r="CI55" i="5"/>
  <c r="CF55" i="5"/>
  <c r="CK55" i="5"/>
  <c r="CE55" i="5"/>
  <c r="CC55" i="5"/>
  <c r="CD55" i="5"/>
  <c r="CA55" i="5"/>
  <c r="BY55" i="5"/>
  <c r="BW55" i="5"/>
  <c r="BV55" i="5"/>
  <c r="BS55" i="5"/>
  <c r="BR55" i="5"/>
  <c r="BQ55" i="5"/>
  <c r="BU55" i="5"/>
  <c r="BI55" i="5"/>
  <c r="BM55" i="5"/>
  <c r="BG55" i="5"/>
  <c r="BT55" i="5"/>
  <c r="BF55" i="5"/>
  <c r="BH55" i="5"/>
  <c r="BA55" i="5"/>
  <c r="BP55" i="5" s="1"/>
  <c r="BJ55" i="5"/>
  <c r="BE55" i="5"/>
  <c r="BK55" i="5"/>
  <c r="BD55" i="5"/>
  <c r="AZ55" i="5"/>
  <c r="AY55" i="5"/>
  <c r="AV55" i="5"/>
  <c r="BO55" i="5" s="1"/>
  <c r="AU55" i="5"/>
  <c r="BN55" i="5" s="1"/>
  <c r="CK96" i="5"/>
  <c r="CD96" i="5"/>
  <c r="CF96" i="5"/>
  <c r="CI96" i="5"/>
  <c r="CE96" i="5"/>
  <c r="CC96" i="5"/>
  <c r="BY96" i="5"/>
  <c r="BW96" i="5"/>
  <c r="CA96" i="5"/>
  <c r="BV96" i="5"/>
  <c r="BT96" i="5"/>
  <c r="BS96" i="5"/>
  <c r="BR96" i="5"/>
  <c r="BQ96" i="5"/>
  <c r="BU96" i="5"/>
  <c r="BJ96" i="5"/>
  <c r="BH96" i="5"/>
  <c r="BM96" i="5"/>
  <c r="BI96" i="5"/>
  <c r="BG96" i="5"/>
  <c r="BE96" i="5"/>
  <c r="BK96" i="5"/>
  <c r="BF96" i="5"/>
  <c r="BA96" i="5"/>
  <c r="BP96" i="5" s="1"/>
  <c r="BD96" i="5"/>
  <c r="AZ96" i="5"/>
  <c r="AY96" i="5"/>
  <c r="AV96" i="5"/>
  <c r="BO96" i="5" s="1"/>
  <c r="AU96" i="5"/>
  <c r="BB96" i="5" s="1"/>
  <c r="CI57" i="5"/>
  <c r="CE57" i="5"/>
  <c r="CD57" i="5"/>
  <c r="CK57" i="5"/>
  <c r="CF57" i="5"/>
  <c r="CC57" i="5"/>
  <c r="CA57" i="5"/>
  <c r="BU57" i="5"/>
  <c r="BQ57" i="5"/>
  <c r="BV57" i="5"/>
  <c r="BS57" i="5"/>
  <c r="BR57" i="5"/>
  <c r="BY57" i="5"/>
  <c r="BW57" i="5"/>
  <c r="BT57" i="5"/>
  <c r="BK57" i="5"/>
  <c r="BE57" i="5"/>
  <c r="BJ57" i="5"/>
  <c r="BM57" i="5"/>
  <c r="BI57" i="5"/>
  <c r="BH57" i="5"/>
  <c r="BG57" i="5"/>
  <c r="BF57" i="5"/>
  <c r="AV57" i="5"/>
  <c r="BC57" i="5" s="1"/>
  <c r="BA57" i="5"/>
  <c r="BP57" i="5" s="1"/>
  <c r="AZ57" i="5"/>
  <c r="AY57" i="5"/>
  <c r="AU57" i="5"/>
  <c r="BN57" i="5" s="1"/>
  <c r="BD57" i="5"/>
  <c r="BB92" i="5"/>
  <c r="BZ92" i="5" s="1"/>
  <c r="CK131" i="5"/>
  <c r="CI131" i="5"/>
  <c r="CF131" i="5"/>
  <c r="CD131" i="5"/>
  <c r="CE131" i="5"/>
  <c r="CC131" i="5"/>
  <c r="BY131" i="5"/>
  <c r="BW131" i="5"/>
  <c r="BS131" i="5"/>
  <c r="BR131" i="5"/>
  <c r="BQ131" i="5"/>
  <c r="BV131" i="5"/>
  <c r="BU131" i="5"/>
  <c r="CA131" i="5"/>
  <c r="BI131" i="5"/>
  <c r="BM131" i="5"/>
  <c r="BT131" i="5"/>
  <c r="BG131" i="5"/>
  <c r="BH131" i="5"/>
  <c r="BJ131" i="5"/>
  <c r="BF131" i="5"/>
  <c r="BK131" i="5"/>
  <c r="BE131" i="5"/>
  <c r="BD131" i="5"/>
  <c r="BA131" i="5"/>
  <c r="BP131" i="5" s="1"/>
  <c r="AZ131" i="5"/>
  <c r="AY131" i="5"/>
  <c r="AU131" i="5"/>
  <c r="BB131" i="5" s="1"/>
  <c r="AV131" i="5"/>
  <c r="BO131" i="5" s="1"/>
  <c r="CK91" i="5"/>
  <c r="CD91" i="5"/>
  <c r="CE91" i="5"/>
  <c r="CI91" i="5"/>
  <c r="CA91" i="5"/>
  <c r="BY91" i="5"/>
  <c r="BW91" i="5"/>
  <c r="CF91" i="5"/>
  <c r="BS91" i="5"/>
  <c r="BV91" i="5"/>
  <c r="BR91" i="5"/>
  <c r="CC91" i="5"/>
  <c r="BU91" i="5"/>
  <c r="BT91" i="5"/>
  <c r="BI91" i="5"/>
  <c r="BM91" i="5"/>
  <c r="BJ91" i="5"/>
  <c r="BG91" i="5"/>
  <c r="BQ91" i="5"/>
  <c r="BK91" i="5"/>
  <c r="BH91" i="5"/>
  <c r="BE91" i="5"/>
  <c r="BF91" i="5"/>
  <c r="BA91" i="5"/>
  <c r="BP91" i="5" s="1"/>
  <c r="AZ91" i="5"/>
  <c r="AY91" i="5"/>
  <c r="BD91" i="5"/>
  <c r="AU91" i="5"/>
  <c r="BB91" i="5" s="1"/>
  <c r="AV91" i="5"/>
  <c r="BO91" i="5" s="1"/>
  <c r="BX100" i="5"/>
  <c r="CF45" i="5"/>
  <c r="CH45" i="5"/>
  <c r="CG45" i="5"/>
  <c r="CI45" i="5"/>
  <c r="CJ45" i="5"/>
  <c r="CK45" i="5"/>
  <c r="CD45" i="5"/>
  <c r="CE45" i="5"/>
  <c r="CC45" i="5"/>
  <c r="CA45" i="5"/>
  <c r="BZ45" i="5"/>
  <c r="BT45" i="5"/>
  <c r="BX45" i="5"/>
  <c r="BW45" i="5"/>
  <c r="BU45" i="5"/>
  <c r="BQ45" i="5"/>
  <c r="BY45" i="5"/>
  <c r="BS45" i="5"/>
  <c r="BV45" i="5"/>
  <c r="BR45" i="5"/>
  <c r="BK45" i="5"/>
  <c r="BJ45" i="5"/>
  <c r="BG45" i="5"/>
  <c r="BM45" i="5"/>
  <c r="BI45" i="5"/>
  <c r="BH45" i="5"/>
  <c r="BE45" i="5"/>
  <c r="BD45" i="5"/>
  <c r="BL45" i="5"/>
  <c r="BF45" i="5"/>
  <c r="BA45" i="5"/>
  <c r="BP45" i="5" s="1"/>
  <c r="AV45" i="5"/>
  <c r="BO45" i="5" s="1"/>
  <c r="AY45" i="5"/>
  <c r="AZ45" i="5"/>
  <c r="AU45" i="5"/>
  <c r="BN45" i="5" s="1"/>
  <c r="CK54" i="5"/>
  <c r="CI54" i="5"/>
  <c r="CE54" i="5"/>
  <c r="CC54" i="5"/>
  <c r="CF54" i="5"/>
  <c r="CD54" i="5"/>
  <c r="CA54" i="5"/>
  <c r="BV54" i="5"/>
  <c r="BW54" i="5"/>
  <c r="BU54" i="5"/>
  <c r="BR54" i="5"/>
  <c r="BQ54" i="5"/>
  <c r="BY54" i="5"/>
  <c r="BT54" i="5"/>
  <c r="BS54" i="5"/>
  <c r="BK54" i="5"/>
  <c r="BM54" i="5"/>
  <c r="BH54" i="5"/>
  <c r="BJ54" i="5"/>
  <c r="BI54" i="5"/>
  <c r="BF54" i="5"/>
  <c r="BE54" i="5"/>
  <c r="BD54" i="5"/>
  <c r="BA54" i="5"/>
  <c r="BP54" i="5" s="1"/>
  <c r="AY54" i="5"/>
  <c r="AV54" i="5"/>
  <c r="BC54" i="5" s="1"/>
  <c r="BG54" i="5"/>
  <c r="AZ54" i="5"/>
  <c r="AU54" i="5"/>
  <c r="BN54" i="5" s="1"/>
  <c r="CK118" i="5"/>
  <c r="CI118" i="5"/>
  <c r="CE118" i="5"/>
  <c r="CC118" i="5"/>
  <c r="CD118" i="5"/>
  <c r="CA118" i="5"/>
  <c r="CF118" i="5"/>
  <c r="BV118" i="5"/>
  <c r="BW118" i="5"/>
  <c r="BU118" i="5"/>
  <c r="BR118" i="5"/>
  <c r="BQ118" i="5"/>
  <c r="BY118" i="5"/>
  <c r="BT118" i="5"/>
  <c r="BS118" i="5"/>
  <c r="BK118" i="5"/>
  <c r="BM118" i="5"/>
  <c r="BH118" i="5"/>
  <c r="BJ118" i="5"/>
  <c r="BI118" i="5"/>
  <c r="BF118" i="5"/>
  <c r="BE118" i="5"/>
  <c r="BD118" i="5"/>
  <c r="AY118" i="5"/>
  <c r="AV118" i="5"/>
  <c r="BO118" i="5" s="1"/>
  <c r="BG118" i="5"/>
  <c r="AU118" i="5"/>
  <c r="BB118" i="5" s="1"/>
  <c r="AZ118" i="5"/>
  <c r="BA118" i="5"/>
  <c r="BP118" i="5" s="1"/>
  <c r="CI23" i="5"/>
  <c r="CF23" i="5"/>
  <c r="CE23" i="5"/>
  <c r="CK23" i="5"/>
  <c r="CC23" i="5"/>
  <c r="CA23" i="5"/>
  <c r="CD23" i="5"/>
  <c r="BY23" i="5"/>
  <c r="BW23" i="5"/>
  <c r="BV23" i="5"/>
  <c r="BS23" i="5"/>
  <c r="BT23" i="5"/>
  <c r="BR23" i="5"/>
  <c r="BQ23" i="5"/>
  <c r="BI23" i="5"/>
  <c r="BU23" i="5"/>
  <c r="BG23" i="5"/>
  <c r="BJ23" i="5"/>
  <c r="BF23" i="5"/>
  <c r="BM23" i="5"/>
  <c r="BA23" i="5"/>
  <c r="BE23" i="5"/>
  <c r="BK23" i="5"/>
  <c r="BH23" i="5"/>
  <c r="BD23" i="5"/>
  <c r="AZ23" i="5"/>
  <c r="AY23" i="5"/>
  <c r="AV23" i="5"/>
  <c r="AU23" i="5"/>
  <c r="CI87" i="5"/>
  <c r="CF87" i="5"/>
  <c r="CK87" i="5"/>
  <c r="CE87" i="5"/>
  <c r="CC87" i="5"/>
  <c r="CD87" i="5"/>
  <c r="CA87" i="5"/>
  <c r="BY87" i="5"/>
  <c r="BW87" i="5"/>
  <c r="BV87" i="5"/>
  <c r="BS87" i="5"/>
  <c r="BU87" i="5"/>
  <c r="BT87" i="5"/>
  <c r="BR87" i="5"/>
  <c r="BQ87" i="5"/>
  <c r="BI87" i="5"/>
  <c r="BG87" i="5"/>
  <c r="BJ87" i="5"/>
  <c r="BF87" i="5"/>
  <c r="BK87" i="5"/>
  <c r="BA87" i="5"/>
  <c r="BP87" i="5" s="1"/>
  <c r="BH87" i="5"/>
  <c r="BM87" i="5"/>
  <c r="BD87" i="5"/>
  <c r="AZ87" i="5"/>
  <c r="AY87" i="5"/>
  <c r="AV87" i="5"/>
  <c r="BO87" i="5" s="1"/>
  <c r="BE87" i="5"/>
  <c r="AU87" i="5"/>
  <c r="BN87" i="5" s="1"/>
  <c r="CF151" i="5"/>
  <c r="CK151" i="5"/>
  <c r="CI151" i="5"/>
  <c r="CC151" i="5"/>
  <c r="CE151" i="5"/>
  <c r="CD151" i="5"/>
  <c r="CA151" i="5"/>
  <c r="BY151" i="5"/>
  <c r="BW151" i="5"/>
  <c r="BV151" i="5"/>
  <c r="BS151" i="5"/>
  <c r="BU151" i="5"/>
  <c r="BQ151" i="5"/>
  <c r="BT151" i="5"/>
  <c r="BR151" i="5"/>
  <c r="BI151" i="5"/>
  <c r="BG151" i="5"/>
  <c r="BJ151" i="5"/>
  <c r="BM151" i="5"/>
  <c r="BK151" i="5"/>
  <c r="BE151" i="5"/>
  <c r="BD151" i="5"/>
  <c r="AZ151" i="5"/>
  <c r="AY151" i="5"/>
  <c r="BF151" i="5"/>
  <c r="AV151" i="5"/>
  <c r="BO151" i="5" s="1"/>
  <c r="BH151" i="5"/>
  <c r="AU151" i="5"/>
  <c r="BB151" i="5" s="1"/>
  <c r="BA151" i="5"/>
  <c r="BP151" i="5" s="1"/>
  <c r="CK64" i="5"/>
  <c r="CD64" i="5"/>
  <c r="CF64" i="5"/>
  <c r="CA64" i="5"/>
  <c r="CI64" i="5"/>
  <c r="CC64" i="5"/>
  <c r="CE64" i="5"/>
  <c r="BY64" i="5"/>
  <c r="BW64" i="5"/>
  <c r="BV64" i="5"/>
  <c r="BT64" i="5"/>
  <c r="BU64" i="5"/>
  <c r="BS64" i="5"/>
  <c r="BR64" i="5"/>
  <c r="BQ64" i="5"/>
  <c r="BJ64" i="5"/>
  <c r="BM64" i="5"/>
  <c r="BI64" i="5"/>
  <c r="BH64" i="5"/>
  <c r="BK64" i="5"/>
  <c r="BG64" i="5"/>
  <c r="BF64" i="5"/>
  <c r="BE64" i="5"/>
  <c r="BD64" i="5"/>
  <c r="AZ64" i="5"/>
  <c r="AY64" i="5"/>
  <c r="BA64" i="5"/>
  <c r="BP64" i="5" s="1"/>
  <c r="AV64" i="5"/>
  <c r="BO64" i="5" s="1"/>
  <c r="AU64" i="5"/>
  <c r="BB64" i="5" s="1"/>
  <c r="CK128" i="5"/>
  <c r="CF128" i="5"/>
  <c r="CD128" i="5"/>
  <c r="CI128" i="5"/>
  <c r="CE128" i="5"/>
  <c r="CC128" i="5"/>
  <c r="BY128" i="5"/>
  <c r="BW128" i="5"/>
  <c r="CA128" i="5"/>
  <c r="BV128" i="5"/>
  <c r="BT128" i="5"/>
  <c r="BU128" i="5"/>
  <c r="BS128" i="5"/>
  <c r="BR128" i="5"/>
  <c r="BQ128" i="5"/>
  <c r="BJ128" i="5"/>
  <c r="BM128" i="5"/>
  <c r="BI128" i="5"/>
  <c r="BH128" i="5"/>
  <c r="BK128" i="5"/>
  <c r="BG128" i="5"/>
  <c r="BE128" i="5"/>
  <c r="BF128" i="5"/>
  <c r="BA128" i="5"/>
  <c r="BP128" i="5" s="1"/>
  <c r="BD128" i="5"/>
  <c r="AZ128" i="5"/>
  <c r="AY128" i="5"/>
  <c r="AV128" i="5"/>
  <c r="BC128" i="5" s="1"/>
  <c r="AU128" i="5"/>
  <c r="BB128" i="5" s="1"/>
  <c r="CI25" i="5"/>
  <c r="CD25" i="5"/>
  <c r="CG25" i="5"/>
  <c r="CK25" i="5"/>
  <c r="CJ25" i="5"/>
  <c r="CF25" i="5"/>
  <c r="CH25" i="5"/>
  <c r="CC25" i="5"/>
  <c r="CA25" i="5"/>
  <c r="CE25" i="5"/>
  <c r="BZ25" i="5"/>
  <c r="BX25" i="5"/>
  <c r="BW25" i="5"/>
  <c r="BU25" i="5"/>
  <c r="BV25" i="5"/>
  <c r="BQ25" i="5"/>
  <c r="BY25" i="5"/>
  <c r="BT25" i="5"/>
  <c r="BS25" i="5"/>
  <c r="BR25" i="5"/>
  <c r="BK25" i="5"/>
  <c r="BM25" i="5"/>
  <c r="BI25" i="5"/>
  <c r="BE25" i="5"/>
  <c r="BH25" i="5"/>
  <c r="BJ25" i="5"/>
  <c r="BG25" i="5"/>
  <c r="BL25" i="5"/>
  <c r="BF25" i="5"/>
  <c r="AV25" i="5"/>
  <c r="BC25" i="5" s="1"/>
  <c r="BA25" i="5"/>
  <c r="BP25" i="5" s="1"/>
  <c r="AZ25" i="5"/>
  <c r="AY25" i="5"/>
  <c r="BD25" i="5"/>
  <c r="AU25" i="5"/>
  <c r="BB25" i="5" s="1"/>
  <c r="CI89" i="5"/>
  <c r="CE89" i="5"/>
  <c r="CK89" i="5"/>
  <c r="CF89" i="5"/>
  <c r="CD89" i="5"/>
  <c r="CC89" i="5"/>
  <c r="BV89" i="5"/>
  <c r="BQ89" i="5"/>
  <c r="BW89" i="5"/>
  <c r="BU89" i="5"/>
  <c r="BY89" i="5"/>
  <c r="BT89" i="5"/>
  <c r="BS89" i="5"/>
  <c r="BR89" i="5"/>
  <c r="BK89" i="5"/>
  <c r="BM89" i="5"/>
  <c r="BI89" i="5"/>
  <c r="BE89" i="5"/>
  <c r="CA89" i="5"/>
  <c r="BH89" i="5"/>
  <c r="BG89" i="5"/>
  <c r="BJ89" i="5"/>
  <c r="BF89" i="5"/>
  <c r="AV89" i="5"/>
  <c r="BC89" i="5" s="1"/>
  <c r="BA89" i="5"/>
  <c r="BP89" i="5" s="1"/>
  <c r="AZ89" i="5"/>
  <c r="AY89" i="5"/>
  <c r="AU89" i="5"/>
  <c r="BB89" i="5" s="1"/>
  <c r="BD89" i="5"/>
  <c r="CI153" i="5"/>
  <c r="CE153" i="5"/>
  <c r="CD153" i="5"/>
  <c r="CF153" i="5"/>
  <c r="CK153" i="5"/>
  <c r="CC153" i="5"/>
  <c r="BV153" i="5"/>
  <c r="BQ153" i="5"/>
  <c r="BY153" i="5"/>
  <c r="BU153" i="5"/>
  <c r="CA153" i="5"/>
  <c r="BT153" i="5"/>
  <c r="BW153" i="5"/>
  <c r="BS153" i="5"/>
  <c r="BR153" i="5"/>
  <c r="BK153" i="5"/>
  <c r="BM153" i="5"/>
  <c r="BI153" i="5"/>
  <c r="BH153" i="5"/>
  <c r="BJ153" i="5"/>
  <c r="BG153" i="5"/>
  <c r="BF153" i="5"/>
  <c r="BE153" i="5"/>
  <c r="BA153" i="5"/>
  <c r="BP153" i="5" s="1"/>
  <c r="AV153" i="5"/>
  <c r="BO153" i="5" s="1"/>
  <c r="AZ153" i="5"/>
  <c r="AY153" i="5"/>
  <c r="BD153" i="5"/>
  <c r="AU153" i="5"/>
  <c r="BN153" i="5" s="1"/>
  <c r="BC10" i="5"/>
  <c r="BC98" i="5"/>
  <c r="BD170" i="5"/>
  <c r="CB170" i="5" s="1"/>
  <c r="CF18" i="5"/>
  <c r="CK18" i="5"/>
  <c r="CE18" i="5"/>
  <c r="CI18" i="5"/>
  <c r="CC18" i="5"/>
  <c r="CD18" i="5"/>
  <c r="CA18" i="5"/>
  <c r="BW18" i="5"/>
  <c r="BV18" i="5"/>
  <c r="BY18" i="5"/>
  <c r="BR18" i="5"/>
  <c r="BQ18" i="5"/>
  <c r="BS18" i="5"/>
  <c r="BU18" i="5"/>
  <c r="BT18" i="5"/>
  <c r="BM18" i="5"/>
  <c r="BH18" i="5"/>
  <c r="BK18" i="5"/>
  <c r="BF18" i="5"/>
  <c r="BJ18" i="5"/>
  <c r="BI18" i="5"/>
  <c r="BD18" i="5"/>
  <c r="BG18" i="5"/>
  <c r="BE18" i="5"/>
  <c r="AV18" i="5"/>
  <c r="BO18" i="5" s="1"/>
  <c r="AZ18" i="5"/>
  <c r="AY18" i="5"/>
  <c r="BA18" i="5"/>
  <c r="BP18" i="5" s="1"/>
  <c r="AU18" i="5"/>
  <c r="BN18" i="5" s="1"/>
  <c r="CF141" i="5"/>
  <c r="CK141" i="5"/>
  <c r="CI141" i="5"/>
  <c r="CE141" i="5"/>
  <c r="CD141" i="5"/>
  <c r="CA141" i="5"/>
  <c r="CC141" i="5"/>
  <c r="BY141" i="5"/>
  <c r="BU141" i="5"/>
  <c r="BW141" i="5"/>
  <c r="BV141" i="5"/>
  <c r="BT141" i="5"/>
  <c r="BQ141" i="5"/>
  <c r="BS141" i="5"/>
  <c r="BR141" i="5"/>
  <c r="BK141" i="5"/>
  <c r="BJ141" i="5"/>
  <c r="BM141" i="5"/>
  <c r="BI141" i="5"/>
  <c r="BG141" i="5"/>
  <c r="BH141" i="5"/>
  <c r="BF141" i="5"/>
  <c r="BD141" i="5"/>
  <c r="BE141" i="5"/>
  <c r="BA141" i="5"/>
  <c r="BP141" i="5" s="1"/>
  <c r="AV141" i="5"/>
  <c r="BC141" i="5" s="1"/>
  <c r="AY141" i="5"/>
  <c r="AU141" i="5"/>
  <c r="BN141" i="5" s="1"/>
  <c r="AZ141" i="5"/>
  <c r="CF150" i="5"/>
  <c r="CK150" i="5"/>
  <c r="CE150" i="5"/>
  <c r="CI150" i="5"/>
  <c r="CC150" i="5"/>
  <c r="CD150" i="5"/>
  <c r="CA150" i="5"/>
  <c r="BV150" i="5"/>
  <c r="BY150" i="5"/>
  <c r="BW150" i="5"/>
  <c r="BU150" i="5"/>
  <c r="BR150" i="5"/>
  <c r="BT150" i="5"/>
  <c r="BS150" i="5"/>
  <c r="BQ150" i="5"/>
  <c r="BK150" i="5"/>
  <c r="BM150" i="5"/>
  <c r="BH150" i="5"/>
  <c r="BJ150" i="5"/>
  <c r="BF150" i="5"/>
  <c r="BI150" i="5"/>
  <c r="BE150" i="5"/>
  <c r="BD150" i="5"/>
  <c r="AY150" i="5"/>
  <c r="BG150" i="5"/>
  <c r="AV150" i="5"/>
  <c r="BO150" i="5" s="1"/>
  <c r="AU150" i="5"/>
  <c r="BN150" i="5" s="1"/>
  <c r="AZ150" i="5"/>
  <c r="BA150" i="5"/>
  <c r="BP150" i="5" s="1"/>
  <c r="CK32" i="5"/>
  <c r="CI32" i="5"/>
  <c r="CA32" i="5"/>
  <c r="CE32" i="5"/>
  <c r="CC32" i="5"/>
  <c r="CD32" i="5"/>
  <c r="CF32" i="5"/>
  <c r="BY32" i="5"/>
  <c r="BW32" i="5"/>
  <c r="BV32" i="5"/>
  <c r="BT32" i="5"/>
  <c r="BS32" i="5"/>
  <c r="BU32" i="5"/>
  <c r="BR32" i="5"/>
  <c r="BQ32" i="5"/>
  <c r="BJ32" i="5"/>
  <c r="BH32" i="5"/>
  <c r="BM32" i="5"/>
  <c r="BI32" i="5"/>
  <c r="BG32" i="5"/>
  <c r="BF32" i="5"/>
  <c r="BE32" i="5"/>
  <c r="BK32" i="5"/>
  <c r="BD32" i="5"/>
  <c r="AZ32" i="5"/>
  <c r="AY32" i="5"/>
  <c r="BA32" i="5"/>
  <c r="AU32" i="5"/>
  <c r="AV32" i="5"/>
  <c r="CI121" i="5"/>
  <c r="CK121" i="5"/>
  <c r="CF121" i="5"/>
  <c r="CE121" i="5"/>
  <c r="CD121" i="5"/>
  <c r="CC121" i="5"/>
  <c r="BY121" i="5"/>
  <c r="BW121" i="5"/>
  <c r="BQ121" i="5"/>
  <c r="BV121" i="5"/>
  <c r="BU121" i="5"/>
  <c r="BS121" i="5"/>
  <c r="CA121" i="5"/>
  <c r="BR121" i="5"/>
  <c r="BT121" i="5"/>
  <c r="BK121" i="5"/>
  <c r="BE121" i="5"/>
  <c r="BJ121" i="5"/>
  <c r="BM121" i="5"/>
  <c r="BI121" i="5"/>
  <c r="BH121" i="5"/>
  <c r="BG121" i="5"/>
  <c r="BF121" i="5"/>
  <c r="BA121" i="5"/>
  <c r="BP121" i="5" s="1"/>
  <c r="AV121" i="5"/>
  <c r="BC121" i="5" s="1"/>
  <c r="AZ121" i="5"/>
  <c r="AY121" i="5"/>
  <c r="AU121" i="5"/>
  <c r="BB121" i="5" s="1"/>
  <c r="BD121" i="5"/>
  <c r="CK3" i="5"/>
  <c r="CI3" i="5"/>
  <c r="CF3" i="5"/>
  <c r="CD3" i="5"/>
  <c r="CC3" i="5"/>
  <c r="CA3" i="5"/>
  <c r="BY3" i="5"/>
  <c r="BW3" i="5"/>
  <c r="BS3" i="5"/>
  <c r="CE3" i="5"/>
  <c r="BR3" i="5"/>
  <c r="BU3" i="5"/>
  <c r="BV3" i="5"/>
  <c r="BQ3" i="5"/>
  <c r="BI3" i="5"/>
  <c r="BM3" i="5"/>
  <c r="BG3" i="5"/>
  <c r="BT3" i="5"/>
  <c r="BH3" i="5"/>
  <c r="BJ3" i="5"/>
  <c r="BF3" i="5"/>
  <c r="BK3" i="5"/>
  <c r="BA3" i="5"/>
  <c r="BP3" i="5" s="1"/>
  <c r="BD3" i="5"/>
  <c r="AZ3" i="5"/>
  <c r="AY3" i="5"/>
  <c r="AV3" i="5"/>
  <c r="BC3" i="5" s="1"/>
  <c r="BE3" i="5"/>
  <c r="AU3" i="5"/>
  <c r="BN3" i="5" s="1"/>
  <c r="CI124" i="5"/>
  <c r="CK124" i="5"/>
  <c r="CD124" i="5"/>
  <c r="CF124" i="5"/>
  <c r="CE124" i="5"/>
  <c r="CC124" i="5"/>
  <c r="CA124" i="5"/>
  <c r="BY124" i="5"/>
  <c r="BT124" i="5"/>
  <c r="BW124" i="5"/>
  <c r="BS124" i="5"/>
  <c r="BU124" i="5"/>
  <c r="BV124" i="5"/>
  <c r="BR124" i="5"/>
  <c r="BJ124" i="5"/>
  <c r="BI124" i="5"/>
  <c r="BM124" i="5"/>
  <c r="BH124" i="5"/>
  <c r="BQ124" i="5"/>
  <c r="BG124" i="5"/>
  <c r="BK124" i="5"/>
  <c r="BE124" i="5"/>
  <c r="BD124" i="5"/>
  <c r="BA124" i="5"/>
  <c r="BP124" i="5" s="1"/>
  <c r="BF124" i="5"/>
  <c r="AZ124" i="5"/>
  <c r="AU124" i="5"/>
  <c r="BB124" i="5" s="1"/>
  <c r="AV124" i="5"/>
  <c r="BC124" i="5" s="1"/>
  <c r="AY124" i="5"/>
  <c r="CJ21" i="5"/>
  <c r="CF21" i="5"/>
  <c r="CK21" i="5"/>
  <c r="CD21" i="5"/>
  <c r="CC21" i="5"/>
  <c r="CH21" i="5"/>
  <c r="CI21" i="5"/>
  <c r="CA21" i="5"/>
  <c r="CE21" i="5"/>
  <c r="BZ21" i="5"/>
  <c r="CG21" i="5"/>
  <c r="BX21" i="5"/>
  <c r="BY21" i="5"/>
  <c r="BT21" i="5"/>
  <c r="BQ21" i="5"/>
  <c r="BV21" i="5"/>
  <c r="BS21" i="5"/>
  <c r="BR21" i="5"/>
  <c r="BW21" i="5"/>
  <c r="BU21" i="5"/>
  <c r="BK21" i="5"/>
  <c r="BL21" i="5"/>
  <c r="BJ21" i="5"/>
  <c r="BH21" i="5"/>
  <c r="BG21" i="5"/>
  <c r="BE21" i="5"/>
  <c r="BM21" i="5"/>
  <c r="BI21" i="5"/>
  <c r="BD21" i="5"/>
  <c r="AV21" i="5"/>
  <c r="BO21" i="5" s="1"/>
  <c r="BA21" i="5"/>
  <c r="BP21" i="5" s="1"/>
  <c r="AY21" i="5"/>
  <c r="AZ21" i="5"/>
  <c r="AU21" i="5"/>
  <c r="BN21" i="5" s="1"/>
  <c r="BF21" i="5"/>
  <c r="CK94" i="5"/>
  <c r="CI94" i="5"/>
  <c r="CF94" i="5"/>
  <c r="CE94" i="5"/>
  <c r="CD94" i="5"/>
  <c r="CC94" i="5"/>
  <c r="CA94" i="5"/>
  <c r="BV94" i="5"/>
  <c r="BU94" i="5"/>
  <c r="BW94" i="5"/>
  <c r="BR94" i="5"/>
  <c r="BS94" i="5"/>
  <c r="BQ94" i="5"/>
  <c r="BY94" i="5"/>
  <c r="BT94" i="5"/>
  <c r="BK94" i="5"/>
  <c r="BM94" i="5"/>
  <c r="BH94" i="5"/>
  <c r="BF94" i="5"/>
  <c r="BI94" i="5"/>
  <c r="BD94" i="5"/>
  <c r="BJ94" i="5"/>
  <c r="AY94" i="5"/>
  <c r="BE94" i="5"/>
  <c r="BG94" i="5"/>
  <c r="AV94" i="5"/>
  <c r="BC94" i="5" s="1"/>
  <c r="AU94" i="5"/>
  <c r="BN94" i="5" s="1"/>
  <c r="AZ94" i="5"/>
  <c r="BA94" i="5"/>
  <c r="BP94" i="5" s="1"/>
  <c r="CK27" i="5"/>
  <c r="CE27" i="5"/>
  <c r="CI27" i="5"/>
  <c r="CH27" i="5"/>
  <c r="CJ27" i="5"/>
  <c r="CD27" i="5"/>
  <c r="CC27" i="5"/>
  <c r="CG27" i="5"/>
  <c r="CF27" i="5"/>
  <c r="BX27" i="5"/>
  <c r="BY27" i="5"/>
  <c r="BW27" i="5"/>
  <c r="CA27" i="5"/>
  <c r="BZ27" i="5"/>
  <c r="BS27" i="5"/>
  <c r="BV27" i="5"/>
  <c r="BR27" i="5"/>
  <c r="BU27" i="5"/>
  <c r="BQ27" i="5"/>
  <c r="BT27" i="5"/>
  <c r="BI27" i="5"/>
  <c r="BM27" i="5"/>
  <c r="BJ27" i="5"/>
  <c r="BG27" i="5"/>
  <c r="BL27" i="5"/>
  <c r="BK27" i="5"/>
  <c r="BH27" i="5"/>
  <c r="BE27" i="5"/>
  <c r="BF27" i="5"/>
  <c r="BA27" i="5"/>
  <c r="BP27" i="5" s="1"/>
  <c r="AZ27" i="5"/>
  <c r="AY27" i="5"/>
  <c r="BD27" i="5"/>
  <c r="AV27" i="5"/>
  <c r="BC27" i="5" s="1"/>
  <c r="AU27" i="5"/>
  <c r="BN27" i="5" s="1"/>
  <c r="CK155" i="5"/>
  <c r="CI155" i="5"/>
  <c r="CD155" i="5"/>
  <c r="CE155" i="5"/>
  <c r="CF155" i="5"/>
  <c r="CA155" i="5"/>
  <c r="BY155" i="5"/>
  <c r="BW155" i="5"/>
  <c r="CC155" i="5"/>
  <c r="BS155" i="5"/>
  <c r="BV155" i="5"/>
  <c r="BR155" i="5"/>
  <c r="BU155" i="5"/>
  <c r="BQ155" i="5"/>
  <c r="BT155" i="5"/>
  <c r="BI155" i="5"/>
  <c r="BM155" i="5"/>
  <c r="BJ155" i="5"/>
  <c r="BG155" i="5"/>
  <c r="BE155" i="5"/>
  <c r="BK155" i="5"/>
  <c r="BH155" i="5"/>
  <c r="BF155" i="5"/>
  <c r="BA155" i="5"/>
  <c r="BP155" i="5" s="1"/>
  <c r="AZ155" i="5"/>
  <c r="AY155" i="5"/>
  <c r="BD155" i="5"/>
  <c r="AU155" i="5"/>
  <c r="BB155" i="5" s="1"/>
  <c r="AV155" i="5"/>
  <c r="BO155" i="5" s="1"/>
  <c r="CI148" i="5"/>
  <c r="CK148" i="5"/>
  <c r="CF148" i="5"/>
  <c r="CE148" i="5"/>
  <c r="CD148" i="5"/>
  <c r="CC148" i="5"/>
  <c r="CA148" i="5"/>
  <c r="BT148" i="5"/>
  <c r="BS148" i="5"/>
  <c r="BY148" i="5"/>
  <c r="BW148" i="5"/>
  <c r="BV148" i="5"/>
  <c r="BR148" i="5"/>
  <c r="BU148" i="5"/>
  <c r="BJ148" i="5"/>
  <c r="BI148" i="5"/>
  <c r="BK148" i="5"/>
  <c r="BQ148" i="5"/>
  <c r="BM148" i="5"/>
  <c r="BF148" i="5"/>
  <c r="BH148" i="5"/>
  <c r="BG148" i="5"/>
  <c r="BD148" i="5"/>
  <c r="BA148" i="5"/>
  <c r="BP148" i="5" s="1"/>
  <c r="AZ148" i="5"/>
  <c r="BE148" i="5"/>
  <c r="AV148" i="5"/>
  <c r="BO148" i="5" s="1"/>
  <c r="AY148" i="5"/>
  <c r="AU148" i="5"/>
  <c r="BN148" i="5" s="1"/>
  <c r="CF109" i="5"/>
  <c r="CI109" i="5"/>
  <c r="CD109" i="5"/>
  <c r="CC109" i="5"/>
  <c r="CE109" i="5"/>
  <c r="CA109" i="5"/>
  <c r="CK109" i="5"/>
  <c r="BU109" i="5"/>
  <c r="BT109" i="5"/>
  <c r="BY109" i="5"/>
  <c r="BQ109" i="5"/>
  <c r="BS109" i="5"/>
  <c r="BR109" i="5"/>
  <c r="BV109" i="5"/>
  <c r="BK109" i="5"/>
  <c r="BJ109" i="5"/>
  <c r="BG109" i="5"/>
  <c r="BW109" i="5"/>
  <c r="BM109" i="5"/>
  <c r="BI109" i="5"/>
  <c r="BH109" i="5"/>
  <c r="BE109" i="5"/>
  <c r="BF109" i="5"/>
  <c r="BD109" i="5"/>
  <c r="BA109" i="5"/>
  <c r="BP109" i="5" s="1"/>
  <c r="AV109" i="5"/>
  <c r="BO109" i="5" s="1"/>
  <c r="AY109" i="5"/>
  <c r="AZ109" i="5"/>
  <c r="AU109" i="5"/>
  <c r="BN109" i="5" s="1"/>
  <c r="CK35" i="5"/>
  <c r="CI35" i="5"/>
  <c r="CH35" i="5"/>
  <c r="CF35" i="5"/>
  <c r="CE35" i="5"/>
  <c r="CG35" i="5"/>
  <c r="CD35" i="5"/>
  <c r="CJ35" i="5"/>
  <c r="CC35" i="5"/>
  <c r="CA35" i="5"/>
  <c r="BZ35" i="5"/>
  <c r="BY35" i="5"/>
  <c r="BW35" i="5"/>
  <c r="BS35" i="5"/>
  <c r="BR35" i="5"/>
  <c r="BU35" i="5"/>
  <c r="BT35" i="5"/>
  <c r="BX35" i="5"/>
  <c r="BV35" i="5"/>
  <c r="BL35" i="5"/>
  <c r="BI35" i="5"/>
  <c r="BM35" i="5"/>
  <c r="BQ35" i="5"/>
  <c r="BG35" i="5"/>
  <c r="BH35" i="5"/>
  <c r="BJ35" i="5"/>
  <c r="BK35" i="5"/>
  <c r="BF35" i="5"/>
  <c r="BA35" i="5"/>
  <c r="BP35" i="5" s="1"/>
  <c r="BD35" i="5"/>
  <c r="BE35" i="5"/>
  <c r="AZ35" i="5"/>
  <c r="AY35" i="5"/>
  <c r="AV35" i="5"/>
  <c r="BO35" i="5" s="1"/>
  <c r="AU35" i="5"/>
  <c r="BN35" i="5" s="1"/>
  <c r="CK99" i="5"/>
  <c r="CI99" i="5"/>
  <c r="CH99" i="5"/>
  <c r="CF99" i="5"/>
  <c r="CE99" i="5"/>
  <c r="CD99" i="5"/>
  <c r="CJ99" i="5"/>
  <c r="CG99" i="5"/>
  <c r="CC99" i="5"/>
  <c r="BZ99" i="5"/>
  <c r="BY99" i="5"/>
  <c r="BW99" i="5"/>
  <c r="CA99" i="5"/>
  <c r="BS99" i="5"/>
  <c r="BR99" i="5"/>
  <c r="BV99" i="5"/>
  <c r="BU99" i="5"/>
  <c r="BT99" i="5"/>
  <c r="BI99" i="5"/>
  <c r="BQ99" i="5"/>
  <c r="BM99" i="5"/>
  <c r="BG99" i="5"/>
  <c r="BX99" i="5"/>
  <c r="BH99" i="5"/>
  <c r="BL99" i="5"/>
  <c r="BJ99" i="5"/>
  <c r="BK99" i="5"/>
  <c r="BF99" i="5"/>
  <c r="BD99" i="5"/>
  <c r="BA99" i="5"/>
  <c r="BP99" i="5" s="1"/>
  <c r="BE99" i="5"/>
  <c r="AZ99" i="5"/>
  <c r="AY99" i="5"/>
  <c r="AV99" i="5"/>
  <c r="BC99" i="5" s="1"/>
  <c r="AU99" i="5"/>
  <c r="BN99" i="5" s="1"/>
  <c r="CK163" i="5"/>
  <c r="CI163" i="5"/>
  <c r="CE163" i="5"/>
  <c r="CD163" i="5"/>
  <c r="CF163" i="5"/>
  <c r="BY163" i="5"/>
  <c r="BW163" i="5"/>
  <c r="CA163" i="5"/>
  <c r="BS163" i="5"/>
  <c r="CC163" i="5"/>
  <c r="BR163" i="5"/>
  <c r="BU163" i="5"/>
  <c r="BV163" i="5"/>
  <c r="BT163" i="5"/>
  <c r="BI163" i="5"/>
  <c r="BQ163" i="5"/>
  <c r="BM163" i="5"/>
  <c r="BG163" i="5"/>
  <c r="BJ163" i="5"/>
  <c r="BK163" i="5"/>
  <c r="BH163" i="5"/>
  <c r="BE163" i="5"/>
  <c r="BF163" i="5"/>
  <c r="BD163" i="5"/>
  <c r="BA163" i="5"/>
  <c r="BP163" i="5" s="1"/>
  <c r="AZ163" i="5"/>
  <c r="AY163" i="5"/>
  <c r="AV163" i="5"/>
  <c r="BO163" i="5" s="1"/>
  <c r="AU163" i="5"/>
  <c r="BB163" i="5" s="1"/>
  <c r="CI156" i="5"/>
  <c r="CK156" i="5"/>
  <c r="CF156" i="5"/>
  <c r="CD156" i="5"/>
  <c r="CC156" i="5"/>
  <c r="CE156" i="5"/>
  <c r="CA156" i="5"/>
  <c r="BY156" i="5"/>
  <c r="BW156" i="5"/>
  <c r="BT156" i="5"/>
  <c r="BS156" i="5"/>
  <c r="BR156" i="5"/>
  <c r="BU156" i="5"/>
  <c r="BQ156" i="5"/>
  <c r="BJ156" i="5"/>
  <c r="BI156" i="5"/>
  <c r="BH156" i="5"/>
  <c r="BV156" i="5"/>
  <c r="BM156" i="5"/>
  <c r="BG156" i="5"/>
  <c r="BK156" i="5"/>
  <c r="BD156" i="5"/>
  <c r="BF156" i="5"/>
  <c r="BE156" i="5"/>
  <c r="BA156" i="5"/>
  <c r="BP156" i="5" s="1"/>
  <c r="AZ156" i="5"/>
  <c r="AU156" i="5"/>
  <c r="BN156" i="5" s="1"/>
  <c r="AY156" i="5"/>
  <c r="AV156" i="5"/>
  <c r="BC156" i="5" s="1"/>
  <c r="CF53" i="5"/>
  <c r="CE53" i="5"/>
  <c r="CI53" i="5"/>
  <c r="CD53" i="5"/>
  <c r="CK53" i="5"/>
  <c r="CC53" i="5"/>
  <c r="CA53" i="5"/>
  <c r="BW53" i="5"/>
  <c r="BY53" i="5"/>
  <c r="BT53" i="5"/>
  <c r="BQ53" i="5"/>
  <c r="BR53" i="5"/>
  <c r="BU53" i="5"/>
  <c r="BV53" i="5"/>
  <c r="BK53" i="5"/>
  <c r="BJ53" i="5"/>
  <c r="BH53" i="5"/>
  <c r="BG53" i="5"/>
  <c r="BE53" i="5"/>
  <c r="BS53" i="5"/>
  <c r="BM53" i="5"/>
  <c r="BD53" i="5"/>
  <c r="BI53" i="5"/>
  <c r="BF53" i="5"/>
  <c r="AV53" i="5"/>
  <c r="BO53" i="5" s="1"/>
  <c r="BA53" i="5"/>
  <c r="BP53" i="5" s="1"/>
  <c r="AY53" i="5"/>
  <c r="AZ53" i="5"/>
  <c r="AU53" i="5"/>
  <c r="BB53" i="5" s="1"/>
  <c r="CF117" i="5"/>
  <c r="CJ117" i="5"/>
  <c r="CE117" i="5"/>
  <c r="CG117" i="5"/>
  <c r="CK117" i="5"/>
  <c r="CH117" i="5"/>
  <c r="CD117" i="5"/>
  <c r="CI117" i="5"/>
  <c r="CC117" i="5"/>
  <c r="CA117" i="5"/>
  <c r="BZ117" i="5"/>
  <c r="BX117" i="5"/>
  <c r="BW117" i="5"/>
  <c r="BY117" i="5"/>
  <c r="BU117" i="5"/>
  <c r="BT117" i="5"/>
  <c r="BQ117" i="5"/>
  <c r="BR117" i="5"/>
  <c r="BV117" i="5"/>
  <c r="BS117" i="5"/>
  <c r="BK117" i="5"/>
  <c r="BJ117" i="5"/>
  <c r="BH117" i="5"/>
  <c r="BG117" i="5"/>
  <c r="BE117" i="5"/>
  <c r="BL117" i="5"/>
  <c r="BI117" i="5"/>
  <c r="BF117" i="5"/>
  <c r="BD117" i="5"/>
  <c r="BM117" i="5"/>
  <c r="BA117" i="5"/>
  <c r="BP117" i="5" s="1"/>
  <c r="AV117" i="5"/>
  <c r="BO117" i="5" s="1"/>
  <c r="AY117" i="5"/>
  <c r="AZ117" i="5"/>
  <c r="AU117" i="5"/>
  <c r="BB117" i="5" s="1"/>
  <c r="CK62" i="5"/>
  <c r="CE62" i="5"/>
  <c r="CI62" i="5"/>
  <c r="CD62" i="5"/>
  <c r="CC62" i="5"/>
  <c r="CA62" i="5"/>
  <c r="CF62" i="5"/>
  <c r="BV62" i="5"/>
  <c r="BY62" i="5"/>
  <c r="BU62" i="5"/>
  <c r="BR62" i="5"/>
  <c r="BW62" i="5"/>
  <c r="BT62" i="5"/>
  <c r="BS62" i="5"/>
  <c r="BQ62" i="5"/>
  <c r="BK62" i="5"/>
  <c r="BM62" i="5"/>
  <c r="BH62" i="5"/>
  <c r="BF62" i="5"/>
  <c r="BJ62" i="5"/>
  <c r="BI62" i="5"/>
  <c r="BD62" i="5"/>
  <c r="AY62" i="5"/>
  <c r="BE62" i="5"/>
  <c r="AV62" i="5"/>
  <c r="BC62" i="5" s="1"/>
  <c r="AZ62" i="5"/>
  <c r="BG62" i="5"/>
  <c r="AU62" i="5"/>
  <c r="BN62" i="5" s="1"/>
  <c r="BA62" i="5"/>
  <c r="BP62" i="5" s="1"/>
  <c r="CK126" i="5"/>
  <c r="CE126" i="5"/>
  <c r="CI126" i="5"/>
  <c r="CF126" i="5"/>
  <c r="CD126" i="5"/>
  <c r="CC126" i="5"/>
  <c r="CA126" i="5"/>
  <c r="BV126" i="5"/>
  <c r="BU126" i="5"/>
  <c r="BR126" i="5"/>
  <c r="BT126" i="5"/>
  <c r="BY126" i="5"/>
  <c r="BW126" i="5"/>
  <c r="BS126" i="5"/>
  <c r="BQ126" i="5"/>
  <c r="BK126" i="5"/>
  <c r="BM126" i="5"/>
  <c r="BH126" i="5"/>
  <c r="BF126" i="5"/>
  <c r="BJ126" i="5"/>
  <c r="BI126" i="5"/>
  <c r="BD126" i="5"/>
  <c r="AY126" i="5"/>
  <c r="AV126" i="5"/>
  <c r="BC126" i="5" s="1"/>
  <c r="BE126" i="5"/>
  <c r="AU126" i="5"/>
  <c r="BN126" i="5" s="1"/>
  <c r="AZ126" i="5"/>
  <c r="BG126" i="5"/>
  <c r="BA126" i="5"/>
  <c r="BP126" i="5" s="1"/>
  <c r="CH31" i="5"/>
  <c r="CG31" i="5"/>
  <c r="CJ31" i="5"/>
  <c r="CK31" i="5"/>
  <c r="CF31" i="5"/>
  <c r="CE31" i="5"/>
  <c r="CC31" i="5"/>
  <c r="CD31" i="5"/>
  <c r="CI31" i="5"/>
  <c r="CA31" i="5"/>
  <c r="BZ31" i="5"/>
  <c r="BY31" i="5"/>
  <c r="BW31" i="5"/>
  <c r="BV31" i="5"/>
  <c r="BX31" i="5"/>
  <c r="BU31" i="5"/>
  <c r="BS31" i="5"/>
  <c r="BR31" i="5"/>
  <c r="BQ31" i="5"/>
  <c r="BT31" i="5"/>
  <c r="BI31" i="5"/>
  <c r="BK31" i="5"/>
  <c r="BJ31" i="5"/>
  <c r="BL31" i="5"/>
  <c r="BG31" i="5"/>
  <c r="BF31" i="5"/>
  <c r="BE31" i="5"/>
  <c r="BA31" i="5"/>
  <c r="BP31" i="5" s="1"/>
  <c r="BM31" i="5"/>
  <c r="BH31" i="5"/>
  <c r="BD31" i="5"/>
  <c r="AZ31" i="5"/>
  <c r="AY31" i="5"/>
  <c r="AV31" i="5"/>
  <c r="BC31" i="5" s="1"/>
  <c r="AU31" i="5"/>
  <c r="BN31" i="5" s="1"/>
  <c r="CK95" i="5"/>
  <c r="CI95" i="5"/>
  <c r="CF95" i="5"/>
  <c r="CE95" i="5"/>
  <c r="CD95" i="5"/>
  <c r="CC95" i="5"/>
  <c r="CA95" i="5"/>
  <c r="BY95" i="5"/>
  <c r="BW95" i="5"/>
  <c r="BV95" i="5"/>
  <c r="BS95" i="5"/>
  <c r="BR95" i="5"/>
  <c r="BQ95" i="5"/>
  <c r="BU95" i="5"/>
  <c r="BT95" i="5"/>
  <c r="BI95" i="5"/>
  <c r="BK95" i="5"/>
  <c r="BJ95" i="5"/>
  <c r="BG95" i="5"/>
  <c r="BM95" i="5"/>
  <c r="BF95" i="5"/>
  <c r="BH95" i="5"/>
  <c r="BD95" i="5"/>
  <c r="AZ95" i="5"/>
  <c r="AY95" i="5"/>
  <c r="BE95" i="5"/>
  <c r="AV95" i="5"/>
  <c r="BO95" i="5" s="1"/>
  <c r="BA95" i="5"/>
  <c r="BP95" i="5" s="1"/>
  <c r="AU95" i="5"/>
  <c r="BB95" i="5" s="1"/>
  <c r="CF159" i="5"/>
  <c r="CK159" i="5"/>
  <c r="CE159" i="5"/>
  <c r="CD159" i="5"/>
  <c r="CC159" i="5"/>
  <c r="CI159" i="5"/>
  <c r="CA159" i="5"/>
  <c r="BY159" i="5"/>
  <c r="BW159" i="5"/>
  <c r="BV159" i="5"/>
  <c r="BS159" i="5"/>
  <c r="BR159" i="5"/>
  <c r="BU159" i="5"/>
  <c r="BT159" i="5"/>
  <c r="BQ159" i="5"/>
  <c r="BI159" i="5"/>
  <c r="BK159" i="5"/>
  <c r="BJ159" i="5"/>
  <c r="BG159" i="5"/>
  <c r="BF159" i="5"/>
  <c r="BM159" i="5"/>
  <c r="BE159" i="5"/>
  <c r="BD159" i="5"/>
  <c r="AZ159" i="5"/>
  <c r="AY159" i="5"/>
  <c r="AV159" i="5"/>
  <c r="BO159" i="5" s="1"/>
  <c r="AU159" i="5"/>
  <c r="BB159" i="5" s="1"/>
  <c r="BH159" i="5"/>
  <c r="BA159" i="5"/>
  <c r="BP159" i="5" s="1"/>
  <c r="CK8" i="5"/>
  <c r="CE8" i="5"/>
  <c r="CI8" i="5"/>
  <c r="CF8" i="5"/>
  <c r="CD8" i="5"/>
  <c r="CA8" i="5"/>
  <c r="CC8" i="5"/>
  <c r="BY8" i="5"/>
  <c r="BW8" i="5"/>
  <c r="BU8" i="5"/>
  <c r="BT8" i="5"/>
  <c r="BS8" i="5"/>
  <c r="BV8" i="5"/>
  <c r="BR8" i="5"/>
  <c r="BJ8" i="5"/>
  <c r="BH8" i="5"/>
  <c r="BK8" i="5"/>
  <c r="BM8" i="5"/>
  <c r="BI8" i="5"/>
  <c r="BG8" i="5"/>
  <c r="BQ8" i="5"/>
  <c r="BF8" i="5"/>
  <c r="AZ8" i="5"/>
  <c r="AY8" i="5"/>
  <c r="BD8" i="5"/>
  <c r="BA8" i="5"/>
  <c r="BP8" i="5" s="1"/>
  <c r="BE8" i="5"/>
  <c r="AU8" i="5"/>
  <c r="BB8" i="5" s="1"/>
  <c r="AV8" i="5"/>
  <c r="BO8" i="5" s="1"/>
  <c r="CK72" i="5"/>
  <c r="CF72" i="5"/>
  <c r="CD72" i="5"/>
  <c r="CA72" i="5"/>
  <c r="CI72" i="5"/>
  <c r="CE72" i="5"/>
  <c r="CC72" i="5"/>
  <c r="BY72" i="5"/>
  <c r="BW72" i="5"/>
  <c r="BT72" i="5"/>
  <c r="BS72" i="5"/>
  <c r="BR72" i="5"/>
  <c r="BV72" i="5"/>
  <c r="BU72" i="5"/>
  <c r="BJ72" i="5"/>
  <c r="BH72" i="5"/>
  <c r="BK72" i="5"/>
  <c r="BM72" i="5"/>
  <c r="BI72" i="5"/>
  <c r="BG72" i="5"/>
  <c r="BF72" i="5"/>
  <c r="BQ72" i="5"/>
  <c r="AZ72" i="5"/>
  <c r="AY72" i="5"/>
  <c r="BE72" i="5"/>
  <c r="BD72" i="5"/>
  <c r="BA72" i="5"/>
  <c r="BP72" i="5" s="1"/>
  <c r="AU72" i="5"/>
  <c r="BN72" i="5" s="1"/>
  <c r="AV72" i="5"/>
  <c r="BC72" i="5" s="1"/>
  <c r="CK136" i="5"/>
  <c r="CD136" i="5"/>
  <c r="CF136" i="5"/>
  <c r="CI136" i="5"/>
  <c r="CE136" i="5"/>
  <c r="CC136" i="5"/>
  <c r="BY136" i="5"/>
  <c r="CA136" i="5"/>
  <c r="BT136" i="5"/>
  <c r="BS136" i="5"/>
  <c r="BR136" i="5"/>
  <c r="BW136" i="5"/>
  <c r="BU136" i="5"/>
  <c r="BV136" i="5"/>
  <c r="BJ136" i="5"/>
  <c r="BH136" i="5"/>
  <c r="BQ136" i="5"/>
  <c r="BK136" i="5"/>
  <c r="BM136" i="5"/>
  <c r="BI136" i="5"/>
  <c r="BG136" i="5"/>
  <c r="BF136" i="5"/>
  <c r="BA136" i="5"/>
  <c r="BP136" i="5" s="1"/>
  <c r="BE136" i="5"/>
  <c r="AZ136" i="5"/>
  <c r="AY136" i="5"/>
  <c r="BD136" i="5"/>
  <c r="AU136" i="5"/>
  <c r="BB136" i="5" s="1"/>
  <c r="AV136" i="5"/>
  <c r="BO136" i="5" s="1"/>
  <c r="CI33" i="5"/>
  <c r="CF33" i="5"/>
  <c r="CD33" i="5"/>
  <c r="CK33" i="5"/>
  <c r="CE33" i="5"/>
  <c r="CC33" i="5"/>
  <c r="BW33" i="5"/>
  <c r="BU33" i="5"/>
  <c r="BQ33" i="5"/>
  <c r="BT33" i="5"/>
  <c r="CA33" i="5"/>
  <c r="BS33" i="5"/>
  <c r="BR33" i="5"/>
  <c r="BK33" i="5"/>
  <c r="BE33" i="5"/>
  <c r="BM33" i="5"/>
  <c r="BI33" i="5"/>
  <c r="BH33" i="5"/>
  <c r="BV33" i="5"/>
  <c r="BF33" i="5"/>
  <c r="BJ33" i="5"/>
  <c r="BY33" i="5"/>
  <c r="BG33" i="5"/>
  <c r="BA33" i="5"/>
  <c r="BP33" i="5" s="1"/>
  <c r="AV33" i="5"/>
  <c r="BC33" i="5" s="1"/>
  <c r="BD33" i="5"/>
  <c r="AZ33" i="5"/>
  <c r="AY33" i="5"/>
  <c r="AU33" i="5"/>
  <c r="BN33" i="5" s="1"/>
  <c r="CI97" i="5"/>
  <c r="CF97" i="5"/>
  <c r="CK97" i="5"/>
  <c r="CD97" i="5"/>
  <c r="CE97" i="5"/>
  <c r="CC97" i="5"/>
  <c r="CA97" i="5"/>
  <c r="BW97" i="5"/>
  <c r="BQ97" i="5"/>
  <c r="BU97" i="5"/>
  <c r="BT97" i="5"/>
  <c r="BS97" i="5"/>
  <c r="BR97" i="5"/>
  <c r="BV97" i="5"/>
  <c r="BY97" i="5"/>
  <c r="BK97" i="5"/>
  <c r="BE97" i="5"/>
  <c r="BM97" i="5"/>
  <c r="BI97" i="5"/>
  <c r="BJ97" i="5"/>
  <c r="BH97" i="5"/>
  <c r="BG97" i="5"/>
  <c r="BF97" i="5"/>
  <c r="BA97" i="5"/>
  <c r="BP97" i="5" s="1"/>
  <c r="AV97" i="5"/>
  <c r="BO97" i="5" s="1"/>
  <c r="BD97" i="5"/>
  <c r="AZ97" i="5"/>
  <c r="AY97" i="5"/>
  <c r="AU97" i="5"/>
  <c r="BB97" i="5" s="1"/>
  <c r="CI161" i="5"/>
  <c r="CF161" i="5"/>
  <c r="CE161" i="5"/>
  <c r="CK161" i="5"/>
  <c r="CD161" i="5"/>
  <c r="CC161" i="5"/>
  <c r="CA161" i="5"/>
  <c r="BY161" i="5"/>
  <c r="BQ161" i="5"/>
  <c r="BU161" i="5"/>
  <c r="BV161" i="5"/>
  <c r="BT161" i="5"/>
  <c r="BS161" i="5"/>
  <c r="BR161" i="5"/>
  <c r="BK161" i="5"/>
  <c r="BW161" i="5"/>
  <c r="BM161" i="5"/>
  <c r="BI161" i="5"/>
  <c r="BH161" i="5"/>
  <c r="BJ161" i="5"/>
  <c r="BG161" i="5"/>
  <c r="BA161" i="5"/>
  <c r="BP161" i="5" s="1"/>
  <c r="AV161" i="5"/>
  <c r="BC161" i="5" s="1"/>
  <c r="BD161" i="5"/>
  <c r="AZ161" i="5"/>
  <c r="AY161" i="5"/>
  <c r="BF161" i="5"/>
  <c r="BE161" i="5"/>
  <c r="AU161" i="5"/>
  <c r="BB161" i="5" s="1"/>
  <c r="BB10" i="5"/>
  <c r="BZ10" i="5" s="1"/>
  <c r="BO90" i="5"/>
  <c r="BN98" i="5"/>
  <c r="BZ98" i="5" s="1"/>
  <c r="BP138" i="5"/>
  <c r="CB138" i="5" s="1"/>
  <c r="BO26" i="5"/>
  <c r="BP2" i="5"/>
  <c r="AT173" i="5"/>
  <c r="AT174" i="5" s="1"/>
  <c r="BX162" i="5"/>
  <c r="BL100" i="5"/>
  <c r="CI164" i="5"/>
  <c r="CK164" i="5"/>
  <c r="CF164" i="5"/>
  <c r="CD164" i="5"/>
  <c r="CC164" i="5"/>
  <c r="CE164" i="5"/>
  <c r="CA164" i="5"/>
  <c r="BY164" i="5"/>
  <c r="BT164" i="5"/>
  <c r="BS164" i="5"/>
  <c r="BU164" i="5"/>
  <c r="BV164" i="5"/>
  <c r="BQ164" i="5"/>
  <c r="BR164" i="5"/>
  <c r="BW164" i="5"/>
  <c r="BJ164" i="5"/>
  <c r="BI164" i="5"/>
  <c r="BH164" i="5"/>
  <c r="BK164" i="5"/>
  <c r="BM164" i="5"/>
  <c r="BF164" i="5"/>
  <c r="BG164" i="5"/>
  <c r="BD164" i="5"/>
  <c r="BA164" i="5"/>
  <c r="BP164" i="5" s="1"/>
  <c r="AZ164" i="5"/>
  <c r="BE164" i="5"/>
  <c r="AY164" i="5"/>
  <c r="AV164" i="5"/>
  <c r="BC164" i="5" s="1"/>
  <c r="AU164" i="5"/>
  <c r="BN164" i="5" s="1"/>
  <c r="CF61" i="5"/>
  <c r="CK61" i="5"/>
  <c r="CI61" i="5"/>
  <c r="CD61" i="5"/>
  <c r="CC61" i="5"/>
  <c r="CA61" i="5"/>
  <c r="CE61" i="5"/>
  <c r="BY61" i="5"/>
  <c r="BU61" i="5"/>
  <c r="BT61" i="5"/>
  <c r="BW61" i="5"/>
  <c r="BQ61" i="5"/>
  <c r="BV61" i="5"/>
  <c r="BS61" i="5"/>
  <c r="BR61" i="5"/>
  <c r="BK61" i="5"/>
  <c r="BJ61" i="5"/>
  <c r="BH61" i="5"/>
  <c r="BG61" i="5"/>
  <c r="BE61" i="5"/>
  <c r="BI61" i="5"/>
  <c r="BM61" i="5"/>
  <c r="BD61" i="5"/>
  <c r="BF61" i="5"/>
  <c r="BA61" i="5"/>
  <c r="BP61" i="5" s="1"/>
  <c r="AV61" i="5"/>
  <c r="BO61" i="5" s="1"/>
  <c r="AY61" i="5"/>
  <c r="AZ61" i="5"/>
  <c r="AU61" i="5"/>
  <c r="BN61" i="5" s="1"/>
  <c r="CF125" i="5"/>
  <c r="CK125" i="5"/>
  <c r="CG125" i="5"/>
  <c r="CJ125" i="5"/>
  <c r="CD125" i="5"/>
  <c r="CH125" i="5"/>
  <c r="CE125" i="5"/>
  <c r="CC125" i="5"/>
  <c r="CI125" i="5"/>
  <c r="CA125" i="5"/>
  <c r="BZ125" i="5"/>
  <c r="BX125" i="5"/>
  <c r="BY125" i="5"/>
  <c r="BU125" i="5"/>
  <c r="BT125" i="5"/>
  <c r="BQ125" i="5"/>
  <c r="BW125" i="5"/>
  <c r="BV125" i="5"/>
  <c r="BS125" i="5"/>
  <c r="BR125" i="5"/>
  <c r="BK125" i="5"/>
  <c r="BJ125" i="5"/>
  <c r="BL125" i="5"/>
  <c r="BH125" i="5"/>
  <c r="BG125" i="5"/>
  <c r="BE125" i="5"/>
  <c r="BM125" i="5"/>
  <c r="BF125" i="5"/>
  <c r="BI125" i="5"/>
  <c r="BD125" i="5"/>
  <c r="BA125" i="5"/>
  <c r="BP125" i="5" s="1"/>
  <c r="AV125" i="5"/>
  <c r="BO125" i="5" s="1"/>
  <c r="AY125" i="5"/>
  <c r="AZ125" i="5"/>
  <c r="AU125" i="5"/>
  <c r="BN125" i="5" s="1"/>
  <c r="CG6" i="5"/>
  <c r="CK6" i="5"/>
  <c r="CH6" i="5"/>
  <c r="CJ6" i="5"/>
  <c r="CD6" i="5"/>
  <c r="CE6" i="5"/>
  <c r="CC6" i="5"/>
  <c r="CI6" i="5"/>
  <c r="CA6" i="5"/>
  <c r="BZ6" i="5"/>
  <c r="CF6" i="5"/>
  <c r="BX6" i="5"/>
  <c r="BV6" i="5"/>
  <c r="BW6" i="5"/>
  <c r="BU6" i="5"/>
  <c r="BY6" i="5"/>
  <c r="BR6" i="5"/>
  <c r="BS6" i="5"/>
  <c r="BQ6" i="5"/>
  <c r="BT6" i="5"/>
  <c r="BK6" i="5"/>
  <c r="BM6" i="5"/>
  <c r="BL6" i="5"/>
  <c r="BH6" i="5"/>
  <c r="BJ6" i="5"/>
  <c r="BI6" i="5"/>
  <c r="BF6" i="5"/>
  <c r="BE6" i="5"/>
  <c r="BD6" i="5"/>
  <c r="AY6" i="5"/>
  <c r="BA6" i="5"/>
  <c r="BP6" i="5" s="1"/>
  <c r="AV6" i="5"/>
  <c r="BC6" i="5" s="1"/>
  <c r="BG6" i="5"/>
  <c r="AZ6" i="5"/>
  <c r="AU6" i="5"/>
  <c r="BB6" i="5" s="1"/>
  <c r="CK70" i="5"/>
  <c r="CI70" i="5"/>
  <c r="CF70" i="5"/>
  <c r="CE70" i="5"/>
  <c r="CC70" i="5"/>
  <c r="CD70" i="5"/>
  <c r="CA70" i="5"/>
  <c r="BV70" i="5"/>
  <c r="BW70" i="5"/>
  <c r="BU70" i="5"/>
  <c r="BR70" i="5"/>
  <c r="BS70" i="5"/>
  <c r="BQ70" i="5"/>
  <c r="BY70" i="5"/>
  <c r="BT70" i="5"/>
  <c r="BK70" i="5"/>
  <c r="BM70" i="5"/>
  <c r="BH70" i="5"/>
  <c r="BJ70" i="5"/>
  <c r="BI70" i="5"/>
  <c r="BF70" i="5"/>
  <c r="BE70" i="5"/>
  <c r="BD70" i="5"/>
  <c r="AY70" i="5"/>
  <c r="BA70" i="5"/>
  <c r="BP70" i="5" s="1"/>
  <c r="AV70" i="5"/>
  <c r="BO70" i="5" s="1"/>
  <c r="AU70" i="5"/>
  <c r="BB70" i="5" s="1"/>
  <c r="BG70" i="5"/>
  <c r="AZ70" i="5"/>
  <c r="CK134" i="5"/>
  <c r="CC134" i="5"/>
  <c r="CF134" i="5"/>
  <c r="CD134" i="5"/>
  <c r="CA134" i="5"/>
  <c r="CI134" i="5"/>
  <c r="CE134" i="5"/>
  <c r="BV134" i="5"/>
  <c r="BU134" i="5"/>
  <c r="BR134" i="5"/>
  <c r="BS134" i="5"/>
  <c r="BQ134" i="5"/>
  <c r="BY134" i="5"/>
  <c r="BT134" i="5"/>
  <c r="BK134" i="5"/>
  <c r="BW134" i="5"/>
  <c r="BM134" i="5"/>
  <c r="BH134" i="5"/>
  <c r="BJ134" i="5"/>
  <c r="BI134" i="5"/>
  <c r="BF134" i="5"/>
  <c r="BE134" i="5"/>
  <c r="BD134" i="5"/>
  <c r="AY134" i="5"/>
  <c r="AV134" i="5"/>
  <c r="BC134" i="5" s="1"/>
  <c r="AU134" i="5"/>
  <c r="BN134" i="5" s="1"/>
  <c r="BG134" i="5"/>
  <c r="AZ134" i="5"/>
  <c r="BA134" i="5"/>
  <c r="BP134" i="5" s="1"/>
  <c r="CK39" i="5"/>
  <c r="CJ39" i="5"/>
  <c r="CG39" i="5"/>
  <c r="CD39" i="5"/>
  <c r="CE39" i="5"/>
  <c r="CF39" i="5"/>
  <c r="CH39" i="5"/>
  <c r="CI39" i="5"/>
  <c r="CA39" i="5"/>
  <c r="BY39" i="5"/>
  <c r="BW39" i="5"/>
  <c r="CC39" i="5"/>
  <c r="BX39" i="5"/>
  <c r="BV39" i="5"/>
  <c r="BZ39" i="5"/>
  <c r="BS39" i="5"/>
  <c r="BQ39" i="5"/>
  <c r="BT39" i="5"/>
  <c r="BR39" i="5"/>
  <c r="BU39" i="5"/>
  <c r="BI39" i="5"/>
  <c r="BM39" i="5"/>
  <c r="BG39" i="5"/>
  <c r="BK39" i="5"/>
  <c r="BF39" i="5"/>
  <c r="BH39" i="5"/>
  <c r="BA39" i="5"/>
  <c r="BP39" i="5" s="1"/>
  <c r="BL39" i="5"/>
  <c r="BJ39" i="5"/>
  <c r="BE39" i="5"/>
  <c r="BD39" i="5"/>
  <c r="AZ39" i="5"/>
  <c r="AY39" i="5"/>
  <c r="AV39" i="5"/>
  <c r="BC39" i="5" s="1"/>
  <c r="AU39" i="5"/>
  <c r="BN39" i="5" s="1"/>
  <c r="CJ103" i="5"/>
  <c r="CK103" i="5"/>
  <c r="CG103" i="5"/>
  <c r="CI103" i="5"/>
  <c r="CH103" i="5"/>
  <c r="CE103" i="5"/>
  <c r="CF103" i="5"/>
  <c r="CC103" i="5"/>
  <c r="CD103" i="5"/>
  <c r="CA103" i="5"/>
  <c r="BY103" i="5"/>
  <c r="BW103" i="5"/>
  <c r="BV103" i="5"/>
  <c r="BS103" i="5"/>
  <c r="BZ103" i="5"/>
  <c r="BU103" i="5"/>
  <c r="BT103" i="5"/>
  <c r="BX103" i="5"/>
  <c r="BR103" i="5"/>
  <c r="BI103" i="5"/>
  <c r="BM103" i="5"/>
  <c r="BG103" i="5"/>
  <c r="BQ103" i="5"/>
  <c r="BK103" i="5"/>
  <c r="BL103" i="5"/>
  <c r="BJ103" i="5"/>
  <c r="BH103" i="5"/>
  <c r="BE103" i="5"/>
  <c r="BD103" i="5"/>
  <c r="AZ103" i="5"/>
  <c r="BF103" i="5"/>
  <c r="AY103" i="5"/>
  <c r="AV103" i="5"/>
  <c r="BO103" i="5" s="1"/>
  <c r="AU103" i="5"/>
  <c r="BN103" i="5" s="1"/>
  <c r="BA103" i="5"/>
  <c r="BP103" i="5" s="1"/>
  <c r="CJ167" i="5"/>
  <c r="CK167" i="5"/>
  <c r="CG167" i="5"/>
  <c r="CF167" i="5"/>
  <c r="CE167" i="5"/>
  <c r="CI167" i="5"/>
  <c r="CD167" i="5"/>
  <c r="CH167" i="5"/>
  <c r="CC167" i="5"/>
  <c r="CA167" i="5"/>
  <c r="BY167" i="5"/>
  <c r="BW167" i="5"/>
  <c r="BV167" i="5"/>
  <c r="BZ167" i="5"/>
  <c r="BS167" i="5"/>
  <c r="BX167" i="5"/>
  <c r="BU167" i="5"/>
  <c r="BT167" i="5"/>
  <c r="BQ167" i="5"/>
  <c r="BR167" i="5"/>
  <c r="BL167" i="5"/>
  <c r="BI167" i="5"/>
  <c r="BM167" i="5"/>
  <c r="BG167" i="5"/>
  <c r="BK167" i="5"/>
  <c r="BJ167" i="5"/>
  <c r="BE167" i="5"/>
  <c r="BD167" i="5"/>
  <c r="AZ167" i="5"/>
  <c r="AY167" i="5"/>
  <c r="AV167" i="5"/>
  <c r="BO167" i="5" s="1"/>
  <c r="AU167" i="5"/>
  <c r="BN167" i="5" s="1"/>
  <c r="BF167" i="5"/>
  <c r="BA167" i="5"/>
  <c r="BP167" i="5" s="1"/>
  <c r="BH167" i="5"/>
  <c r="CK16" i="5"/>
  <c r="CH16" i="5"/>
  <c r="CJ16" i="5"/>
  <c r="CG16" i="5"/>
  <c r="CF16" i="5"/>
  <c r="CE16" i="5"/>
  <c r="CD16" i="5"/>
  <c r="CC16" i="5"/>
  <c r="CA16" i="5"/>
  <c r="CI16" i="5"/>
  <c r="BY16" i="5"/>
  <c r="BW16" i="5"/>
  <c r="BX16" i="5"/>
  <c r="BT16" i="5"/>
  <c r="BR16" i="5"/>
  <c r="BU16" i="5"/>
  <c r="BQ16" i="5"/>
  <c r="BZ16" i="5"/>
  <c r="BV16" i="5"/>
  <c r="BS16" i="5"/>
  <c r="BJ16" i="5"/>
  <c r="BM16" i="5"/>
  <c r="BI16" i="5"/>
  <c r="BG16" i="5"/>
  <c r="BH16" i="5"/>
  <c r="BF16" i="5"/>
  <c r="BL16" i="5"/>
  <c r="BK16" i="5"/>
  <c r="BE16" i="5"/>
  <c r="BD16" i="5"/>
  <c r="AZ16" i="5"/>
  <c r="AY16" i="5"/>
  <c r="BA16" i="5"/>
  <c r="BP16" i="5" s="1"/>
  <c r="AV16" i="5"/>
  <c r="BC16" i="5" s="1"/>
  <c r="AU16" i="5"/>
  <c r="BN16" i="5" s="1"/>
  <c r="CK80" i="5"/>
  <c r="CE80" i="5"/>
  <c r="CD80" i="5"/>
  <c r="CF80" i="5"/>
  <c r="CI80" i="5"/>
  <c r="CC80" i="5"/>
  <c r="CA80" i="5"/>
  <c r="BY80" i="5"/>
  <c r="BW80" i="5"/>
  <c r="BT80" i="5"/>
  <c r="BV80" i="5"/>
  <c r="BR80" i="5"/>
  <c r="BQ80" i="5"/>
  <c r="BU80" i="5"/>
  <c r="BS80" i="5"/>
  <c r="BJ80" i="5"/>
  <c r="BM80" i="5"/>
  <c r="BI80" i="5"/>
  <c r="BG80" i="5"/>
  <c r="BH80" i="5"/>
  <c r="BF80" i="5"/>
  <c r="BK80" i="5"/>
  <c r="BE80" i="5"/>
  <c r="BD80" i="5"/>
  <c r="AZ80" i="5"/>
  <c r="AY80" i="5"/>
  <c r="BA80" i="5"/>
  <c r="BP80" i="5" s="1"/>
  <c r="AV80" i="5"/>
  <c r="BC80" i="5" s="1"/>
  <c r="AU80" i="5"/>
  <c r="BB80" i="5" s="1"/>
  <c r="CK144" i="5"/>
  <c r="CF144" i="5"/>
  <c r="CE144" i="5"/>
  <c r="CD144" i="5"/>
  <c r="CI144" i="5"/>
  <c r="CC144" i="5"/>
  <c r="CA144" i="5"/>
  <c r="BY144" i="5"/>
  <c r="BW144" i="5"/>
  <c r="BT144" i="5"/>
  <c r="BV144" i="5"/>
  <c r="BR144" i="5"/>
  <c r="BQ144" i="5"/>
  <c r="BU144" i="5"/>
  <c r="BS144" i="5"/>
  <c r="BJ144" i="5"/>
  <c r="BM144" i="5"/>
  <c r="BI144" i="5"/>
  <c r="BG144" i="5"/>
  <c r="BH144" i="5"/>
  <c r="BK144" i="5"/>
  <c r="BF144" i="5"/>
  <c r="BE144" i="5"/>
  <c r="BA144" i="5"/>
  <c r="BP144" i="5" s="1"/>
  <c r="BD144" i="5"/>
  <c r="AZ144" i="5"/>
  <c r="AY144" i="5"/>
  <c r="AV144" i="5"/>
  <c r="BO144" i="5" s="1"/>
  <c r="AU144" i="5"/>
  <c r="BB144" i="5" s="1"/>
  <c r="CI41" i="5"/>
  <c r="CD41" i="5"/>
  <c r="CK41" i="5"/>
  <c r="CJ41" i="5"/>
  <c r="CH41" i="5"/>
  <c r="CG41" i="5"/>
  <c r="CF41" i="5"/>
  <c r="CC41" i="5"/>
  <c r="CE41" i="5"/>
  <c r="BX41" i="5"/>
  <c r="BZ41" i="5"/>
  <c r="BY41" i="5"/>
  <c r="BU41" i="5"/>
  <c r="BQ41" i="5"/>
  <c r="BV41" i="5"/>
  <c r="BR41" i="5"/>
  <c r="CA41" i="5"/>
  <c r="BW41" i="5"/>
  <c r="BT41" i="5"/>
  <c r="BS41" i="5"/>
  <c r="BK41" i="5"/>
  <c r="BJ41" i="5"/>
  <c r="BE41" i="5"/>
  <c r="BM41" i="5"/>
  <c r="BI41" i="5"/>
  <c r="BG41" i="5"/>
  <c r="BH41" i="5"/>
  <c r="BL41" i="5"/>
  <c r="BF41" i="5"/>
  <c r="AV41" i="5"/>
  <c r="BC41" i="5" s="1"/>
  <c r="AZ41" i="5"/>
  <c r="AY41" i="5"/>
  <c r="AU41" i="5"/>
  <c r="BB41" i="5" s="1"/>
  <c r="BD41" i="5"/>
  <c r="BA41" i="5"/>
  <c r="BP41" i="5" s="1"/>
  <c r="CI105" i="5"/>
  <c r="CJ105" i="5"/>
  <c r="CK105" i="5"/>
  <c r="CG105" i="5"/>
  <c r="CF105" i="5"/>
  <c r="CH105" i="5"/>
  <c r="CD105" i="5"/>
  <c r="CE105" i="5"/>
  <c r="CC105" i="5"/>
  <c r="BX105" i="5"/>
  <c r="CA105" i="5"/>
  <c r="BZ105" i="5"/>
  <c r="BY105" i="5"/>
  <c r="BQ105" i="5"/>
  <c r="BW105" i="5"/>
  <c r="BU105" i="5"/>
  <c r="BR105" i="5"/>
  <c r="BV105" i="5"/>
  <c r="BT105" i="5"/>
  <c r="BS105" i="5"/>
  <c r="BL105" i="5"/>
  <c r="BK105" i="5"/>
  <c r="BJ105" i="5"/>
  <c r="BE105" i="5"/>
  <c r="BM105" i="5"/>
  <c r="BI105" i="5"/>
  <c r="BG105" i="5"/>
  <c r="BF105" i="5"/>
  <c r="BH105" i="5"/>
  <c r="BA105" i="5"/>
  <c r="BP105" i="5" s="1"/>
  <c r="AV105" i="5"/>
  <c r="BC105" i="5" s="1"/>
  <c r="AZ105" i="5"/>
  <c r="AY105" i="5"/>
  <c r="BD105" i="5"/>
  <c r="AU105" i="5"/>
  <c r="BN105" i="5" s="1"/>
  <c r="CI169" i="5"/>
  <c r="CK169" i="5"/>
  <c r="CF169" i="5"/>
  <c r="CD169" i="5"/>
  <c r="CE169" i="5"/>
  <c r="CC169" i="5"/>
  <c r="CA169" i="5"/>
  <c r="BY169" i="5"/>
  <c r="BW169" i="5"/>
  <c r="BQ169" i="5"/>
  <c r="BU169" i="5"/>
  <c r="BR169" i="5"/>
  <c r="BV169" i="5"/>
  <c r="BT169" i="5"/>
  <c r="BS169" i="5"/>
  <c r="BK169" i="5"/>
  <c r="BJ169" i="5"/>
  <c r="BM169" i="5"/>
  <c r="BI169" i="5"/>
  <c r="BH169" i="5"/>
  <c r="BG169" i="5"/>
  <c r="BF169" i="5"/>
  <c r="BE169" i="5"/>
  <c r="BA169" i="5"/>
  <c r="BP169" i="5" s="1"/>
  <c r="AV169" i="5"/>
  <c r="BO169" i="5" s="1"/>
  <c r="AZ169" i="5"/>
  <c r="AY169" i="5"/>
  <c r="AU169" i="5"/>
  <c r="BN169" i="5" s="1"/>
  <c r="BD169" i="5"/>
  <c r="BP10" i="5"/>
  <c r="CB10" i="5" s="1"/>
  <c r="BB34" i="5"/>
  <c r="BZ34" i="5" s="1"/>
  <c r="BX66" i="5"/>
  <c r="BX154" i="5"/>
  <c r="CK51" i="5"/>
  <c r="CI51" i="5"/>
  <c r="CD51" i="5"/>
  <c r="CF51" i="5"/>
  <c r="CE51" i="5"/>
  <c r="CC51" i="5"/>
  <c r="CA51" i="5"/>
  <c r="BY51" i="5"/>
  <c r="BW51" i="5"/>
  <c r="BV51" i="5"/>
  <c r="BU51" i="5"/>
  <c r="BS51" i="5"/>
  <c r="BR51" i="5"/>
  <c r="BQ51" i="5"/>
  <c r="BT51" i="5"/>
  <c r="BI51" i="5"/>
  <c r="BM51" i="5"/>
  <c r="BH51" i="5"/>
  <c r="BG51" i="5"/>
  <c r="BK51" i="5"/>
  <c r="BJ51" i="5"/>
  <c r="BF51" i="5"/>
  <c r="BD51" i="5"/>
  <c r="AZ51" i="5"/>
  <c r="AY51" i="5"/>
  <c r="BE51" i="5"/>
  <c r="BA51" i="5"/>
  <c r="BP51" i="5" s="1"/>
  <c r="AV51" i="5"/>
  <c r="BO51" i="5" s="1"/>
  <c r="AU51" i="5"/>
  <c r="BN51" i="5" s="1"/>
  <c r="CK115" i="5"/>
  <c r="CF115" i="5"/>
  <c r="CD115" i="5"/>
  <c r="CI115" i="5"/>
  <c r="CE115" i="5"/>
  <c r="CA115" i="5"/>
  <c r="BY115" i="5"/>
  <c r="BW115" i="5"/>
  <c r="BV115" i="5"/>
  <c r="BS115" i="5"/>
  <c r="BR115" i="5"/>
  <c r="BQ115" i="5"/>
  <c r="BU115" i="5"/>
  <c r="CC115" i="5"/>
  <c r="BT115" i="5"/>
  <c r="BI115" i="5"/>
  <c r="BM115" i="5"/>
  <c r="BH115" i="5"/>
  <c r="BG115" i="5"/>
  <c r="BK115" i="5"/>
  <c r="BF115" i="5"/>
  <c r="BJ115" i="5"/>
  <c r="BE115" i="5"/>
  <c r="BD115" i="5"/>
  <c r="BA115" i="5"/>
  <c r="BP115" i="5" s="1"/>
  <c r="AZ115" i="5"/>
  <c r="AY115" i="5"/>
  <c r="AV115" i="5"/>
  <c r="BO115" i="5" s="1"/>
  <c r="AU115" i="5"/>
  <c r="BN115" i="5" s="1"/>
  <c r="CF69" i="5"/>
  <c r="CI69" i="5"/>
  <c r="CK69" i="5"/>
  <c r="CD69" i="5"/>
  <c r="CE69" i="5"/>
  <c r="CC69" i="5"/>
  <c r="CA69" i="5"/>
  <c r="BW69" i="5"/>
  <c r="BU69" i="5"/>
  <c r="BT69" i="5"/>
  <c r="BY69" i="5"/>
  <c r="BV69" i="5"/>
  <c r="BQ69" i="5"/>
  <c r="BS69" i="5"/>
  <c r="BR69" i="5"/>
  <c r="BK69" i="5"/>
  <c r="BJ69" i="5"/>
  <c r="BG69" i="5"/>
  <c r="BE69" i="5"/>
  <c r="BM69" i="5"/>
  <c r="BI69" i="5"/>
  <c r="BH69" i="5"/>
  <c r="BD69" i="5"/>
  <c r="BA69" i="5"/>
  <c r="BP69" i="5" s="1"/>
  <c r="BF69" i="5"/>
  <c r="AV69" i="5"/>
  <c r="BC69" i="5" s="1"/>
  <c r="AY69" i="5"/>
  <c r="AZ69" i="5"/>
  <c r="AU69" i="5"/>
  <c r="BN69" i="5" s="1"/>
  <c r="CH133" i="5"/>
  <c r="CG133" i="5"/>
  <c r="CF133" i="5"/>
  <c r="CI133" i="5"/>
  <c r="CK133" i="5"/>
  <c r="CJ133" i="5"/>
  <c r="CD133" i="5"/>
  <c r="CC133" i="5"/>
  <c r="CA133" i="5"/>
  <c r="CE133" i="5"/>
  <c r="BZ133" i="5"/>
  <c r="BW133" i="5"/>
  <c r="BU133" i="5"/>
  <c r="BX133" i="5"/>
  <c r="BT133" i="5"/>
  <c r="BV133" i="5"/>
  <c r="BQ133" i="5"/>
  <c r="BS133" i="5"/>
  <c r="BR133" i="5"/>
  <c r="BK133" i="5"/>
  <c r="BJ133" i="5"/>
  <c r="BY133" i="5"/>
  <c r="BL133" i="5"/>
  <c r="BG133" i="5"/>
  <c r="BE133" i="5"/>
  <c r="BI133" i="5"/>
  <c r="BM133" i="5"/>
  <c r="BH133" i="5"/>
  <c r="BD133" i="5"/>
  <c r="BF133" i="5"/>
  <c r="BA133" i="5"/>
  <c r="BP133" i="5" s="1"/>
  <c r="AV133" i="5"/>
  <c r="BO133" i="5" s="1"/>
  <c r="AY133" i="5"/>
  <c r="AU133" i="5"/>
  <c r="BB133" i="5" s="1"/>
  <c r="AZ133" i="5"/>
  <c r="CI14" i="5"/>
  <c r="CH14" i="5"/>
  <c r="CF14" i="5"/>
  <c r="CK14" i="5"/>
  <c r="CG14" i="5"/>
  <c r="CE14" i="5"/>
  <c r="CD14" i="5"/>
  <c r="CC14" i="5"/>
  <c r="CA14" i="5"/>
  <c r="CJ14" i="5"/>
  <c r="BZ14" i="5"/>
  <c r="BX14" i="5"/>
  <c r="BV14" i="5"/>
  <c r="BU14" i="5"/>
  <c r="BY14" i="5"/>
  <c r="BW14" i="5"/>
  <c r="BR14" i="5"/>
  <c r="BQ14" i="5"/>
  <c r="BT14" i="5"/>
  <c r="BS14" i="5"/>
  <c r="BK14" i="5"/>
  <c r="BM14" i="5"/>
  <c r="BH14" i="5"/>
  <c r="BF14" i="5"/>
  <c r="BL14" i="5"/>
  <c r="BI14" i="5"/>
  <c r="BJ14" i="5"/>
  <c r="BD14" i="5"/>
  <c r="BG14" i="5"/>
  <c r="BE14" i="5"/>
  <c r="AY14" i="5"/>
  <c r="BA14" i="5"/>
  <c r="BP14" i="5" s="1"/>
  <c r="AV14" i="5"/>
  <c r="BO14" i="5" s="1"/>
  <c r="AZ14" i="5"/>
  <c r="AU14" i="5"/>
  <c r="BN14" i="5" s="1"/>
  <c r="CI78" i="5"/>
  <c r="CF78" i="5"/>
  <c r="CK78" i="5"/>
  <c r="CD78" i="5"/>
  <c r="CC78" i="5"/>
  <c r="CE78" i="5"/>
  <c r="CA78" i="5"/>
  <c r="BV78" i="5"/>
  <c r="BY78" i="5"/>
  <c r="BU78" i="5"/>
  <c r="BW78" i="5"/>
  <c r="BR78" i="5"/>
  <c r="BT78" i="5"/>
  <c r="BK78" i="5"/>
  <c r="BQ78" i="5"/>
  <c r="BM78" i="5"/>
  <c r="BH78" i="5"/>
  <c r="BF78" i="5"/>
  <c r="BJ78" i="5"/>
  <c r="BS78" i="5"/>
  <c r="BD78" i="5"/>
  <c r="BI78" i="5"/>
  <c r="BG78" i="5"/>
  <c r="AY78" i="5"/>
  <c r="BA78" i="5"/>
  <c r="BP78" i="5" s="1"/>
  <c r="BE78" i="5"/>
  <c r="AV78" i="5"/>
  <c r="BO78" i="5" s="1"/>
  <c r="AU78" i="5"/>
  <c r="BB78" i="5" s="1"/>
  <c r="AZ78" i="5"/>
  <c r="CI142" i="5"/>
  <c r="CF142" i="5"/>
  <c r="CE142" i="5"/>
  <c r="CD142" i="5"/>
  <c r="CK142" i="5"/>
  <c r="CC142" i="5"/>
  <c r="CA142" i="5"/>
  <c r="BV142" i="5"/>
  <c r="BY142" i="5"/>
  <c r="BU142" i="5"/>
  <c r="BR142" i="5"/>
  <c r="BW142" i="5"/>
  <c r="BT142" i="5"/>
  <c r="BK142" i="5"/>
  <c r="BM142" i="5"/>
  <c r="BH142" i="5"/>
  <c r="BF142" i="5"/>
  <c r="BI142" i="5"/>
  <c r="BQ142" i="5"/>
  <c r="BE142" i="5"/>
  <c r="BJ142" i="5"/>
  <c r="BD142" i="5"/>
  <c r="BS142" i="5"/>
  <c r="BG142" i="5"/>
  <c r="AY142" i="5"/>
  <c r="AV142" i="5"/>
  <c r="BO142" i="5" s="1"/>
  <c r="AU142" i="5"/>
  <c r="BB142" i="5" s="1"/>
  <c r="AZ142" i="5"/>
  <c r="BA142" i="5"/>
  <c r="BP142" i="5" s="1"/>
  <c r="CI47" i="5"/>
  <c r="CK47" i="5"/>
  <c r="CE47" i="5"/>
  <c r="CD47" i="5"/>
  <c r="CF47" i="5"/>
  <c r="CC47" i="5"/>
  <c r="CA47" i="5"/>
  <c r="BY47" i="5"/>
  <c r="BW47" i="5"/>
  <c r="BV47" i="5"/>
  <c r="BS47" i="5"/>
  <c r="BU47" i="5"/>
  <c r="BT47" i="5"/>
  <c r="BR47" i="5"/>
  <c r="BI47" i="5"/>
  <c r="BK47" i="5"/>
  <c r="BJ47" i="5"/>
  <c r="BG47" i="5"/>
  <c r="BQ47" i="5"/>
  <c r="BM47" i="5"/>
  <c r="BH47" i="5"/>
  <c r="BF47" i="5"/>
  <c r="BA47" i="5"/>
  <c r="BP47" i="5" s="1"/>
  <c r="BE47" i="5"/>
  <c r="BD47" i="5"/>
  <c r="AZ47" i="5"/>
  <c r="AY47" i="5"/>
  <c r="AV47" i="5"/>
  <c r="BO47" i="5" s="1"/>
  <c r="AU47" i="5"/>
  <c r="BN47" i="5" s="1"/>
  <c r="CI111" i="5"/>
  <c r="CE111" i="5"/>
  <c r="CK111" i="5"/>
  <c r="CF111" i="5"/>
  <c r="CD111" i="5"/>
  <c r="CC111" i="5"/>
  <c r="CA111" i="5"/>
  <c r="BY111" i="5"/>
  <c r="BW111" i="5"/>
  <c r="BV111" i="5"/>
  <c r="BS111" i="5"/>
  <c r="BT111" i="5"/>
  <c r="BR111" i="5"/>
  <c r="BU111" i="5"/>
  <c r="BQ111" i="5"/>
  <c r="BI111" i="5"/>
  <c r="BK111" i="5"/>
  <c r="BJ111" i="5"/>
  <c r="BG111" i="5"/>
  <c r="BM111" i="5"/>
  <c r="BH111" i="5"/>
  <c r="BE111" i="5"/>
  <c r="BF111" i="5"/>
  <c r="BD111" i="5"/>
  <c r="AZ111" i="5"/>
  <c r="AY111" i="5"/>
  <c r="AV111" i="5"/>
  <c r="BO111" i="5" s="1"/>
  <c r="AU111" i="5"/>
  <c r="BB111" i="5" s="1"/>
  <c r="BA111" i="5"/>
  <c r="BP111" i="5" s="1"/>
  <c r="CH24" i="5"/>
  <c r="CG24" i="5"/>
  <c r="CK24" i="5"/>
  <c r="CI24" i="5"/>
  <c r="CJ24" i="5"/>
  <c r="CF24" i="5"/>
  <c r="CD24" i="5"/>
  <c r="CE24" i="5"/>
  <c r="CA24" i="5"/>
  <c r="CC24" i="5"/>
  <c r="BY24" i="5"/>
  <c r="BW24" i="5"/>
  <c r="BU24" i="5"/>
  <c r="BT24" i="5"/>
  <c r="BQ24" i="5"/>
  <c r="BX24" i="5"/>
  <c r="BV24" i="5"/>
  <c r="BS24" i="5"/>
  <c r="BZ24" i="5"/>
  <c r="BJ24" i="5"/>
  <c r="BL24" i="5"/>
  <c r="BR24" i="5"/>
  <c r="BK24" i="5"/>
  <c r="BH24" i="5"/>
  <c r="BG24" i="5"/>
  <c r="BM24" i="5"/>
  <c r="BF24" i="5"/>
  <c r="BI24" i="5"/>
  <c r="BA24" i="5"/>
  <c r="BP24" i="5" s="1"/>
  <c r="AZ24" i="5"/>
  <c r="BE24" i="5"/>
  <c r="AY24" i="5"/>
  <c r="BD24" i="5"/>
  <c r="AU24" i="5"/>
  <c r="BB24" i="5" s="1"/>
  <c r="AV24" i="5"/>
  <c r="BC24" i="5" s="1"/>
  <c r="CK88" i="5"/>
  <c r="CI88" i="5"/>
  <c r="CF88" i="5"/>
  <c r="CD88" i="5"/>
  <c r="CE88" i="5"/>
  <c r="CC88" i="5"/>
  <c r="BY88" i="5"/>
  <c r="CA88" i="5"/>
  <c r="BW88" i="5"/>
  <c r="BT88" i="5"/>
  <c r="BQ88" i="5"/>
  <c r="BU88" i="5"/>
  <c r="BV88" i="5"/>
  <c r="BS88" i="5"/>
  <c r="BJ88" i="5"/>
  <c r="BK88" i="5"/>
  <c r="BH88" i="5"/>
  <c r="BG88" i="5"/>
  <c r="BR88" i="5"/>
  <c r="BI88" i="5"/>
  <c r="BF88" i="5"/>
  <c r="BM88" i="5"/>
  <c r="BE88" i="5"/>
  <c r="BA88" i="5"/>
  <c r="BP88" i="5" s="1"/>
  <c r="AZ88" i="5"/>
  <c r="AY88" i="5"/>
  <c r="BD88" i="5"/>
  <c r="AU88" i="5"/>
  <c r="BB88" i="5" s="1"/>
  <c r="AV88" i="5"/>
  <c r="BC88" i="5" s="1"/>
  <c r="CK152" i="5"/>
  <c r="CI152" i="5"/>
  <c r="CH152" i="5"/>
  <c r="CJ152" i="5"/>
  <c r="CD152" i="5"/>
  <c r="CF152" i="5"/>
  <c r="CC152" i="5"/>
  <c r="CG152" i="5"/>
  <c r="CE152" i="5"/>
  <c r="BX152" i="5"/>
  <c r="BY152" i="5"/>
  <c r="BZ152" i="5"/>
  <c r="CA152" i="5"/>
  <c r="BT152" i="5"/>
  <c r="BU152" i="5"/>
  <c r="BW152" i="5"/>
  <c r="BS152" i="5"/>
  <c r="BV152" i="5"/>
  <c r="BR152" i="5"/>
  <c r="BL152" i="5"/>
  <c r="BJ152" i="5"/>
  <c r="BK152" i="5"/>
  <c r="BH152" i="5"/>
  <c r="BQ152" i="5"/>
  <c r="BG152" i="5"/>
  <c r="BM152" i="5"/>
  <c r="BF152" i="5"/>
  <c r="BI152" i="5"/>
  <c r="BE152" i="5"/>
  <c r="BA152" i="5"/>
  <c r="BP152" i="5" s="1"/>
  <c r="AZ152" i="5"/>
  <c r="AY152" i="5"/>
  <c r="AV152" i="5"/>
  <c r="BC152" i="5" s="1"/>
  <c r="BD152" i="5"/>
  <c r="AU152" i="5"/>
  <c r="BB152" i="5" s="1"/>
  <c r="CI49" i="5"/>
  <c r="CK49" i="5"/>
  <c r="CF49" i="5"/>
  <c r="CE49" i="5"/>
  <c r="CD49" i="5"/>
  <c r="CA49" i="5"/>
  <c r="BY49" i="5"/>
  <c r="BU49" i="5"/>
  <c r="BQ49" i="5"/>
  <c r="CC49" i="5"/>
  <c r="BT49" i="5"/>
  <c r="BS49" i="5"/>
  <c r="BW49" i="5"/>
  <c r="BV49" i="5"/>
  <c r="BR49" i="5"/>
  <c r="BK49" i="5"/>
  <c r="BE49" i="5"/>
  <c r="BJ49" i="5"/>
  <c r="BM49" i="5"/>
  <c r="BF49" i="5"/>
  <c r="BG49" i="5"/>
  <c r="BI49" i="5"/>
  <c r="BH49" i="5"/>
  <c r="AV49" i="5"/>
  <c r="BO49" i="5" s="1"/>
  <c r="BD49" i="5"/>
  <c r="AZ49" i="5"/>
  <c r="AY49" i="5"/>
  <c r="BA49" i="5"/>
  <c r="BP49" i="5" s="1"/>
  <c r="AU49" i="5"/>
  <c r="BB49" i="5" s="1"/>
  <c r="CI113" i="5"/>
  <c r="CK113" i="5"/>
  <c r="CE113" i="5"/>
  <c r="CD113" i="5"/>
  <c r="CF113" i="5"/>
  <c r="CC113" i="5"/>
  <c r="BY113" i="5"/>
  <c r="BQ113" i="5"/>
  <c r="BW113" i="5"/>
  <c r="BU113" i="5"/>
  <c r="CA113" i="5"/>
  <c r="BT113" i="5"/>
  <c r="BS113" i="5"/>
  <c r="BK113" i="5"/>
  <c r="BR113" i="5"/>
  <c r="BE113" i="5"/>
  <c r="BJ113" i="5"/>
  <c r="BI113" i="5"/>
  <c r="BV113" i="5"/>
  <c r="BG113" i="5"/>
  <c r="BM113" i="5"/>
  <c r="BH113" i="5"/>
  <c r="BA113" i="5"/>
  <c r="BP113" i="5" s="1"/>
  <c r="AV113" i="5"/>
  <c r="BC113" i="5" s="1"/>
  <c r="BD113" i="5"/>
  <c r="AZ113" i="5"/>
  <c r="BF113" i="5"/>
  <c r="AY113" i="5"/>
  <c r="AU113" i="5"/>
  <c r="BB113" i="5" s="1"/>
  <c r="BC74" i="5"/>
  <c r="BD106" i="5"/>
  <c r="BD2" i="5"/>
  <c r="BL154" i="5"/>
  <c r="D14" i="7"/>
  <c r="BC100" i="5" l="1"/>
  <c r="L29" i="10"/>
  <c r="CB92" i="5"/>
  <c r="BN68" i="5"/>
  <c r="BO84" i="5"/>
  <c r="BB84" i="5"/>
  <c r="BZ84" i="5" s="1"/>
  <c r="BC5" i="5"/>
  <c r="AS196" i="5"/>
  <c r="J13" i="14"/>
  <c r="G15" i="14" s="1"/>
  <c r="J15" i="14" s="1"/>
  <c r="J16" i="14" s="1"/>
  <c r="AY194" i="5"/>
  <c r="AV192" i="5"/>
  <c r="AV195" i="5"/>
  <c r="AV190" i="5"/>
  <c r="AV191" i="5" s="1"/>
  <c r="AY193" i="5"/>
  <c r="AV194" i="5"/>
  <c r="AY195" i="5"/>
  <c r="AY192" i="5"/>
  <c r="AV193" i="5"/>
  <c r="AY190" i="5"/>
  <c r="AY191" i="5" s="1"/>
  <c r="F44" i="14"/>
  <c r="H29" i="10"/>
  <c r="F31" i="10" s="1"/>
  <c r="F32" i="10" s="1"/>
  <c r="I41" i="14"/>
  <c r="AB38" i="14"/>
  <c r="AB44" i="14" s="1"/>
  <c r="J39" i="14"/>
  <c r="AA39" i="14"/>
  <c r="H15" i="14"/>
  <c r="H16" i="14" s="1"/>
  <c r="I15" i="14"/>
  <c r="I16" i="14" s="1"/>
  <c r="AC10" i="14"/>
  <c r="G41" i="14"/>
  <c r="J38" i="14"/>
  <c r="AA38" i="14"/>
  <c r="F45" i="14"/>
  <c r="F75" i="14"/>
  <c r="F80" i="14" s="1"/>
  <c r="CB100" i="5"/>
  <c r="BL116" i="5"/>
  <c r="BB100" i="5"/>
  <c r="BZ100" i="5" s="1"/>
  <c r="CB5" i="5"/>
  <c r="BO20" i="5"/>
  <c r="CB106" i="5"/>
  <c r="BL36" i="5"/>
  <c r="BL12" i="5"/>
  <c r="BX52" i="5"/>
  <c r="BL84" i="5"/>
  <c r="CB36" i="5"/>
  <c r="CB20" i="5"/>
  <c r="BO4" i="5"/>
  <c r="BN60" i="5"/>
  <c r="BZ60" i="5" s="1"/>
  <c r="BL20" i="5"/>
  <c r="BX84" i="5"/>
  <c r="CB114" i="5"/>
  <c r="BX36" i="5"/>
  <c r="AS180" i="5"/>
  <c r="D15" i="10" s="1"/>
  <c r="BX20" i="5"/>
  <c r="AT180" i="5"/>
  <c r="D17" i="10" s="1"/>
  <c r="G16" i="10"/>
  <c r="H16" i="10" s="1"/>
  <c r="CB84" i="5"/>
  <c r="BX60" i="5"/>
  <c r="BB52" i="5"/>
  <c r="BZ52" i="5" s="1"/>
  <c r="AX180" i="5"/>
  <c r="F10" i="13"/>
  <c r="G39" i="13"/>
  <c r="AB11" i="13"/>
  <c r="AB45" i="13" s="1"/>
  <c r="AA11" i="13"/>
  <c r="J11" i="13"/>
  <c r="CB60" i="5"/>
  <c r="F75" i="13"/>
  <c r="F80" i="13" s="1"/>
  <c r="BO13" i="5"/>
  <c r="CB34" i="5"/>
  <c r="BO36" i="5"/>
  <c r="BO44" i="5"/>
  <c r="BL52" i="5"/>
  <c r="BZ108" i="5"/>
  <c r="BB44" i="5"/>
  <c r="BB36" i="5"/>
  <c r="BZ36" i="5" s="1"/>
  <c r="BB13" i="5"/>
  <c r="BZ13" i="5" s="1"/>
  <c r="CB12" i="5"/>
  <c r="BP46" i="5"/>
  <c r="BP179" i="5" s="1"/>
  <c r="BA179" i="5"/>
  <c r="BK179" i="5"/>
  <c r="BY179" i="5"/>
  <c r="AY179" i="5"/>
  <c r="BQ179" i="5"/>
  <c r="CE179" i="5"/>
  <c r="BD179" i="5"/>
  <c r="BW179" i="5"/>
  <c r="CA179" i="5"/>
  <c r="BN46" i="5"/>
  <c r="AU179" i="5"/>
  <c r="BJ179" i="5"/>
  <c r="BS179" i="5"/>
  <c r="CC179" i="5"/>
  <c r="BE179" i="5"/>
  <c r="BI179" i="5"/>
  <c r="BT179" i="5"/>
  <c r="CD179" i="5"/>
  <c r="AZ179" i="5"/>
  <c r="BF179" i="5"/>
  <c r="BR179" i="5"/>
  <c r="CK179" i="5"/>
  <c r="BO46" i="5"/>
  <c r="AV179" i="5"/>
  <c r="BH179" i="5"/>
  <c r="BU179" i="5"/>
  <c r="CF179" i="5"/>
  <c r="BG179" i="5"/>
  <c r="BM179" i="5"/>
  <c r="BV179" i="5"/>
  <c r="CI179" i="5"/>
  <c r="BP37" i="5"/>
  <c r="BP178" i="5" s="1"/>
  <c r="BA178" i="5"/>
  <c r="BG178" i="5"/>
  <c r="BT178" i="5"/>
  <c r="CE178" i="5"/>
  <c r="BF178" i="5"/>
  <c r="BJ178" i="5"/>
  <c r="BV178" i="5"/>
  <c r="BM178" i="5"/>
  <c r="BW178" i="5"/>
  <c r="CK178" i="5"/>
  <c r="BB12" i="5"/>
  <c r="BZ12" i="5" s="1"/>
  <c r="BD178" i="5"/>
  <c r="BK178" i="5"/>
  <c r="CI178" i="5"/>
  <c r="AZ178" i="5"/>
  <c r="BI178" i="5"/>
  <c r="BY178" i="5"/>
  <c r="CC178" i="5"/>
  <c r="BB37" i="5"/>
  <c r="AU178" i="5"/>
  <c r="BH178" i="5"/>
  <c r="BU178" i="5"/>
  <c r="CF178" i="5"/>
  <c r="AY178" i="5"/>
  <c r="BR178" i="5"/>
  <c r="BS178" i="5"/>
  <c r="CD178" i="5"/>
  <c r="BO37" i="5"/>
  <c r="AV178" i="5"/>
  <c r="BE178" i="5"/>
  <c r="BQ178" i="5"/>
  <c r="CA178" i="5"/>
  <c r="BL60" i="5"/>
  <c r="BL92" i="5"/>
  <c r="CB154" i="5"/>
  <c r="CB108" i="5"/>
  <c r="BO60" i="5"/>
  <c r="BO28" i="5"/>
  <c r="BX12" i="5"/>
  <c r="BX108" i="5"/>
  <c r="BL108" i="5"/>
  <c r="CB42" i="5"/>
  <c r="BO108" i="5"/>
  <c r="AY177" i="5"/>
  <c r="BM177" i="5"/>
  <c r="BX92" i="5"/>
  <c r="CF177" i="5"/>
  <c r="BS177" i="5"/>
  <c r="CE177" i="5"/>
  <c r="BD177" i="5"/>
  <c r="BJ177" i="5"/>
  <c r="BY177" i="5"/>
  <c r="BE177" i="5"/>
  <c r="BR177" i="5"/>
  <c r="CD177" i="5"/>
  <c r="BC32" i="5"/>
  <c r="AV177" i="5"/>
  <c r="BF177" i="5"/>
  <c r="BU177" i="5"/>
  <c r="CC177" i="5"/>
  <c r="BB32" i="5"/>
  <c r="AU177" i="5"/>
  <c r="BG177" i="5"/>
  <c r="BQ177" i="5"/>
  <c r="BP32" i="5"/>
  <c r="BP177" i="5" s="1"/>
  <c r="BA177" i="5"/>
  <c r="BI177" i="5"/>
  <c r="BT177" i="5"/>
  <c r="CA177" i="5"/>
  <c r="BV177" i="5"/>
  <c r="CI177" i="5"/>
  <c r="BO92" i="5"/>
  <c r="BK177" i="5"/>
  <c r="AZ177" i="5"/>
  <c r="BH177" i="5"/>
  <c r="BW177" i="5"/>
  <c r="CK177" i="5"/>
  <c r="CB13" i="5"/>
  <c r="CB28" i="5"/>
  <c r="BN20" i="5"/>
  <c r="BZ20" i="5" s="1"/>
  <c r="BL13" i="5"/>
  <c r="BL66" i="5"/>
  <c r="BB71" i="5"/>
  <c r="BX13" i="5"/>
  <c r="BK176" i="5"/>
  <c r="BI176" i="5"/>
  <c r="CD176" i="5"/>
  <c r="BE176" i="5"/>
  <c r="BQ176" i="5"/>
  <c r="CA176" i="5"/>
  <c r="CB167" i="5"/>
  <c r="BN23" i="5"/>
  <c r="AU176" i="5"/>
  <c r="BP23" i="5"/>
  <c r="BP176" i="5" s="1"/>
  <c r="BA176" i="5"/>
  <c r="BR176" i="5"/>
  <c r="CC176" i="5"/>
  <c r="BO23" i="5"/>
  <c r="AV176" i="5"/>
  <c r="BM176" i="5"/>
  <c r="BT176" i="5"/>
  <c r="CK176" i="5"/>
  <c r="BO25" i="5"/>
  <c r="AY176" i="5"/>
  <c r="BF176" i="5"/>
  <c r="BS176" i="5"/>
  <c r="CE176" i="5"/>
  <c r="AZ176" i="5"/>
  <c r="CF176" i="5"/>
  <c r="BJ176" i="5"/>
  <c r="BV176" i="5"/>
  <c r="BD176" i="5"/>
  <c r="BG176" i="5"/>
  <c r="BW176" i="5"/>
  <c r="CI176" i="5"/>
  <c r="BH176" i="5"/>
  <c r="BU176" i="5"/>
  <c r="BY176" i="5"/>
  <c r="BL76" i="5"/>
  <c r="BN28" i="5"/>
  <c r="BX116" i="5"/>
  <c r="BX122" i="5"/>
  <c r="CB116" i="5"/>
  <c r="CB126" i="5"/>
  <c r="CB125" i="5"/>
  <c r="BC158" i="5"/>
  <c r="CB4" i="5"/>
  <c r="BC142" i="5"/>
  <c r="BC15" i="5"/>
  <c r="CB102" i="5"/>
  <c r="BB116" i="5"/>
  <c r="BZ116" i="5" s="1"/>
  <c r="CB164" i="5"/>
  <c r="CB90" i="5"/>
  <c r="BC155" i="5"/>
  <c r="BX76" i="5"/>
  <c r="CB76" i="5"/>
  <c r="BB15" i="5"/>
  <c r="CB30" i="5"/>
  <c r="CB35" i="5"/>
  <c r="BO89" i="5"/>
  <c r="CB25" i="5"/>
  <c r="BC148" i="5"/>
  <c r="BN155" i="5"/>
  <c r="BZ155" i="5" s="1"/>
  <c r="BB81" i="5"/>
  <c r="BZ81" i="5" s="1"/>
  <c r="CB146" i="5"/>
  <c r="BC49" i="5"/>
  <c r="BC78" i="5"/>
  <c r="BC56" i="5"/>
  <c r="CB62" i="5"/>
  <c r="BN22" i="5"/>
  <c r="BZ22" i="5" s="1"/>
  <c r="BN64" i="5"/>
  <c r="BZ64" i="5" s="1"/>
  <c r="CB54" i="5"/>
  <c r="CB81" i="5"/>
  <c r="BN9" i="5"/>
  <c r="BZ9" i="5" s="1"/>
  <c r="BO71" i="5"/>
  <c r="CB93" i="5"/>
  <c r="BB105" i="5"/>
  <c r="BO105" i="5"/>
  <c r="CB57" i="5"/>
  <c r="BB56" i="5"/>
  <c r="BZ56" i="5" s="1"/>
  <c r="BB110" i="5"/>
  <c r="BZ110" i="5" s="1"/>
  <c r="BC30" i="5"/>
  <c r="BB27" i="5"/>
  <c r="BC133" i="5"/>
  <c r="CB16" i="5"/>
  <c r="BB62" i="5"/>
  <c r="BZ62" i="5" s="1"/>
  <c r="BX90" i="5"/>
  <c r="BB120" i="5"/>
  <c r="BC136" i="5"/>
  <c r="CB58" i="5"/>
  <c r="BB119" i="5"/>
  <c r="BZ119" i="5" s="1"/>
  <c r="BC14" i="5"/>
  <c r="BC61" i="5"/>
  <c r="BB87" i="5"/>
  <c r="BZ87" i="5" s="1"/>
  <c r="CB17" i="5"/>
  <c r="BO164" i="5"/>
  <c r="BO121" i="5"/>
  <c r="BC55" i="5"/>
  <c r="BC120" i="5"/>
  <c r="BB137" i="5"/>
  <c r="BZ137" i="5" s="1"/>
  <c r="BN77" i="5"/>
  <c r="BZ77" i="5" s="1"/>
  <c r="BD173" i="5"/>
  <c r="BD174" i="5" s="1"/>
  <c r="BR173" i="5"/>
  <c r="BR174" i="5" s="1"/>
  <c r="BN133" i="5"/>
  <c r="BB39" i="5"/>
  <c r="CB95" i="5"/>
  <c r="BB31" i="5"/>
  <c r="BB150" i="5"/>
  <c r="BZ150" i="5" s="1"/>
  <c r="BO141" i="5"/>
  <c r="BO166" i="5"/>
  <c r="BN76" i="5"/>
  <c r="BZ76" i="5" s="1"/>
  <c r="BC163" i="5"/>
  <c r="BC23" i="5"/>
  <c r="BC67" i="5"/>
  <c r="CB9" i="5"/>
  <c r="BC70" i="5"/>
  <c r="CB78" i="5"/>
  <c r="BN142" i="5"/>
  <c r="BZ142" i="5" s="1"/>
  <c r="CB61" i="5"/>
  <c r="BL162" i="5"/>
  <c r="CB161" i="5"/>
  <c r="BN53" i="5"/>
  <c r="BZ53" i="5" s="1"/>
  <c r="BO156" i="5"/>
  <c r="CB153" i="5"/>
  <c r="BO85" i="5"/>
  <c r="BB67" i="5"/>
  <c r="BZ67" i="5" s="1"/>
  <c r="CB135" i="5"/>
  <c r="BO157" i="5"/>
  <c r="BO132" i="5"/>
  <c r="BN139" i="5"/>
  <c r="BZ139" i="5" s="1"/>
  <c r="CB47" i="5"/>
  <c r="BN78" i="5"/>
  <c r="BZ78" i="5" s="1"/>
  <c r="BM173" i="5"/>
  <c r="BM174" i="5" s="1"/>
  <c r="I12" i="12" s="1"/>
  <c r="CE173" i="5"/>
  <c r="CE174" i="5" s="1"/>
  <c r="BB16" i="5"/>
  <c r="BB126" i="5"/>
  <c r="BZ126" i="5" s="1"/>
  <c r="BC117" i="5"/>
  <c r="CB148" i="5"/>
  <c r="CB18" i="5"/>
  <c r="BC118" i="5"/>
  <c r="BN96" i="5"/>
  <c r="BZ96" i="5" s="1"/>
  <c r="BC143" i="5"/>
  <c r="BB101" i="5"/>
  <c r="BZ101" i="5" s="1"/>
  <c r="BB147" i="5"/>
  <c r="BZ147" i="5" s="1"/>
  <c r="BB168" i="5"/>
  <c r="BZ168" i="5" s="1"/>
  <c r="BB165" i="5"/>
  <c r="BZ165" i="5" s="1"/>
  <c r="BO165" i="5"/>
  <c r="BB11" i="5"/>
  <c r="BZ11" i="5" s="1"/>
  <c r="BB61" i="5"/>
  <c r="BZ61" i="5" s="1"/>
  <c r="BB164" i="5"/>
  <c r="BZ164" i="5" s="1"/>
  <c r="CB21" i="5"/>
  <c r="BC153" i="5"/>
  <c r="BB46" i="5"/>
  <c r="CB19" i="5"/>
  <c r="BB160" i="5"/>
  <c r="BZ160" i="5" s="1"/>
  <c r="CB86" i="5"/>
  <c r="BB73" i="5"/>
  <c r="BZ73" i="5" s="1"/>
  <c r="BC93" i="5"/>
  <c r="BO72" i="5"/>
  <c r="BN8" i="5"/>
  <c r="BZ8" i="5" s="1"/>
  <c r="BB129" i="5"/>
  <c r="BZ129" i="5" s="1"/>
  <c r="H5" i="10"/>
  <c r="BO16" i="5"/>
  <c r="AB11" i="12"/>
  <c r="AB45" i="12" s="1"/>
  <c r="AA11" i="12"/>
  <c r="J11" i="12"/>
  <c r="G39" i="12"/>
  <c r="CB115" i="5"/>
  <c r="F12" i="12"/>
  <c r="F40" i="12" s="1"/>
  <c r="D6" i="10"/>
  <c r="AY173" i="5"/>
  <c r="AY174" i="5" s="1"/>
  <c r="BN161" i="5"/>
  <c r="BZ161" i="5" s="1"/>
  <c r="BO62" i="5"/>
  <c r="CB109" i="5"/>
  <c r="AZ173" i="5"/>
  <c r="AZ174" i="5" s="1"/>
  <c r="BN32" i="5"/>
  <c r="BN89" i="5"/>
  <c r="BZ89" i="5" s="1"/>
  <c r="BC91" i="5"/>
  <c r="BN91" i="5"/>
  <c r="BZ91" i="5" s="1"/>
  <c r="BN131" i="5"/>
  <c r="BZ131" i="5" s="1"/>
  <c r="BC96" i="5"/>
  <c r="BN145" i="5"/>
  <c r="BZ145" i="5" s="1"/>
  <c r="BC81" i="5"/>
  <c r="BB143" i="5"/>
  <c r="BN85" i="5"/>
  <c r="BZ85" i="5" s="1"/>
  <c r="BN48" i="5"/>
  <c r="BZ48" i="5" s="1"/>
  <c r="BB166" i="5"/>
  <c r="BZ166" i="5" s="1"/>
  <c r="BX111" i="5"/>
  <c r="BB47" i="5"/>
  <c r="BZ47" i="5" s="1"/>
  <c r="BB72" i="5"/>
  <c r="BZ72" i="5" s="1"/>
  <c r="BN163" i="5"/>
  <c r="BZ163" i="5" s="1"/>
  <c r="CB152" i="5"/>
  <c r="BB115" i="5"/>
  <c r="BZ115" i="5" s="1"/>
  <c r="BO39" i="5"/>
  <c r="BI173" i="5"/>
  <c r="BI174" i="5" s="1"/>
  <c r="BC125" i="5"/>
  <c r="BN49" i="5"/>
  <c r="BZ49" i="5" s="1"/>
  <c r="CB69" i="5"/>
  <c r="BO69" i="5"/>
  <c r="CB41" i="5"/>
  <c r="BO41" i="5"/>
  <c r="BN41" i="5"/>
  <c r="BN80" i="5"/>
  <c r="BZ80" i="5" s="1"/>
  <c r="CB134" i="5"/>
  <c r="AV173" i="5"/>
  <c r="AV174" i="5" s="1"/>
  <c r="BB125" i="5"/>
  <c r="CB97" i="5"/>
  <c r="BC159" i="5"/>
  <c r="BC109" i="5"/>
  <c r="BB94" i="5"/>
  <c r="BZ94" i="5" s="1"/>
  <c r="BB3" i="5"/>
  <c r="BB18" i="5"/>
  <c r="BZ18" i="5" s="1"/>
  <c r="BN79" i="5"/>
  <c r="BZ79" i="5" s="1"/>
  <c r="BC110" i="5"/>
  <c r="CB67" i="5"/>
  <c r="BB86" i="5"/>
  <c r="BZ86" i="5" s="1"/>
  <c r="BO73" i="5"/>
  <c r="BB102" i="5"/>
  <c r="BZ102" i="5" s="1"/>
  <c r="CB40" i="5"/>
  <c r="BB40" i="5"/>
  <c r="BC77" i="5"/>
  <c r="BB59" i="5"/>
  <c r="BZ59" i="5" s="1"/>
  <c r="BN6" i="5"/>
  <c r="BO22" i="5"/>
  <c r="BN19" i="5"/>
  <c r="BO112" i="5"/>
  <c r="CB11" i="5"/>
  <c r="BB127" i="5"/>
  <c r="BZ127" i="5" s="1"/>
  <c r="CB123" i="5"/>
  <c r="BO24" i="5"/>
  <c r="BN95" i="5"/>
  <c r="BZ95" i="5" s="1"/>
  <c r="CB31" i="5"/>
  <c r="BO152" i="5"/>
  <c r="BN24" i="5"/>
  <c r="BC167" i="5"/>
  <c r="BN159" i="5"/>
  <c r="BZ159" i="5" s="1"/>
  <c r="BA173" i="5"/>
  <c r="BA174" i="5" s="1"/>
  <c r="BO32" i="5"/>
  <c r="CB89" i="5"/>
  <c r="BC87" i="5"/>
  <c r="BC79" i="5"/>
  <c r="CB79" i="5"/>
  <c r="CB165" i="5"/>
  <c r="BL147" i="5"/>
  <c r="BN83" i="5"/>
  <c r="BZ83" i="5" s="1"/>
  <c r="CB73" i="5"/>
  <c r="CB63" i="5"/>
  <c r="BN97" i="5"/>
  <c r="BZ97" i="5" s="1"/>
  <c r="CB117" i="5"/>
  <c r="BO147" i="5"/>
  <c r="BN75" i="5"/>
  <c r="BZ75" i="5" s="1"/>
  <c r="BN82" i="5"/>
  <c r="BZ82" i="5" s="1"/>
  <c r="BC47" i="5"/>
  <c r="BC51" i="5"/>
  <c r="BB134" i="5"/>
  <c r="BZ134" i="5" s="1"/>
  <c r="BL53" i="5"/>
  <c r="CB150" i="5"/>
  <c r="BC151" i="5"/>
  <c r="BC149" i="5"/>
  <c r="BB112" i="5"/>
  <c r="BZ112" i="5" s="1"/>
  <c r="F10" i="12"/>
  <c r="D4" i="10"/>
  <c r="CB105" i="5"/>
  <c r="CK173" i="5"/>
  <c r="CK174" i="5" s="1"/>
  <c r="CB49" i="5"/>
  <c r="CB142" i="5"/>
  <c r="CB6" i="5"/>
  <c r="CA173" i="5"/>
  <c r="CA174" i="5" s="1"/>
  <c r="CB33" i="5"/>
  <c r="CB155" i="5"/>
  <c r="BG173" i="5"/>
  <c r="BG174" i="5" s="1"/>
  <c r="CB121" i="5"/>
  <c r="BL56" i="5"/>
  <c r="CB140" i="5"/>
  <c r="CB29" i="5"/>
  <c r="BL75" i="5"/>
  <c r="BX107" i="5"/>
  <c r="BX10" i="5"/>
  <c r="CB70" i="5"/>
  <c r="BH173" i="5"/>
  <c r="BH174" i="5" s="1"/>
  <c r="BL164" i="5"/>
  <c r="CB94" i="5"/>
  <c r="CB151" i="5"/>
  <c r="BF173" i="5"/>
  <c r="BF174" i="5" s="1"/>
  <c r="CB99" i="5"/>
  <c r="BS173" i="5"/>
  <c r="BS174" i="5" s="1"/>
  <c r="CB87" i="5"/>
  <c r="CB147" i="5"/>
  <c r="CB149" i="5"/>
  <c r="BL115" i="5"/>
  <c r="CB169" i="5"/>
  <c r="CB163" i="5"/>
  <c r="BL109" i="5"/>
  <c r="BK173" i="5"/>
  <c r="BK174" i="5" s="1"/>
  <c r="BW173" i="5"/>
  <c r="BW174" i="5" s="1"/>
  <c r="CB45" i="5"/>
  <c r="BL93" i="5"/>
  <c r="CB65" i="5"/>
  <c r="BL77" i="5"/>
  <c r="CB82" i="5"/>
  <c r="CB43" i="5"/>
  <c r="CB156" i="5"/>
  <c r="BE173" i="5"/>
  <c r="BE174" i="5" s="1"/>
  <c r="BQ173" i="5"/>
  <c r="BQ174" i="5" s="1"/>
  <c r="BY173" i="5"/>
  <c r="BY174" i="5" s="1"/>
  <c r="CB129" i="5"/>
  <c r="F75" i="12"/>
  <c r="F80" i="12" s="1"/>
  <c r="BV173" i="5"/>
  <c r="BV174" i="5" s="1"/>
  <c r="CB51" i="5"/>
  <c r="CB103" i="5"/>
  <c r="CB159" i="5"/>
  <c r="CB124" i="5"/>
  <c r="BJ173" i="5"/>
  <c r="BJ174" i="5" s="1"/>
  <c r="CB141" i="5"/>
  <c r="BL34" i="5"/>
  <c r="BL54" i="5"/>
  <c r="CB91" i="5"/>
  <c r="BL91" i="5"/>
  <c r="CB131" i="5"/>
  <c r="CB143" i="5"/>
  <c r="CB110" i="5"/>
  <c r="CB101" i="5"/>
  <c r="CB137" i="5"/>
  <c r="CB132" i="5"/>
  <c r="CB139" i="5"/>
  <c r="CB127" i="5"/>
  <c r="CB77" i="5"/>
  <c r="CF173" i="5"/>
  <c r="CF174" i="5" s="1"/>
  <c r="CB53" i="5"/>
  <c r="CC173" i="5"/>
  <c r="CC174" i="5" s="1"/>
  <c r="CB118" i="5"/>
  <c r="CB145" i="5"/>
  <c r="CB83" i="5"/>
  <c r="BX85" i="5"/>
  <c r="CB133" i="5"/>
  <c r="CI173" i="5"/>
  <c r="CI174" i="5" s="1"/>
  <c r="CB27" i="5"/>
  <c r="BT173" i="5"/>
  <c r="BT174" i="5" s="1"/>
  <c r="BX3" i="5"/>
  <c r="CD173" i="5"/>
  <c r="CD174" i="5" s="1"/>
  <c r="BL145" i="5"/>
  <c r="CB119" i="5"/>
  <c r="BL137" i="5"/>
  <c r="CB59" i="5"/>
  <c r="CB168" i="5"/>
  <c r="BX168" i="5"/>
  <c r="CB128" i="5"/>
  <c r="BX128" i="5"/>
  <c r="CB144" i="5"/>
  <c r="BX144" i="5"/>
  <c r="CB96" i="5"/>
  <c r="BX96" i="5"/>
  <c r="CB80" i="5"/>
  <c r="BX80" i="5"/>
  <c r="CB136" i="5"/>
  <c r="BX136" i="5"/>
  <c r="CB72" i="5"/>
  <c r="BX72" i="5"/>
  <c r="CB160" i="5"/>
  <c r="BX160" i="5"/>
  <c r="BX69" i="5"/>
  <c r="BX51" i="5"/>
  <c r="BC169" i="5"/>
  <c r="BB103" i="5"/>
  <c r="BL134" i="5"/>
  <c r="BN70" i="5"/>
  <c r="BZ70" i="5" s="1"/>
  <c r="BX164" i="5"/>
  <c r="BL97" i="5"/>
  <c r="BL159" i="5"/>
  <c r="BC95" i="5"/>
  <c r="BX126" i="5"/>
  <c r="BN117" i="5"/>
  <c r="BB35" i="5"/>
  <c r="BL148" i="5"/>
  <c r="BB21" i="5"/>
  <c r="BC150" i="5"/>
  <c r="BX150" i="5"/>
  <c r="BB153" i="5"/>
  <c r="BZ153" i="5" s="1"/>
  <c r="BL89" i="5"/>
  <c r="BL23" i="5"/>
  <c r="BN118" i="5"/>
  <c r="BZ118" i="5" s="1"/>
  <c r="BO54" i="5"/>
  <c r="BC45" i="5"/>
  <c r="BO57" i="5"/>
  <c r="BB55" i="5"/>
  <c r="BZ55" i="5" s="1"/>
  <c r="CB55" i="5"/>
  <c r="BL22" i="5"/>
  <c r="BX22" i="5"/>
  <c r="BU173" i="5"/>
  <c r="BU174" i="5" s="1"/>
  <c r="BX145" i="5"/>
  <c r="BC17" i="5"/>
  <c r="BX17" i="5"/>
  <c r="BX79" i="5"/>
  <c r="BL110" i="5"/>
  <c r="BX110" i="5"/>
  <c r="BX101" i="5"/>
  <c r="BN37" i="5"/>
  <c r="BX147" i="5"/>
  <c r="BB30" i="5"/>
  <c r="BZ30" i="5" s="1"/>
  <c r="BX149" i="5"/>
  <c r="BL160" i="5"/>
  <c r="BC86" i="5"/>
  <c r="BX86" i="5"/>
  <c r="BO137" i="5"/>
  <c r="BX137" i="5"/>
  <c r="BO9" i="5"/>
  <c r="BB135" i="5"/>
  <c r="BZ135" i="5" s="1"/>
  <c r="CB166" i="5"/>
  <c r="BC102" i="5"/>
  <c r="BL29" i="5"/>
  <c r="BL139" i="5"/>
  <c r="BC75" i="5"/>
  <c r="BL11" i="5"/>
  <c r="BC63" i="5"/>
  <c r="BN65" i="5"/>
  <c r="BZ65" i="5" s="1"/>
  <c r="BN104" i="5"/>
  <c r="BZ104" i="5" s="1"/>
  <c r="BC40" i="5"/>
  <c r="BL123" i="5"/>
  <c r="BX123" i="5"/>
  <c r="BC59" i="5"/>
  <c r="CB107" i="5"/>
  <c r="BC43" i="5"/>
  <c r="BL47" i="5"/>
  <c r="BL69" i="5"/>
  <c r="CB88" i="5"/>
  <c r="BX88" i="5"/>
  <c r="BC97" i="5"/>
  <c r="BC111" i="5"/>
  <c r="BL111" i="5"/>
  <c r="BX47" i="5"/>
  <c r="BL49" i="5"/>
  <c r="BN152" i="5"/>
  <c r="CB111" i="5"/>
  <c r="BN111" i="5"/>
  <c r="BZ111" i="5" s="1"/>
  <c r="CB14" i="5"/>
  <c r="BB169" i="5"/>
  <c r="BZ169" i="5" s="1"/>
  <c r="BN144" i="5"/>
  <c r="BZ144" i="5" s="1"/>
  <c r="BB167" i="5"/>
  <c r="BO161" i="5"/>
  <c r="BX97" i="5"/>
  <c r="BB33" i="5"/>
  <c r="BZ33" i="5" s="1"/>
  <c r="BN136" i="5"/>
  <c r="BZ136" i="5" s="1"/>
  <c r="BO31" i="5"/>
  <c r="BO126" i="5"/>
  <c r="BX62" i="5"/>
  <c r="BC53" i="5"/>
  <c r="BB109" i="5"/>
  <c r="BZ109" i="5" s="1"/>
  <c r="BX155" i="5"/>
  <c r="BO27" i="5"/>
  <c r="BL94" i="5"/>
  <c r="BX94" i="5"/>
  <c r="BC21" i="5"/>
  <c r="BO3" i="5"/>
  <c r="BN121" i="5"/>
  <c r="BZ121" i="5" s="1"/>
  <c r="BL150" i="5"/>
  <c r="BX89" i="5"/>
  <c r="BL128" i="5"/>
  <c r="BL151" i="5"/>
  <c r="BB23" i="5"/>
  <c r="BB54" i="5"/>
  <c r="BZ54" i="5" s="1"/>
  <c r="BX55" i="5"/>
  <c r="BL106" i="5"/>
  <c r="BO145" i="5"/>
  <c r="BL81" i="5"/>
  <c r="BC101" i="5"/>
  <c r="BL101" i="5"/>
  <c r="BC140" i="5"/>
  <c r="BX83" i="5"/>
  <c r="BN149" i="5"/>
  <c r="BZ149" i="5" s="1"/>
  <c r="BL67" i="5"/>
  <c r="BO119" i="5"/>
  <c r="BL86" i="5"/>
  <c r="BX9" i="5"/>
  <c r="BL135" i="5"/>
  <c r="CB71" i="5"/>
  <c r="BL102" i="5"/>
  <c r="CB38" i="5"/>
  <c r="BO29" i="5"/>
  <c r="BL170" i="5"/>
  <c r="BO65" i="5"/>
  <c r="BX65" i="5"/>
  <c r="BO104" i="5"/>
  <c r="BO146" i="5"/>
  <c r="BX82" i="5"/>
  <c r="BB43" i="5"/>
  <c r="BZ43" i="5" s="1"/>
  <c r="BZ178" i="5" s="1"/>
  <c r="BX78" i="5"/>
  <c r="BB51" i="5"/>
  <c r="BZ51" i="5" s="1"/>
  <c r="BO113" i="5"/>
  <c r="BN88" i="5"/>
  <c r="BZ88" i="5" s="1"/>
  <c r="CB24" i="5"/>
  <c r="BL78" i="5"/>
  <c r="BB69" i="5"/>
  <c r="BZ69" i="5" s="1"/>
  <c r="BC115" i="5"/>
  <c r="BC144" i="5"/>
  <c r="BL80" i="5"/>
  <c r="BC103" i="5"/>
  <c r="BX134" i="5"/>
  <c r="BO6" i="5"/>
  <c r="BL8" i="5"/>
  <c r="BL62" i="5"/>
  <c r="BX53" i="5"/>
  <c r="BB156" i="5"/>
  <c r="BZ156" i="5" s="1"/>
  <c r="BB99" i="5"/>
  <c r="BL155" i="5"/>
  <c r="BO94" i="5"/>
  <c r="BN124" i="5"/>
  <c r="BZ124" i="5" s="1"/>
  <c r="BX121" i="5"/>
  <c r="BL32" i="5"/>
  <c r="BC18" i="5"/>
  <c r="BL18" i="5"/>
  <c r="BN128" i="5"/>
  <c r="BZ128" i="5" s="1"/>
  <c r="BC64" i="5"/>
  <c r="BN151" i="5"/>
  <c r="BZ151" i="5" s="1"/>
  <c r="BX87" i="5"/>
  <c r="BL118" i="5"/>
  <c r="BX118" i="5"/>
  <c r="BX91" i="5"/>
  <c r="BB57" i="5"/>
  <c r="BZ57" i="5" s="1"/>
  <c r="BL57" i="5"/>
  <c r="BX57" i="5"/>
  <c r="CB22" i="5"/>
  <c r="BC46" i="5"/>
  <c r="BC37" i="5"/>
  <c r="BL83" i="5"/>
  <c r="BC19" i="5"/>
  <c r="BN158" i="5"/>
  <c r="BZ158" i="5" s="1"/>
  <c r="BX119" i="5"/>
  <c r="BC135" i="5"/>
  <c r="BL7" i="5"/>
  <c r="BX102" i="5"/>
  <c r="BO38" i="5"/>
  <c r="BB93" i="5"/>
  <c r="BZ93" i="5" s="1"/>
  <c r="BX29" i="5"/>
  <c r="BB132" i="5"/>
  <c r="BZ132" i="5" s="1"/>
  <c r="BO11" i="5"/>
  <c r="BB63" i="5"/>
  <c r="BZ63" i="5" s="1"/>
  <c r="BX63" i="5"/>
  <c r="BC168" i="5"/>
  <c r="BB123" i="5"/>
  <c r="BZ123" i="5" s="1"/>
  <c r="BO123" i="5"/>
  <c r="BX59" i="5"/>
  <c r="BB146" i="5"/>
  <c r="BZ146" i="5" s="1"/>
  <c r="BN107" i="5"/>
  <c r="BZ107" i="5" s="1"/>
  <c r="CB98" i="5"/>
  <c r="CB113" i="5"/>
  <c r="BX49" i="5"/>
  <c r="BL70" i="5"/>
  <c r="BX70" i="5"/>
  <c r="BL136" i="5"/>
  <c r="BC8" i="5"/>
  <c r="BL156" i="5"/>
  <c r="BC35" i="5"/>
  <c r="BL124" i="5"/>
  <c r="BB141" i="5"/>
  <c r="BZ141" i="5" s="1"/>
  <c r="BL141" i="5"/>
  <c r="BX18" i="5"/>
  <c r="BN25" i="5"/>
  <c r="BX81" i="5"/>
  <c r="CB56" i="5"/>
  <c r="BX56" i="5"/>
  <c r="CB15" i="5"/>
  <c r="BL158" i="5"/>
  <c r="BL85" i="5"/>
  <c r="BX67" i="5"/>
  <c r="BL9" i="5"/>
  <c r="CB112" i="5"/>
  <c r="BX112" i="5"/>
  <c r="BX135" i="5"/>
  <c r="BN7" i="5"/>
  <c r="BZ7" i="5" s="1"/>
  <c r="BB157" i="5"/>
  <c r="CB157" i="5"/>
  <c r="BX75" i="5"/>
  <c r="BO127" i="5"/>
  <c r="BX74" i="5"/>
  <c r="BC129" i="5"/>
  <c r="BL59" i="5"/>
  <c r="BL107" i="5"/>
  <c r="BL33" i="5"/>
  <c r="CB8" i="5"/>
  <c r="BX8" i="5"/>
  <c r="BX159" i="5"/>
  <c r="BL95" i="5"/>
  <c r="BO124" i="5"/>
  <c r="CB3" i="5"/>
  <c r="BL153" i="5"/>
  <c r="BO128" i="5"/>
  <c r="BL64" i="5"/>
  <c r="BL87" i="5"/>
  <c r="CB120" i="5"/>
  <c r="BL79" i="5"/>
  <c r="BL46" i="5"/>
  <c r="BL165" i="5"/>
  <c r="BB140" i="5"/>
  <c r="BZ140" i="5" s="1"/>
  <c r="BO83" i="5"/>
  <c r="BX158" i="5"/>
  <c r="CB85" i="5"/>
  <c r="BO160" i="5"/>
  <c r="BX73" i="5"/>
  <c r="BX7" i="5"/>
  <c r="BL132" i="5"/>
  <c r="BO139" i="5"/>
  <c r="BL127" i="5"/>
  <c r="BX77" i="5"/>
  <c r="BL146" i="5"/>
  <c r="BO82" i="5"/>
  <c r="BX142" i="5"/>
  <c r="BX141" i="5"/>
  <c r="CB64" i="5"/>
  <c r="BX64" i="5"/>
  <c r="BX54" i="5"/>
  <c r="BL140" i="5"/>
  <c r="BX140" i="5"/>
  <c r="BL73" i="5"/>
  <c r="CB48" i="5"/>
  <c r="BX48" i="5"/>
  <c r="BX11" i="5"/>
  <c r="BL63" i="5"/>
  <c r="BL65" i="5"/>
  <c r="BL113" i="5"/>
  <c r="BL169" i="5"/>
  <c r="BN113" i="5"/>
  <c r="BZ113" i="5" s="1"/>
  <c r="BX113" i="5"/>
  <c r="BO88" i="5"/>
  <c r="BL142" i="5"/>
  <c r="BB14" i="5"/>
  <c r="BO80" i="5"/>
  <c r="CB39" i="5"/>
  <c r="BO134" i="5"/>
  <c r="BO33" i="5"/>
  <c r="BX33" i="5"/>
  <c r="BL163" i="5"/>
  <c r="BX163" i="5"/>
  <c r="BO99" i="5"/>
  <c r="BX109" i="5"/>
  <c r="BX124" i="5"/>
  <c r="BL121" i="5"/>
  <c r="BX153" i="5"/>
  <c r="BB45" i="5"/>
  <c r="BL131" i="5"/>
  <c r="BL96" i="5"/>
  <c r="BL55" i="5"/>
  <c r="BB17" i="5"/>
  <c r="BZ17" i="5" s="1"/>
  <c r="BL17" i="5"/>
  <c r="BX165" i="5"/>
  <c r="CB158" i="5"/>
  <c r="BX30" i="5"/>
  <c r="BL112" i="5"/>
  <c r="BC48" i="5"/>
  <c r="BL48" i="5"/>
  <c r="BO7" i="5"/>
  <c r="BB38" i="5"/>
  <c r="BB29" i="5"/>
  <c r="BZ29" i="5" s="1"/>
  <c r="BX139" i="5"/>
  <c r="CB75" i="5"/>
  <c r="BL129" i="5"/>
  <c r="BX129" i="5"/>
  <c r="BL168" i="5"/>
  <c r="BX146" i="5"/>
  <c r="BC107" i="5"/>
  <c r="BL43" i="5"/>
  <c r="BL178" i="5" s="1"/>
  <c r="BL61" i="5"/>
  <c r="BP173" i="5"/>
  <c r="BP174" i="5" s="1"/>
  <c r="CB2" i="5"/>
  <c r="BL161" i="5"/>
  <c r="BX148" i="5"/>
  <c r="AU173" i="5"/>
  <c r="AU174" i="5" s="1"/>
  <c r="BX169" i="5"/>
  <c r="BL88" i="5"/>
  <c r="BX115" i="5"/>
  <c r="BL51" i="5"/>
  <c r="BL144" i="5"/>
  <c r="BX61" i="5"/>
  <c r="BX161" i="5"/>
  <c r="BL72" i="5"/>
  <c r="BX95" i="5"/>
  <c r="BL126" i="5"/>
  <c r="BX156" i="5"/>
  <c r="BB148" i="5"/>
  <c r="BZ148" i="5" s="1"/>
  <c r="BL3" i="5"/>
  <c r="BX151" i="5"/>
  <c r="BC131" i="5"/>
  <c r="BX131" i="5"/>
  <c r="BX138" i="5"/>
  <c r="BL30" i="5"/>
  <c r="BL149" i="5"/>
  <c r="BL119" i="5"/>
  <c r="CB7" i="5"/>
  <c r="BL166" i="5"/>
  <c r="BX166" i="5"/>
  <c r="BX93" i="5"/>
  <c r="BX132" i="5"/>
  <c r="BX127" i="5"/>
  <c r="BL104" i="5"/>
  <c r="CB104" i="5"/>
  <c r="BX104" i="5"/>
  <c r="BL82" i="5"/>
  <c r="BX43" i="5"/>
  <c r="BX178" i="5" s="1"/>
  <c r="AB10" i="9"/>
  <c r="BM180" i="5" l="1"/>
  <c r="CK180" i="5"/>
  <c r="E31" i="10"/>
  <c r="J41" i="14"/>
  <c r="G51" i="14" s="1"/>
  <c r="G16" i="14"/>
  <c r="J32" i="10"/>
  <c r="L16" i="14"/>
  <c r="AZ194" i="5"/>
  <c r="BZ3" i="5"/>
  <c r="AW192" i="5"/>
  <c r="AW195" i="5"/>
  <c r="AW193" i="5"/>
  <c r="AW194" i="5"/>
  <c r="AW190" i="5"/>
  <c r="AW191" i="5" s="1"/>
  <c r="AZ195" i="5"/>
  <c r="AZ190" i="5"/>
  <c r="AZ191" i="5" s="1"/>
  <c r="AZ192" i="5"/>
  <c r="AX194" i="5"/>
  <c r="AX190" i="5"/>
  <c r="AX191" i="5" s="1"/>
  <c r="AX192" i="5"/>
  <c r="AX195" i="5"/>
  <c r="AX193" i="5"/>
  <c r="AY196" i="5"/>
  <c r="AV196" i="5"/>
  <c r="AZ193" i="5"/>
  <c r="AC38" i="14"/>
  <c r="AA44" i="14"/>
  <c r="AC44" i="14" s="1"/>
  <c r="AC39" i="14"/>
  <c r="AA45" i="14"/>
  <c r="AC45" i="14" s="1"/>
  <c r="G31" i="10"/>
  <c r="G32" i="10" s="1"/>
  <c r="E32" i="10"/>
  <c r="H31" i="10"/>
  <c r="H32" i="10" s="1"/>
  <c r="BS180" i="5"/>
  <c r="BA180" i="5"/>
  <c r="K10" i="13" s="1"/>
  <c r="F12" i="13"/>
  <c r="F40" i="13" s="1"/>
  <c r="BP180" i="5"/>
  <c r="AV180" i="5"/>
  <c r="BH180" i="5"/>
  <c r="BT180" i="5"/>
  <c r="BF180" i="5"/>
  <c r="AY180" i="5"/>
  <c r="E15" i="10" s="1"/>
  <c r="BY180" i="5"/>
  <c r="BK180" i="5"/>
  <c r="BD180" i="5"/>
  <c r="BR180" i="5"/>
  <c r="BE180" i="5"/>
  <c r="BV180" i="5"/>
  <c r="AU180" i="5"/>
  <c r="BU180" i="5"/>
  <c r="CE180" i="5"/>
  <c r="CC180" i="5"/>
  <c r="CD180" i="5"/>
  <c r="BJ180" i="5"/>
  <c r="BI180" i="5"/>
  <c r="BW180" i="5"/>
  <c r="D18" i="10"/>
  <c r="D21" i="10" s="1"/>
  <c r="G10" i="13"/>
  <c r="I15" i="10"/>
  <c r="K17" i="10"/>
  <c r="M12" i="13"/>
  <c r="M40" i="13" s="1"/>
  <c r="AA39" i="13"/>
  <c r="J39" i="13"/>
  <c r="AZ180" i="5"/>
  <c r="G17" i="10"/>
  <c r="I12" i="13"/>
  <c r="I40" i="13" s="1"/>
  <c r="F38" i="13"/>
  <c r="CF180" i="5"/>
  <c r="CI180" i="5"/>
  <c r="CA180" i="5"/>
  <c r="BG180" i="5"/>
  <c r="BQ180" i="5"/>
  <c r="BX46" i="5"/>
  <c r="BX179" i="5" s="1"/>
  <c r="CB37" i="5"/>
  <c r="CB178" i="5" s="1"/>
  <c r="CB46" i="5"/>
  <c r="CB179" i="5" s="1"/>
  <c r="BN178" i="5"/>
  <c r="CB23" i="5"/>
  <c r="CB176" i="5" s="1"/>
  <c r="CB32" i="5"/>
  <c r="CB177" i="5" s="1"/>
  <c r="BX32" i="5"/>
  <c r="BX177" i="5" s="1"/>
  <c r="BX23" i="5"/>
  <c r="BX176" i="5" s="1"/>
  <c r="BO179" i="5"/>
  <c r="BC179" i="5"/>
  <c r="BL179" i="5"/>
  <c r="BN179" i="5"/>
  <c r="BZ46" i="5"/>
  <c r="BZ179" i="5" s="1"/>
  <c r="BB179" i="5"/>
  <c r="BB178" i="5"/>
  <c r="BC178" i="5"/>
  <c r="BO178" i="5"/>
  <c r="BO177" i="5"/>
  <c r="BZ32" i="5"/>
  <c r="BZ177" i="5" s="1"/>
  <c r="BN177" i="5"/>
  <c r="BC177" i="5"/>
  <c r="BL177" i="5"/>
  <c r="BB177" i="5"/>
  <c r="BC176" i="5"/>
  <c r="BL176" i="5"/>
  <c r="BN176" i="5"/>
  <c r="BZ23" i="5"/>
  <c r="BZ176" i="5" s="1"/>
  <c r="BB176" i="5"/>
  <c r="BO176" i="5"/>
  <c r="D7" i="10"/>
  <c r="D10" i="10" s="1"/>
  <c r="G6" i="10"/>
  <c r="J39" i="12"/>
  <c r="AA39" i="12"/>
  <c r="L12" i="12"/>
  <c r="J6" i="10"/>
  <c r="G10" i="12"/>
  <c r="E4" i="10"/>
  <c r="K10" i="12"/>
  <c r="I4" i="10"/>
  <c r="G12" i="12"/>
  <c r="E6" i="10"/>
  <c r="M12" i="12"/>
  <c r="M40" i="12" s="1"/>
  <c r="K6" i="10"/>
  <c r="F13" i="12"/>
  <c r="F16" i="12" s="1"/>
  <c r="F38" i="12"/>
  <c r="F41" i="12" s="1"/>
  <c r="I40" i="12"/>
  <c r="BN173" i="5"/>
  <c r="BN174" i="5" s="1"/>
  <c r="BB173" i="5"/>
  <c r="BB174" i="5" s="1"/>
  <c r="BZ173" i="5"/>
  <c r="BZ174" i="5" s="1"/>
  <c r="BC173" i="5"/>
  <c r="BC174" i="5" s="1"/>
  <c r="BO173" i="5"/>
  <c r="BO174" i="5" s="1"/>
  <c r="BX173" i="5"/>
  <c r="BX174" i="5" s="1"/>
  <c r="BL173" i="5"/>
  <c r="BL174" i="5" s="1"/>
  <c r="CB173" i="5"/>
  <c r="CB174" i="5" s="1"/>
  <c r="AA11" i="9"/>
  <c r="AC11" i="9"/>
  <c r="AA10" i="9"/>
  <c r="F13" i="13" l="1"/>
  <c r="F16" i="13" s="1"/>
  <c r="G43" i="14"/>
  <c r="J43" i="14" s="1"/>
  <c r="G52" i="14"/>
  <c r="G56" i="14" s="1"/>
  <c r="G60" i="14" s="1"/>
  <c r="G44" i="14" s="1"/>
  <c r="J44" i="14" s="1"/>
  <c r="J51" i="14"/>
  <c r="J52" i="14" s="1"/>
  <c r="J56" i="14" s="1"/>
  <c r="J60" i="14" s="1"/>
  <c r="J67" i="14" s="1"/>
  <c r="G73" i="14" s="1"/>
  <c r="H51" i="14"/>
  <c r="I51" i="14"/>
  <c r="AZ196" i="5"/>
  <c r="AX196" i="5"/>
  <c r="BA193" i="5"/>
  <c r="BA194" i="5"/>
  <c r="BA190" i="5"/>
  <c r="BA191" i="5" s="1"/>
  <c r="BA195" i="5"/>
  <c r="AW196" i="5"/>
  <c r="BA192" i="5"/>
  <c r="F41" i="13"/>
  <c r="F44" i="13" s="1"/>
  <c r="BZ180" i="5"/>
  <c r="L10" i="13" s="1"/>
  <c r="BX180" i="5"/>
  <c r="BL180" i="5"/>
  <c r="G15" i="10" s="1"/>
  <c r="G18" i="10" s="1"/>
  <c r="AC39" i="13"/>
  <c r="AA45" i="13"/>
  <c r="AC45" i="13" s="1"/>
  <c r="J17" i="10"/>
  <c r="L17" i="10" s="1"/>
  <c r="L12" i="13"/>
  <c r="E17" i="10"/>
  <c r="G12" i="13"/>
  <c r="G13" i="13" s="1"/>
  <c r="AA10" i="13"/>
  <c r="G38" i="13"/>
  <c r="BC180" i="5"/>
  <c r="BO180" i="5"/>
  <c r="BB180" i="5"/>
  <c r="BN180" i="5"/>
  <c r="CB180" i="5"/>
  <c r="F6" i="10"/>
  <c r="H6" i="10" s="1"/>
  <c r="H12" i="12"/>
  <c r="H40" i="12" s="1"/>
  <c r="F43" i="12"/>
  <c r="F44" i="12"/>
  <c r="F45" i="12"/>
  <c r="E7" i="10"/>
  <c r="L10" i="12"/>
  <c r="J4" i="10"/>
  <c r="G38" i="12"/>
  <c r="AA10" i="12"/>
  <c r="G13" i="12"/>
  <c r="F4" i="10"/>
  <c r="H10" i="12"/>
  <c r="L6" i="10"/>
  <c r="N12" i="12"/>
  <c r="L40" i="12"/>
  <c r="N40" i="12" s="1"/>
  <c r="AC39" i="12"/>
  <c r="AA45" i="12"/>
  <c r="AC45" i="12" s="1"/>
  <c r="G4" i="10"/>
  <c r="G7" i="10" s="1"/>
  <c r="I10" i="12"/>
  <c r="G40" i="12"/>
  <c r="AC10" i="9"/>
  <c r="H68" i="14" l="1"/>
  <c r="J68" i="14" s="1"/>
  <c r="G72" i="14"/>
  <c r="I72" i="14" s="1"/>
  <c r="O72" i="14"/>
  <c r="K45" i="14"/>
  <c r="I69" i="14"/>
  <c r="J69" i="14" s="1"/>
  <c r="K44" i="14"/>
  <c r="M72" i="14"/>
  <c r="K43" i="14"/>
  <c r="G67" i="14"/>
  <c r="G75" i="14" s="1"/>
  <c r="G80" i="14" s="1"/>
  <c r="I52" i="14"/>
  <c r="I56" i="14" s="1"/>
  <c r="I60" i="14" s="1"/>
  <c r="I43" i="14"/>
  <c r="H43" i="14"/>
  <c r="H52" i="14"/>
  <c r="H56" i="14" s="1"/>
  <c r="H60" i="14" s="1"/>
  <c r="BA196" i="5"/>
  <c r="J15" i="10"/>
  <c r="J18" i="10" s="1"/>
  <c r="F45" i="13"/>
  <c r="J73" i="14"/>
  <c r="I73" i="14"/>
  <c r="F43" i="13"/>
  <c r="I10" i="13"/>
  <c r="I13" i="13" s="1"/>
  <c r="G40" i="13"/>
  <c r="G41" i="13" s="1"/>
  <c r="L13" i="13"/>
  <c r="L38" i="13"/>
  <c r="E18" i="10"/>
  <c r="F17" i="10"/>
  <c r="H17" i="10" s="1"/>
  <c r="H12" i="13"/>
  <c r="H40" i="13" s="1"/>
  <c r="H10" i="13"/>
  <c r="F15" i="10"/>
  <c r="H15" i="10" s="1"/>
  <c r="N12" i="13"/>
  <c r="L40" i="13"/>
  <c r="N40" i="13" s="1"/>
  <c r="AA38" i="13"/>
  <c r="J40" i="12"/>
  <c r="J12" i="12"/>
  <c r="J10" i="12"/>
  <c r="H4" i="10"/>
  <c r="L38" i="12"/>
  <c r="L13" i="12"/>
  <c r="I38" i="12"/>
  <c r="I13" i="12"/>
  <c r="H38" i="12"/>
  <c r="H41" i="12" s="1"/>
  <c r="H13" i="12"/>
  <c r="AA38" i="12"/>
  <c r="G41" i="12"/>
  <c r="J7" i="10"/>
  <c r="F7" i="10"/>
  <c r="E73" i="9"/>
  <c r="E72" i="9"/>
  <c r="G45" i="14" l="1"/>
  <c r="J45" i="14" s="1"/>
  <c r="K46" i="14" s="1"/>
  <c r="J72" i="14"/>
  <c r="J75" i="14" s="1"/>
  <c r="J80" i="14" s="1"/>
  <c r="I44" i="14"/>
  <c r="I67" i="14"/>
  <c r="J10" i="13"/>
  <c r="H44" i="14"/>
  <c r="H67" i="14"/>
  <c r="I38" i="13"/>
  <c r="I41" i="13" s="1"/>
  <c r="J12" i="13"/>
  <c r="H13" i="13"/>
  <c r="J13" i="13" s="1"/>
  <c r="G15" i="13" s="1"/>
  <c r="H38" i="13"/>
  <c r="J40" i="13"/>
  <c r="F18" i="10"/>
  <c r="AA44" i="13"/>
  <c r="L41" i="13"/>
  <c r="AA44" i="12"/>
  <c r="J38" i="12"/>
  <c r="J41" i="12" s="1"/>
  <c r="G51" i="12" s="1"/>
  <c r="I41" i="12"/>
  <c r="J13" i="12"/>
  <c r="G15" i="12" s="1"/>
  <c r="H7" i="10"/>
  <c r="E9" i="10" s="1"/>
  <c r="L41" i="12"/>
  <c r="J79" i="9"/>
  <c r="J78" i="9"/>
  <c r="J77" i="9"/>
  <c r="H45" i="14" l="1"/>
  <c r="H75" i="14"/>
  <c r="H80" i="14" s="1"/>
  <c r="I45" i="14"/>
  <c r="I75" i="14"/>
  <c r="I80" i="14" s="1"/>
  <c r="H18" i="10"/>
  <c r="E20" i="10" s="1"/>
  <c r="E21" i="10" s="1"/>
  <c r="H41" i="13"/>
  <c r="J38" i="13"/>
  <c r="J41" i="13" s="1"/>
  <c r="H15" i="13"/>
  <c r="H16" i="13" s="1"/>
  <c r="G16" i="13"/>
  <c r="I15" i="13"/>
  <c r="I16" i="13" s="1"/>
  <c r="F9" i="10"/>
  <c r="F10" i="10" s="1"/>
  <c r="G52" i="12"/>
  <c r="G56" i="12" s="1"/>
  <c r="G60" i="12" s="1"/>
  <c r="G43" i="12"/>
  <c r="G9" i="10"/>
  <c r="G10" i="10" s="1"/>
  <c r="E10" i="10"/>
  <c r="H51" i="12"/>
  <c r="G16" i="12"/>
  <c r="I15" i="12"/>
  <c r="I16" i="12" s="1"/>
  <c r="I51" i="12"/>
  <c r="H15" i="12"/>
  <c r="H16" i="12" s="1"/>
  <c r="H63" i="9"/>
  <c r="F20" i="10" l="1"/>
  <c r="F21" i="10" s="1"/>
  <c r="G20" i="10"/>
  <c r="G21" i="10" s="1"/>
  <c r="J51" i="12"/>
  <c r="J52" i="12" s="1"/>
  <c r="J56" i="12" s="1"/>
  <c r="J60" i="12" s="1"/>
  <c r="J67" i="12" s="1"/>
  <c r="G73" i="12" s="1"/>
  <c r="I73" i="12" s="1"/>
  <c r="J73" i="12" s="1"/>
  <c r="I51" i="13"/>
  <c r="G51" i="13"/>
  <c r="J15" i="13"/>
  <c r="J16" i="13" s="1"/>
  <c r="H51" i="13"/>
  <c r="H9" i="10"/>
  <c r="H10" i="10" s="1"/>
  <c r="I52" i="12"/>
  <c r="I56" i="12" s="1"/>
  <c r="I60" i="12" s="1"/>
  <c r="I43" i="12"/>
  <c r="H43" i="12"/>
  <c r="H52" i="12"/>
  <c r="H56" i="12" s="1"/>
  <c r="H60" i="12" s="1"/>
  <c r="J15" i="12"/>
  <c r="J16" i="12" s="1"/>
  <c r="G67" i="12"/>
  <c r="G44" i="12"/>
  <c r="K8" i="9"/>
  <c r="H20" i="10" l="1"/>
  <c r="H21" i="10" s="1"/>
  <c r="O72" i="12"/>
  <c r="H68" i="12"/>
  <c r="J68" i="12" s="1"/>
  <c r="G72" i="12"/>
  <c r="G75" i="12" s="1"/>
  <c r="G80" i="12" s="1"/>
  <c r="M72" i="12"/>
  <c r="I52" i="13"/>
  <c r="I56" i="13" s="1"/>
  <c r="I60" i="13" s="1"/>
  <c r="I43" i="13"/>
  <c r="J51" i="13"/>
  <c r="J52" i="13" s="1"/>
  <c r="J56" i="13" s="1"/>
  <c r="J60" i="13" s="1"/>
  <c r="J67" i="13" s="1"/>
  <c r="G43" i="13"/>
  <c r="G52" i="13"/>
  <c r="G56" i="13" s="1"/>
  <c r="G60" i="13" s="1"/>
  <c r="H43" i="13"/>
  <c r="H52" i="13"/>
  <c r="H56" i="13" s="1"/>
  <c r="H60" i="13" s="1"/>
  <c r="L16" i="13"/>
  <c r="J21" i="10"/>
  <c r="J43" i="12"/>
  <c r="K43" i="12" s="1"/>
  <c r="L16" i="12"/>
  <c r="J10" i="10"/>
  <c r="G45" i="12"/>
  <c r="H44" i="12"/>
  <c r="H67" i="12"/>
  <c r="I44" i="12"/>
  <c r="I67" i="12"/>
  <c r="I45" i="12" s="1"/>
  <c r="I35" i="9"/>
  <c r="G63" i="9"/>
  <c r="I63" i="9" s="1"/>
  <c r="I72" i="12" l="1"/>
  <c r="J72" i="12" s="1"/>
  <c r="I44" i="13"/>
  <c r="I67" i="13"/>
  <c r="H44" i="13"/>
  <c r="H67" i="13"/>
  <c r="G67" i="13"/>
  <c r="G44" i="13"/>
  <c r="J43" i="13"/>
  <c r="K43" i="13" s="1"/>
  <c r="H68" i="13"/>
  <c r="J68" i="13" s="1"/>
  <c r="G73" i="13"/>
  <c r="I73" i="13" s="1"/>
  <c r="J73" i="13" s="1"/>
  <c r="M72" i="13"/>
  <c r="G72" i="13"/>
  <c r="O72" i="13"/>
  <c r="J44" i="12"/>
  <c r="K44" i="12" s="1"/>
  <c r="H45" i="12"/>
  <c r="J45" i="12" s="1"/>
  <c r="H75" i="12"/>
  <c r="H80" i="12" s="1"/>
  <c r="K50" i="9"/>
  <c r="J44" i="13" l="1"/>
  <c r="K44" i="13" s="1"/>
  <c r="I45" i="13"/>
  <c r="G45" i="13"/>
  <c r="G75" i="13"/>
  <c r="G80" i="13" s="1"/>
  <c r="I72" i="13"/>
  <c r="J72" i="13" s="1"/>
  <c r="H45" i="13"/>
  <c r="H75" i="13"/>
  <c r="H80" i="13" s="1"/>
  <c r="K46" i="12"/>
  <c r="K45" i="12"/>
  <c r="G8" i="9"/>
  <c r="H8" i="9"/>
  <c r="M20" i="9"/>
  <c r="J45" i="13" l="1"/>
  <c r="K46" i="13" s="1"/>
  <c r="I71" i="9"/>
  <c r="K45" i="13" l="1"/>
  <c r="F38" i="9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8" i="5" l="1"/>
  <c r="CH32" i="5"/>
  <c r="CH48" i="5"/>
  <c r="CH56" i="5"/>
  <c r="CH64" i="5"/>
  <c r="CH72" i="5"/>
  <c r="CH80" i="5"/>
  <c r="CH88" i="5"/>
  <c r="CH96" i="5"/>
  <c r="CH104" i="5"/>
  <c r="CH112" i="5"/>
  <c r="CH128" i="5"/>
  <c r="CH136" i="5"/>
  <c r="CH144" i="5"/>
  <c r="CH160" i="5"/>
  <c r="CH168" i="5"/>
  <c r="CH110" i="5"/>
  <c r="CH9" i="5"/>
  <c r="CH17" i="5"/>
  <c r="CJ17" i="5" s="1"/>
  <c r="CH33" i="5"/>
  <c r="CH49" i="5"/>
  <c r="CH57" i="5"/>
  <c r="CH65" i="5"/>
  <c r="CH73" i="5"/>
  <c r="CH81" i="5"/>
  <c r="CH89" i="5"/>
  <c r="CH97" i="5"/>
  <c r="CH113" i="5"/>
  <c r="CH121" i="5"/>
  <c r="CH129" i="5"/>
  <c r="CH137" i="5"/>
  <c r="CH145" i="5"/>
  <c r="CH153" i="5"/>
  <c r="CH161" i="5"/>
  <c r="CH169" i="5"/>
  <c r="CH142" i="5"/>
  <c r="CH10" i="5"/>
  <c r="CH18" i="5"/>
  <c r="CH34" i="5"/>
  <c r="CH42" i="5"/>
  <c r="CH178" i="5" s="1"/>
  <c r="CH58" i="5"/>
  <c r="CH66" i="5"/>
  <c r="CH74" i="5"/>
  <c r="CH82" i="5"/>
  <c r="CH90" i="5"/>
  <c r="CH98" i="5"/>
  <c r="CH106" i="5"/>
  <c r="CH114" i="5"/>
  <c r="CH122" i="5"/>
  <c r="CH138" i="5"/>
  <c r="CH146" i="5"/>
  <c r="CH154" i="5"/>
  <c r="CH162" i="5"/>
  <c r="CH170" i="5"/>
  <c r="CH3" i="5"/>
  <c r="CH11" i="5"/>
  <c r="CH43" i="5"/>
  <c r="CH51" i="5"/>
  <c r="CH59" i="5"/>
  <c r="CH67" i="5"/>
  <c r="CH75" i="5"/>
  <c r="CH83" i="5"/>
  <c r="CH91" i="5"/>
  <c r="CH107" i="5"/>
  <c r="CH115" i="5"/>
  <c r="CH123" i="5"/>
  <c r="CH131" i="5"/>
  <c r="CH139" i="5"/>
  <c r="CH147" i="5"/>
  <c r="CH155" i="5"/>
  <c r="CH163" i="5"/>
  <c r="CH70" i="5"/>
  <c r="CH102" i="5"/>
  <c r="CH150" i="5"/>
  <c r="CH12" i="5"/>
  <c r="CH20" i="5"/>
  <c r="CH36" i="5"/>
  <c r="CH52" i="5"/>
  <c r="CH60" i="5"/>
  <c r="CH76" i="5"/>
  <c r="CH84" i="5"/>
  <c r="CH92" i="5"/>
  <c r="CH100" i="5"/>
  <c r="CH108" i="5"/>
  <c r="CH116" i="5"/>
  <c r="CH124" i="5"/>
  <c r="CH132" i="5"/>
  <c r="CH140" i="5"/>
  <c r="CH148" i="5"/>
  <c r="CH156" i="5"/>
  <c r="CH164" i="5"/>
  <c r="CH22" i="5"/>
  <c r="CH62" i="5"/>
  <c r="CH94" i="5"/>
  <c r="CH118" i="5"/>
  <c r="CH158" i="5"/>
  <c r="CH13" i="5"/>
  <c r="CJ13" i="5" s="1"/>
  <c r="CH29" i="5"/>
  <c r="CH53" i="5"/>
  <c r="CH61" i="5"/>
  <c r="CH69" i="5"/>
  <c r="CH77" i="5"/>
  <c r="CH85" i="5"/>
  <c r="CH93" i="5"/>
  <c r="CH101" i="5"/>
  <c r="CH109" i="5"/>
  <c r="CH141" i="5"/>
  <c r="CH149" i="5"/>
  <c r="CH165" i="5"/>
  <c r="CH30" i="5"/>
  <c r="CH54" i="5"/>
  <c r="CH86" i="5"/>
  <c r="CH134" i="5"/>
  <c r="CH166" i="5"/>
  <c r="CH7" i="5"/>
  <c r="CH23" i="5"/>
  <c r="CH47" i="5"/>
  <c r="CH55" i="5"/>
  <c r="CH63" i="5"/>
  <c r="CH79" i="5"/>
  <c r="CH87" i="5"/>
  <c r="CH95" i="5"/>
  <c r="CH111" i="5"/>
  <c r="CH119" i="5"/>
  <c r="CH127" i="5"/>
  <c r="CH135" i="5"/>
  <c r="CH151" i="5"/>
  <c r="CH159" i="5"/>
  <c r="CH46" i="5"/>
  <c r="CH179" i="5" s="1"/>
  <c r="CH78" i="5"/>
  <c r="CH126" i="5"/>
  <c r="CG12" i="5"/>
  <c r="CG20" i="5"/>
  <c r="CG36" i="5"/>
  <c r="CG52" i="5"/>
  <c r="CG60" i="5"/>
  <c r="CG76" i="5"/>
  <c r="CG84" i="5"/>
  <c r="CG92" i="5"/>
  <c r="CG100" i="5"/>
  <c r="CG108" i="5"/>
  <c r="CG116" i="5"/>
  <c r="CG124" i="5"/>
  <c r="CG132" i="5"/>
  <c r="CG140" i="5"/>
  <c r="CG148" i="5"/>
  <c r="CG156" i="5"/>
  <c r="CG164" i="5"/>
  <c r="CG9" i="5"/>
  <c r="CG49" i="5"/>
  <c r="CG73" i="5"/>
  <c r="CG89" i="5"/>
  <c r="CG113" i="5"/>
  <c r="CG129" i="5"/>
  <c r="CG161" i="5"/>
  <c r="CG18" i="5"/>
  <c r="CG34" i="5"/>
  <c r="CG58" i="5"/>
  <c r="CG74" i="5"/>
  <c r="CG98" i="5"/>
  <c r="CG146" i="5"/>
  <c r="CJ146" i="5" s="1"/>
  <c r="CG170" i="5"/>
  <c r="CG29" i="5"/>
  <c r="CG53" i="5"/>
  <c r="CG61" i="5"/>
  <c r="CG69" i="5"/>
  <c r="CG77" i="5"/>
  <c r="CG85" i="5"/>
  <c r="CG93" i="5"/>
  <c r="CG101" i="5"/>
  <c r="CG109" i="5"/>
  <c r="CG141" i="5"/>
  <c r="CG149" i="5"/>
  <c r="CG165" i="5"/>
  <c r="CG33" i="5"/>
  <c r="CG153" i="5"/>
  <c r="CJ153" i="5" s="1"/>
  <c r="CG106" i="5"/>
  <c r="CG22" i="5"/>
  <c r="CG30" i="5"/>
  <c r="CG46" i="5"/>
  <c r="CG54" i="5"/>
  <c r="CG62" i="5"/>
  <c r="CG70" i="5"/>
  <c r="CG78" i="5"/>
  <c r="CG86" i="5"/>
  <c r="CG94" i="5"/>
  <c r="CG102" i="5"/>
  <c r="CG110" i="5"/>
  <c r="CG118" i="5"/>
  <c r="CG126" i="5"/>
  <c r="CG134" i="5"/>
  <c r="CG142" i="5"/>
  <c r="CG150" i="5"/>
  <c r="CG158" i="5"/>
  <c r="CG166" i="5"/>
  <c r="CG57" i="5"/>
  <c r="CG81" i="5"/>
  <c r="CG97" i="5"/>
  <c r="CG121" i="5"/>
  <c r="CJ121" i="5" s="1"/>
  <c r="CG137" i="5"/>
  <c r="CG169" i="5"/>
  <c r="CJ169" i="5" s="1"/>
  <c r="CG10" i="5"/>
  <c r="CJ10" i="5" s="1"/>
  <c r="CG66" i="5"/>
  <c r="CG90" i="5"/>
  <c r="CG114" i="5"/>
  <c r="CG138" i="5"/>
  <c r="CG162" i="5"/>
  <c r="CJ162" i="5" s="1"/>
  <c r="CG7" i="5"/>
  <c r="CJ7" i="5" s="1"/>
  <c r="CG23" i="5"/>
  <c r="CG176" i="5" s="1"/>
  <c r="CG47" i="5"/>
  <c r="CJ47" i="5" s="1"/>
  <c r="CG55" i="5"/>
  <c r="CG63" i="5"/>
  <c r="CG79" i="5"/>
  <c r="CG87" i="5"/>
  <c r="CG95" i="5"/>
  <c r="CG111" i="5"/>
  <c r="CJ111" i="5" s="1"/>
  <c r="CG119" i="5"/>
  <c r="CG127" i="5"/>
  <c r="CJ127" i="5" s="1"/>
  <c r="CG135" i="5"/>
  <c r="CG151" i="5"/>
  <c r="CG159" i="5"/>
  <c r="CG8" i="5"/>
  <c r="CG32" i="5"/>
  <c r="CG48" i="5"/>
  <c r="CJ48" i="5" s="1"/>
  <c r="CG56" i="5"/>
  <c r="CJ56" i="5" s="1"/>
  <c r="CG64" i="5"/>
  <c r="CJ64" i="5" s="1"/>
  <c r="CG72" i="5"/>
  <c r="CG80" i="5"/>
  <c r="CG88" i="5"/>
  <c r="CG96" i="5"/>
  <c r="CG104" i="5"/>
  <c r="CG112" i="5"/>
  <c r="CJ112" i="5" s="1"/>
  <c r="CG128" i="5"/>
  <c r="CJ128" i="5" s="1"/>
  <c r="CG136" i="5"/>
  <c r="CJ136" i="5" s="1"/>
  <c r="CG144" i="5"/>
  <c r="CG160" i="5"/>
  <c r="CG168" i="5"/>
  <c r="CG3" i="5"/>
  <c r="CG11" i="5"/>
  <c r="CG43" i="5"/>
  <c r="CJ43" i="5" s="1"/>
  <c r="CG51" i="5"/>
  <c r="CG59" i="5"/>
  <c r="CG67" i="5"/>
  <c r="CG75" i="5"/>
  <c r="CJ75" i="5" s="1"/>
  <c r="CG83" i="5"/>
  <c r="CG91" i="5"/>
  <c r="CG107" i="5"/>
  <c r="CG115" i="5"/>
  <c r="CJ115" i="5" s="1"/>
  <c r="CG123" i="5"/>
  <c r="CG131" i="5"/>
  <c r="CG139" i="5"/>
  <c r="CG147" i="5"/>
  <c r="CJ147" i="5" s="1"/>
  <c r="CG155" i="5"/>
  <c r="CG163" i="5"/>
  <c r="CG65" i="5"/>
  <c r="CG145" i="5"/>
  <c r="CJ145" i="5" s="1"/>
  <c r="CG42" i="5"/>
  <c r="CG178" i="5" s="1"/>
  <c r="CG82" i="5"/>
  <c r="CG122" i="5"/>
  <c r="CJ122" i="5" s="1"/>
  <c r="CG154" i="5"/>
  <c r="CJ154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65" i="5" l="1"/>
  <c r="CJ144" i="5"/>
  <c r="CJ72" i="5"/>
  <c r="CJ134" i="5"/>
  <c r="CJ110" i="5"/>
  <c r="CJ77" i="5"/>
  <c r="CJ74" i="5"/>
  <c r="CJ124" i="5"/>
  <c r="CJ52" i="5"/>
  <c r="CJ96" i="5"/>
  <c r="CJ8" i="5"/>
  <c r="CJ87" i="5"/>
  <c r="CJ58" i="5"/>
  <c r="CJ81" i="5"/>
  <c r="CJ102" i="5"/>
  <c r="CJ101" i="5"/>
  <c r="CJ148" i="5"/>
  <c r="CJ84" i="5"/>
  <c r="CJ62" i="5"/>
  <c r="CJ165" i="5"/>
  <c r="CJ69" i="5"/>
  <c r="CJ49" i="5"/>
  <c r="CJ116" i="5"/>
  <c r="CJ36" i="5"/>
  <c r="CJ90" i="5"/>
  <c r="CJ97" i="5"/>
  <c r="CJ126" i="5"/>
  <c r="CJ141" i="5"/>
  <c r="CJ53" i="5"/>
  <c r="CJ164" i="5"/>
  <c r="CJ100" i="5"/>
  <c r="CJ12" i="5"/>
  <c r="CJ131" i="5"/>
  <c r="CJ59" i="5"/>
  <c r="CJ82" i="5"/>
  <c r="CJ22" i="5"/>
  <c r="CJ33" i="5"/>
  <c r="CJ46" i="5"/>
  <c r="CG179" i="5"/>
  <c r="CJ57" i="5"/>
  <c r="CJ18" i="5"/>
  <c r="CJ32" i="5"/>
  <c r="CG177" i="5"/>
  <c r="CH177" i="5"/>
  <c r="CJ137" i="5"/>
  <c r="CJ98" i="5"/>
  <c r="CJ155" i="5"/>
  <c r="CJ83" i="5"/>
  <c r="CJ34" i="5"/>
  <c r="CJ80" i="5"/>
  <c r="CH176" i="5"/>
  <c r="CJ55" i="5"/>
  <c r="CJ30" i="5"/>
  <c r="CJ160" i="5"/>
  <c r="CJ135" i="5"/>
  <c r="CJ94" i="5"/>
  <c r="CJ170" i="5"/>
  <c r="CJ129" i="5"/>
  <c r="CJ106" i="5"/>
  <c r="CJ73" i="5"/>
  <c r="CH173" i="5"/>
  <c r="CH174" i="5" s="1"/>
  <c r="CJ107" i="5"/>
  <c r="CJ11" i="5"/>
  <c r="CJ70" i="5"/>
  <c r="CJ168" i="5"/>
  <c r="CJ88" i="5"/>
  <c r="CJ159" i="5"/>
  <c r="CJ79" i="5"/>
  <c r="CJ114" i="5"/>
  <c r="CJ158" i="5"/>
  <c r="CJ42" i="5"/>
  <c r="CJ178" i="5" s="1"/>
  <c r="CJ86" i="5"/>
  <c r="CJ93" i="5"/>
  <c r="CJ132" i="5"/>
  <c r="CJ91" i="5"/>
  <c r="CJ163" i="5"/>
  <c r="CJ3" i="5"/>
  <c r="CG173" i="5"/>
  <c r="CG174" i="5" s="1"/>
  <c r="CJ118" i="5"/>
  <c r="CJ54" i="5"/>
  <c r="CJ63" i="5"/>
  <c r="CJ151" i="5"/>
  <c r="CJ140" i="5"/>
  <c r="CJ76" i="5"/>
  <c r="CJ85" i="5"/>
  <c r="CJ60" i="5"/>
  <c r="CJ104" i="5"/>
  <c r="CJ9" i="5"/>
  <c r="CJ123" i="5"/>
  <c r="CJ51" i="5"/>
  <c r="CJ142" i="5"/>
  <c r="CJ78" i="5"/>
  <c r="CJ89" i="5"/>
  <c r="CJ95" i="5"/>
  <c r="CJ138" i="5"/>
  <c r="CJ149" i="5"/>
  <c r="CJ61" i="5"/>
  <c r="CJ108" i="5"/>
  <c r="CJ20" i="5"/>
  <c r="CJ139" i="5"/>
  <c r="CJ67" i="5"/>
  <c r="CJ66" i="5"/>
  <c r="CJ166" i="5"/>
  <c r="CJ109" i="5"/>
  <c r="CJ29" i="5"/>
  <c r="CJ161" i="5"/>
  <c r="CJ156" i="5"/>
  <c r="CJ92" i="5"/>
  <c r="CJ119" i="5"/>
  <c r="CJ23" i="5"/>
  <c r="CJ176" i="5" s="1"/>
  <c r="CJ150" i="5"/>
  <c r="CJ113" i="5"/>
  <c r="F80" i="9"/>
  <c r="F45" i="9"/>
  <c r="N22" i="9"/>
  <c r="N21" i="9"/>
  <c r="H51" i="9"/>
  <c r="I51" i="9"/>
  <c r="G51" i="9"/>
  <c r="G43" i="9" s="1"/>
  <c r="CG180" i="5" l="1"/>
  <c r="CJ177" i="5"/>
  <c r="CH180" i="5"/>
  <c r="CJ179" i="5"/>
  <c r="CJ173" i="5"/>
  <c r="CJ174" i="5" s="1"/>
  <c r="M10" i="12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CJ180" i="5" l="1"/>
  <c r="M10" i="13" s="1"/>
  <c r="K4" i="10"/>
  <c r="K7" i="10" s="1"/>
  <c r="M38" i="12"/>
  <c r="M13" i="12"/>
  <c r="N10" i="12"/>
  <c r="N13" i="12" s="1"/>
  <c r="AB10" i="12"/>
  <c r="AC10" i="12" s="1"/>
  <c r="H44" i="9"/>
  <c r="N41" i="9"/>
  <c r="N38" i="9"/>
  <c r="J43" i="9"/>
  <c r="K43" i="9" s="1"/>
  <c r="I44" i="9"/>
  <c r="I67" i="9"/>
  <c r="K15" i="10" l="1"/>
  <c r="K18" i="10" s="1"/>
  <c r="M13" i="13"/>
  <c r="M38" i="13"/>
  <c r="AB10" i="13"/>
  <c r="AC10" i="13" s="1"/>
  <c r="N10" i="13"/>
  <c r="N13" i="13" s="1"/>
  <c r="L4" i="10"/>
  <c r="L7" i="10" s="1"/>
  <c r="M41" i="12"/>
  <c r="N38" i="12"/>
  <c r="AB38" i="12"/>
  <c r="I45" i="9"/>
  <c r="J44" i="9"/>
  <c r="K44" i="9" s="1"/>
  <c r="L15" i="10" l="1"/>
  <c r="L18" i="10" s="1"/>
  <c r="M41" i="13"/>
  <c r="AB38" i="13"/>
  <c r="N38" i="13"/>
  <c r="AB44" i="12"/>
  <c r="AC44" i="12" s="1"/>
  <c r="AC38" i="12"/>
  <c r="N41" i="12"/>
  <c r="I69" i="12"/>
  <c r="J67" i="9"/>
  <c r="AB44" i="13" l="1"/>
  <c r="AC44" i="13" s="1"/>
  <c r="AC38" i="13"/>
  <c r="N41" i="13"/>
  <c r="I69" i="13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J69" i="13" l="1"/>
  <c r="J75" i="13" s="1"/>
  <c r="J80" i="13" s="1"/>
  <c r="I75" i="13"/>
  <c r="I80" i="13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3A38184-35E8-4416-B96C-2B5E308AB3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E17CDA4-AD18-4752-AA56-F207698F1C3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B2E421A-10D9-4FC8-AF53-B5899AB7F9A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1C88E2B-95FA-4672-84AE-D6706DC40B8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C864EEA-1FEB-45CF-A5CD-BD1919AF8BB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EFF101B-BFC7-46E9-AECC-735939FA88D2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E0A4E22-0F21-40B9-8F35-D756240E57C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E14A6DF-9CC0-42BA-A110-8CD1CF7EC67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6A9B23B-CE98-41D3-964C-C2C16D9832C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D557071-BDA6-4B36-8724-28875826E23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99323E9-19D1-42FA-8417-7FC3F484776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3DD3FA79-1502-4D1F-BE9B-3155DA221D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FA3FDD8-A996-4E7A-A7CC-14F51314A02F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0EF0466-C111-49B4-B1E0-1DBEC6A9E2A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712ACE42-C6EE-4138-964C-2030074762F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6DC5FA9-AE00-46EB-AB46-1AE278D282F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71E8402-AE15-49EC-A5A5-E605C160D42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1E14A8A-A2D4-4679-8252-A40FC305C7D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28FBC06-5BC9-4462-9C32-B93EFB52A3F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101DB7C-5527-418B-A8AA-0DB5D1ABB679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82F1628-47B4-4EF1-B8BF-58A81B23F68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F10584A-D3F8-4527-B4D3-D410BFCE848A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1FB6669-54EC-4126-B570-A3336C6B9C7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FFDE038-29A6-4319-8D27-A8B14D2F7EA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0A4B499-D586-480D-9C06-9259E7EDC14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51A4BE2-72A3-4E82-A229-FA13B4736D7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210C2A1-6258-4EB3-B957-E9395DBF5D3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32586CD-D794-40F1-8615-EE0A1940340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DF42BEB4-67CC-4102-A6C0-398681DC867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33941D29-635C-46F4-B0A0-9CBFB931CF4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<sst xmlns="http://schemas.openxmlformats.org/spreadsheetml/2006/main" count="4717" uniqueCount="866">
  <si>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</si>
  <si>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</si>
  <si>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</si>
  <si>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</si>
  <si>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</si>
  <si>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</si>
  <si>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</si>
  <si>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</si>
  <si>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</si>
  <si>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</si>
  <si>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</si>
  <si>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</si>
  <si>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</si>
  <si>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</si>
  <si>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</si>
  <si>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</si>
  <si>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</si>
  <si>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</si>
  <si>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</si>
  <si>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</si>
  <si>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</si>
  <si>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</si>
  <si>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</si>
  <si>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</si>
  <si>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</si>
  <si>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</si>
  <si>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</si>
  <si>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</si>
  <si>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</si>
  <si>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</si>
  <si>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</si>
  <si>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</si>
  <si>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</si>
  <si>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</si>
  <si>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</si>
  <si>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</si>
  <si>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</si>
  <si>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</si>
  <si>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</si>
  <si>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</si>
  <si>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</si>
  <si>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</si>
  <si>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</si>
  <si>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</si>
  <si>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</si>
  <si>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</si>
  <si>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</si>
  <si>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</si>
  <si>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</si>
  <si>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</si>
  <si>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</si>
  <si>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</si>
  <si>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</si>
  <si>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</si>
  <si>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</si>
  <si>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</si>
  <si>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</si>
  <si>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</si>
  <si>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</si>
  <si>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</si>
  <si>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</si>
  <si>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</si>
  <si>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</si>
  <si>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</si>
  <si>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</si>
  <si>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</si>
  <si>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</si>
  <si>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</si>
  <si>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</si>
  <si>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</si>
  <si>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</si>
  <si>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</si>
  <si>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</si>
  <si>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</si>
  <si>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</si>
  <si>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</si>
  <si>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</si>
  <si>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</si>
  <si>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</si>
  <si>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</si>
  <si>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</si>
  <si>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</si>
  <si>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</si>
  <si>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</si>
  <si>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</si>
  <si>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</si>
  <si>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</si>
  <si>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</si>
  <si>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</si>
  <si>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</si>
  <si>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</si>
  <si>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</si>
  <si>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</si>
  <si>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</si>
  <si>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</si>
  <si>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</si>
  <si>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</si>
  <si>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</si>
  <si>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</si>
  <si>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</si>
  <si>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</si>
  <si>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</si>
  <si>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</si>
  <si>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</si>
  <si>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</si>
  <si>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</si>
  <si>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</si>
  <si>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</si>
  <si>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</si>
  <si>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</si>
  <si>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</si>
  <si>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</si>
  <si>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</si>
  <si>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</si>
  <si>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</si>
  <si>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</si>
  <si>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</si>
  <si>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</si>
  <si>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</si>
  <si>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</si>
  <si>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</si>
  <si>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</si>
  <si>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</si>
  <si>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</si>
  <si>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</si>
  <si>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</si>
  <si>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</si>
  <si>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</si>
  <si>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</si>
  <si>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</si>
  <si>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</si>
  <si>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</si>
  <si>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</si>
  <si>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</si>
  <si>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</si>
  <si>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</si>
  <si>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</si>
  <si>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</si>
  <si>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</si>
  <si>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</si>
  <si>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</si>
  <si>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</si>
  <si>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</si>
  <si>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</si>
  <si>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</si>
  <si>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</si>
  <si>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</si>
  <si>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</si>
  <si>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</si>
  <si>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</si>
  <si>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</si>
  <si>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</si>
  <si>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</si>
  <si>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</si>
  <si>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</si>
  <si>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</si>
  <si>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</si>
  <si>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</si>
  <si>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</si>
  <si>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</si>
  <si>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</si>
  <si>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</si>
  <si>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177</t>
  </si>
  <si>
    <t>4058</t>
  </si>
  <si>
    <t xml:space="preserve">IT ARCHITECT III    </t>
  </si>
  <si>
    <t>0001</t>
  </si>
  <si>
    <t>00</t>
  </si>
  <si>
    <t>TEAB</t>
  </si>
  <si>
    <t>001</t>
  </si>
  <si>
    <t>01739</t>
  </si>
  <si>
    <t>O</t>
  </si>
  <si>
    <t>F</t>
  </si>
  <si>
    <t>CR</t>
  </si>
  <si>
    <t>JACKSON, TYLER K.</t>
  </si>
  <si>
    <t>JACKSON</t>
  </si>
  <si>
    <t>TYLER</t>
  </si>
  <si>
    <t>K</t>
  </si>
  <si>
    <t xml:space="preserve">HO   </t>
  </si>
  <si>
    <t>H</t>
  </si>
  <si>
    <t>FS</t>
  </si>
  <si>
    <t>E</t>
  </si>
  <si>
    <t>N</t>
  </si>
  <si>
    <t>Y</t>
  </si>
  <si>
    <t xml:space="preserve">    </t>
  </si>
  <si>
    <t>4056</t>
  </si>
  <si>
    <t xml:space="preserve">BUYER, SENIOR       </t>
  </si>
  <si>
    <t>01538</t>
  </si>
  <si>
    <t>HEESCH, KEVIN H.</t>
  </si>
  <si>
    <t>HEESCH</t>
  </si>
  <si>
    <t>KEVIN</t>
  </si>
  <si>
    <t xml:space="preserve">HK   </t>
  </si>
  <si>
    <t>4046</t>
  </si>
  <si>
    <t>CARLISLE, CHRISTOPHER D.</t>
  </si>
  <si>
    <t>CARLISLE</t>
  </si>
  <si>
    <t>CHRISTOPHER</t>
  </si>
  <si>
    <t>DAVID</t>
  </si>
  <si>
    <t>4026</t>
  </si>
  <si>
    <t>SMITH, BRIAN M.</t>
  </si>
  <si>
    <t>SMITH</t>
  </si>
  <si>
    <t>BRIAN</t>
  </si>
  <si>
    <t>MATHEW</t>
  </si>
  <si>
    <t>4010</t>
  </si>
  <si>
    <t xml:space="preserve">IT MANAGER IV       </t>
  </si>
  <si>
    <t>01744</t>
  </si>
  <si>
    <t>P</t>
  </si>
  <si>
    <t>MORGAN, GERAINT W.</t>
  </si>
  <si>
    <t>MORGAN</t>
  </si>
  <si>
    <t>GERAINT</t>
  </si>
  <si>
    <t>W</t>
  </si>
  <si>
    <t xml:space="preserve">HP   </t>
  </si>
  <si>
    <t>4000</t>
  </si>
  <si>
    <t xml:space="preserve">IT MANAGER III      </t>
  </si>
  <si>
    <t>01743</t>
  </si>
  <si>
    <t>DEARBORN, CHERYL M.</t>
  </si>
  <si>
    <t>DEARBORN</t>
  </si>
  <si>
    <t>CHERYL</t>
  </si>
  <si>
    <t>M</t>
  </si>
  <si>
    <t>2010</t>
  </si>
  <si>
    <t>FINANCIAL SPECIALIST</t>
  </si>
  <si>
    <t>04245</t>
  </si>
  <si>
    <t>L</t>
  </si>
  <si>
    <t>DAY, MICHELLE M.</t>
  </si>
  <si>
    <t>DAY</t>
  </si>
  <si>
    <t>MICHELLE</t>
  </si>
  <si>
    <t xml:space="preserve">HL   </t>
  </si>
  <si>
    <t>2008</t>
  </si>
  <si>
    <t>MANAGEMENT ASSISTANT</t>
  </si>
  <si>
    <t>05272</t>
  </si>
  <si>
    <t>J</t>
  </si>
  <si>
    <t>BARTZ, KRISTIN M.</t>
  </si>
  <si>
    <t>BARTZ</t>
  </si>
  <si>
    <t>KRISTIN</t>
  </si>
  <si>
    <t xml:space="preserve">HJ   </t>
  </si>
  <si>
    <t>2000</t>
  </si>
  <si>
    <t xml:space="preserve">ADMIN ASST 1        </t>
  </si>
  <si>
    <t>01235</t>
  </si>
  <si>
    <t>COFFMAN, MARY FRANCES F.</t>
  </si>
  <si>
    <t>COFFMAN</t>
  </si>
  <si>
    <t>MARY FRANCES</t>
  </si>
  <si>
    <t xml:space="preserve">HH   </t>
  </si>
  <si>
    <t>1001</t>
  </si>
  <si>
    <t>04246</t>
  </si>
  <si>
    <t>LIVENGOOD, LINDA L.</t>
  </si>
  <si>
    <t>LIVENGOOD</t>
  </si>
  <si>
    <t>LINDA</t>
  </si>
  <si>
    <t>LOU</t>
  </si>
  <si>
    <t>1000</t>
  </si>
  <si>
    <t xml:space="preserve">HUMAN RESOURCE SPEC </t>
  </si>
  <si>
    <t>05141</t>
  </si>
  <si>
    <t>KENNEALLY, LYNN A.</t>
  </si>
  <si>
    <t>KENNEALLY</t>
  </si>
  <si>
    <t>LYNN</t>
  </si>
  <si>
    <t>A</t>
  </si>
  <si>
    <t>0702</t>
  </si>
  <si>
    <t xml:space="preserve">ADMINISTRATOR - ITS </t>
  </si>
  <si>
    <t>20121</t>
  </si>
  <si>
    <t>NR</t>
  </si>
  <si>
    <t>WEAK, JEFFERY A.</t>
  </si>
  <si>
    <t>WEAK</t>
  </si>
  <si>
    <t>JEFFERY</t>
  </si>
  <si>
    <t>ALAN</t>
  </si>
  <si>
    <t>00000</t>
  </si>
  <si>
    <t>5448</t>
  </si>
  <si>
    <t>IT INFO SECURITY ENG</t>
  </si>
  <si>
    <t>01735</t>
  </si>
  <si>
    <t>V</t>
  </si>
  <si>
    <t>5467</t>
  </si>
  <si>
    <t>WOODFORD, MICHAEL R.</t>
  </si>
  <si>
    <t>WOODFORD</t>
  </si>
  <si>
    <t>MICHAEL</t>
  </si>
  <si>
    <t>R</t>
  </si>
  <si>
    <t>5450</t>
  </si>
  <si>
    <t>01736</t>
  </si>
  <si>
    <t>TRESH, KEITH G.</t>
  </si>
  <si>
    <t>TRESH</t>
  </si>
  <si>
    <t>KEITH</t>
  </si>
  <si>
    <t>G</t>
  </si>
  <si>
    <t>5449</t>
  </si>
  <si>
    <t>DEPUTY ADMINISTRATOR</t>
  </si>
  <si>
    <t>20305</t>
  </si>
  <si>
    <t>ZICKAU, JACK G.</t>
  </si>
  <si>
    <t>ZICKAU</t>
  </si>
  <si>
    <t>JACK</t>
  </si>
  <si>
    <t>5439</t>
  </si>
  <si>
    <t>FINANCIAL TECHNICIAN</t>
  </si>
  <si>
    <t>04249</t>
  </si>
  <si>
    <t>I</t>
  </si>
  <si>
    <t>ROGERS, JANET M.</t>
  </si>
  <si>
    <t>ROGERS</t>
  </si>
  <si>
    <t>JANET</t>
  </si>
  <si>
    <t xml:space="preserve">HI   </t>
  </si>
  <si>
    <t>5110</t>
  </si>
  <si>
    <t xml:space="preserve">IT ARCHITECT IV     </t>
  </si>
  <si>
    <t>01740</t>
  </si>
  <si>
    <t>MAYER, MARK A.</t>
  </si>
  <si>
    <t>MAYER</t>
  </si>
  <si>
    <t>MARK</t>
  </si>
  <si>
    <t>4062</t>
  </si>
  <si>
    <t xml:space="preserve">BUSINESS OPERATIONS </t>
  </si>
  <si>
    <t>05275</t>
  </si>
  <si>
    <t>SANTURRO, MICHELLE M.</t>
  </si>
  <si>
    <t>SANTURRO</t>
  </si>
  <si>
    <t>4061</t>
  </si>
  <si>
    <t>MATHIAS, GREGORY J.</t>
  </si>
  <si>
    <t>MATHIAS</t>
  </si>
  <si>
    <t>GREGORY</t>
  </si>
  <si>
    <t>4060</t>
  </si>
  <si>
    <t>03178</t>
  </si>
  <si>
    <t>SEAMAN, ERIN M.</t>
  </si>
  <si>
    <t>SEAMAN</t>
  </si>
  <si>
    <t>ERIN</t>
  </si>
  <si>
    <t xml:space="preserve">HM   </t>
  </si>
  <si>
    <t>5430</t>
  </si>
  <si>
    <t>IT INFO SYS AND INFR</t>
  </si>
  <si>
    <t>0450</t>
  </si>
  <si>
    <t>04</t>
  </si>
  <si>
    <t>01731</t>
  </si>
  <si>
    <t>TEETS  IV, EDWARD F.</t>
  </si>
  <si>
    <t>TEETS  IV</t>
  </si>
  <si>
    <t>EDWARD</t>
  </si>
  <si>
    <t>5136</t>
  </si>
  <si>
    <t>01734</t>
  </si>
  <si>
    <t>ZISK, PAUL C.</t>
  </si>
  <si>
    <t>ZISK</t>
  </si>
  <si>
    <t>PAUL</t>
  </si>
  <si>
    <t>C</t>
  </si>
  <si>
    <t>5109</t>
  </si>
  <si>
    <t>BROWN, JOHN G.</t>
  </si>
  <si>
    <t>BROWN</t>
  </si>
  <si>
    <t>JOHN</t>
  </si>
  <si>
    <t>5001</t>
  </si>
  <si>
    <t xml:space="preserve">VALADEZ, ABRAHAM </t>
  </si>
  <si>
    <t>VALADEZ</t>
  </si>
  <si>
    <t>ABRAHAM</t>
  </si>
  <si>
    <t xml:space="preserve">              </t>
  </si>
  <si>
    <t>5000</t>
  </si>
  <si>
    <t>JONES, DANIEL J.</t>
  </si>
  <si>
    <t>JONES</t>
  </si>
  <si>
    <t>DANIEL</t>
  </si>
  <si>
    <t>JEFFREY</t>
  </si>
  <si>
    <t>4067</t>
  </si>
  <si>
    <t>PILCHER, KEVIN E.</t>
  </si>
  <si>
    <t>PILCHER</t>
  </si>
  <si>
    <t>4012</t>
  </si>
  <si>
    <t>01732</t>
  </si>
  <si>
    <t>WILLIAMS, DONALD S.</t>
  </si>
  <si>
    <t>WILLIAMS</t>
  </si>
  <si>
    <t>DONALD</t>
  </si>
  <si>
    <t>SCOTT</t>
  </si>
  <si>
    <t xml:space="preserve">HN   </t>
  </si>
  <si>
    <t>2006</t>
  </si>
  <si>
    <t>MEAD, MICHAEL D.</t>
  </si>
  <si>
    <t>MEAD</t>
  </si>
  <si>
    <t>D</t>
  </si>
  <si>
    <t>5122</t>
  </si>
  <si>
    <t>5116</t>
  </si>
  <si>
    <t>IT OPS &amp; SUPPORT ANA</t>
  </si>
  <si>
    <t>22</t>
  </si>
  <si>
    <t>01709</t>
  </si>
  <si>
    <t>HAGLER, JASON J.</t>
  </si>
  <si>
    <t>HAGLER</t>
  </si>
  <si>
    <t>JASON</t>
  </si>
  <si>
    <t>4059</t>
  </si>
  <si>
    <t>WHITE, BRANDON K.</t>
  </si>
  <si>
    <t>WHITE</t>
  </si>
  <si>
    <t>BRANDON</t>
  </si>
  <si>
    <t>4049</t>
  </si>
  <si>
    <t>PARRISH, SEAN T.</t>
  </si>
  <si>
    <t>PARRISH</t>
  </si>
  <si>
    <t>SEAN</t>
  </si>
  <si>
    <t>TALLY</t>
  </si>
  <si>
    <t>4045</t>
  </si>
  <si>
    <t>01710</t>
  </si>
  <si>
    <t>WESTERFIELD, MARGARET J.</t>
  </si>
  <si>
    <t>WESTERFIELD</t>
  </si>
  <si>
    <t>MARGARET</t>
  </si>
  <si>
    <t>JANE</t>
  </si>
  <si>
    <t>4042</t>
  </si>
  <si>
    <t>WOOD, CHRISTOPHER R.</t>
  </si>
  <si>
    <t>WOOD</t>
  </si>
  <si>
    <t>5469</t>
  </si>
  <si>
    <t xml:space="preserve">GIS ANALYST III     </t>
  </si>
  <si>
    <t>35</t>
  </si>
  <si>
    <t>01721</t>
  </si>
  <si>
    <t>ROBERTSON, WILHELMINA G.</t>
  </si>
  <si>
    <t>ROBERTSON</t>
  </si>
  <si>
    <t>WILHELMINA</t>
  </si>
  <si>
    <t>5019</t>
  </si>
  <si>
    <t xml:space="preserve">BUSINESS ANALYST    </t>
  </si>
  <si>
    <t>05520</t>
  </si>
  <si>
    <t>MCCUISTION, SCOTT A.</t>
  </si>
  <si>
    <t>MCCUISTION</t>
  </si>
  <si>
    <t>4054</t>
  </si>
  <si>
    <t>MONTIEL, SAMUEL R.</t>
  </si>
  <si>
    <t>MONTIEL</t>
  </si>
  <si>
    <t>SAMUEL</t>
  </si>
  <si>
    <t>4050</t>
  </si>
  <si>
    <t>KNOX, ELIZABETH M.</t>
  </si>
  <si>
    <t>KNOX</t>
  </si>
  <si>
    <t>ELIZABETH</t>
  </si>
  <si>
    <t>MARIE</t>
  </si>
  <si>
    <t>4001</t>
  </si>
  <si>
    <t>ASLETT, MATTHEW D.</t>
  </si>
  <si>
    <t>ASLETT</t>
  </si>
  <si>
    <t>MATTHEW</t>
  </si>
  <si>
    <t>2009</t>
  </si>
  <si>
    <t>38</t>
  </si>
  <si>
    <t>ATHERTON, JEREMY L.</t>
  </si>
  <si>
    <t>ATHERTON</t>
  </si>
  <si>
    <t>JEREMY</t>
  </si>
  <si>
    <t>4033</t>
  </si>
  <si>
    <t>01730</t>
  </si>
  <si>
    <t>GEE, MARCUS L.</t>
  </si>
  <si>
    <t>GEE</t>
  </si>
  <si>
    <t>MARCUS</t>
  </si>
  <si>
    <t>5112</t>
  </si>
  <si>
    <t>WILSON, LAWRENCE D.</t>
  </si>
  <si>
    <t>WILSON</t>
  </si>
  <si>
    <t>LAWRENCE</t>
  </si>
  <si>
    <t>4032</t>
  </si>
  <si>
    <t>HARDY, JOSHUA J.</t>
  </si>
  <si>
    <t>HARDY</t>
  </si>
  <si>
    <t>JOSHUA</t>
  </si>
  <si>
    <t>4066</t>
  </si>
  <si>
    <t xml:space="preserve">DATA SCIENTIST      </t>
  </si>
  <si>
    <t>00804</t>
  </si>
  <si>
    <t>KABEL, ROBERT J.</t>
  </si>
  <si>
    <t>KABEL</t>
  </si>
  <si>
    <t>ROBERT</t>
  </si>
  <si>
    <t>1035</t>
  </si>
  <si>
    <t>IT DATABASE ADMIN AN</t>
  </si>
  <si>
    <t>01726</t>
  </si>
  <si>
    <t xml:space="preserve">ARYAL, MANAS </t>
  </si>
  <si>
    <t>ARYAL</t>
  </si>
  <si>
    <t>MANAS</t>
  </si>
  <si>
    <t>4031</t>
  </si>
  <si>
    <t>IT SOFTWARE ENGINEER</t>
  </si>
  <si>
    <t>01716</t>
  </si>
  <si>
    <t>EWING, AARON J.</t>
  </si>
  <si>
    <t>EWING</t>
  </si>
  <si>
    <t>AARON</t>
  </si>
  <si>
    <t>4065</t>
  </si>
  <si>
    <t>LOWE, CAMERON R.</t>
  </si>
  <si>
    <t>LOWE</t>
  </si>
  <si>
    <t>CAMERON</t>
  </si>
  <si>
    <t>RANDALL</t>
  </si>
  <si>
    <t>4030</t>
  </si>
  <si>
    <t>BARTON, BURKE D.</t>
  </si>
  <si>
    <t>BARTON</t>
  </si>
  <si>
    <t>BURKE</t>
  </si>
  <si>
    <t>4064</t>
  </si>
  <si>
    <t>THOMPSON, ANDY A.</t>
  </si>
  <si>
    <t>THOMPSON</t>
  </si>
  <si>
    <t>ANDY</t>
  </si>
  <si>
    <t>5108</t>
  </si>
  <si>
    <t xml:space="preserve">IT MANAGER V        </t>
  </si>
  <si>
    <t>01745</t>
  </si>
  <si>
    <t>Q</t>
  </si>
  <si>
    <t>POPE, JON C.</t>
  </si>
  <si>
    <t>POPE</t>
  </si>
  <si>
    <t>JON</t>
  </si>
  <si>
    <t xml:space="preserve">HQ   </t>
  </si>
  <si>
    <t>4029</t>
  </si>
  <si>
    <t xml:space="preserve">IT ARCHITECT II     </t>
  </si>
  <si>
    <t>01738</t>
  </si>
  <si>
    <t>DEBOARD, STEPHEN J.</t>
  </si>
  <si>
    <t>DEBOARD</t>
  </si>
  <si>
    <t>STEPHEN</t>
  </si>
  <si>
    <t>JOHNATHON</t>
  </si>
  <si>
    <t>4063</t>
  </si>
  <si>
    <t>DEVOY, ALBERT M.</t>
  </si>
  <si>
    <t>DEVOY</t>
  </si>
  <si>
    <t>ALBERT</t>
  </si>
  <si>
    <t>5028</t>
  </si>
  <si>
    <t>COE, MICHAEL L.</t>
  </si>
  <si>
    <t>COE</t>
  </si>
  <si>
    <t>4028</t>
  </si>
  <si>
    <t>MAMPLE, SHUYLER L.</t>
  </si>
  <si>
    <t>MAMPLE</t>
  </si>
  <si>
    <t>SHUYLER</t>
  </si>
  <si>
    <t>5027</t>
  </si>
  <si>
    <t>CHURCH, DAVID M.</t>
  </si>
  <si>
    <t>CHURCH</t>
  </si>
  <si>
    <t>4027</t>
  </si>
  <si>
    <t>LOYD, TRAVIS W.</t>
  </si>
  <si>
    <t>LOYD</t>
  </si>
  <si>
    <t>TRAVIS</t>
  </si>
  <si>
    <t>5026</t>
  </si>
  <si>
    <t>ANKRUM II, DARROW H.</t>
  </si>
  <si>
    <t>ANKRUM II</t>
  </si>
  <si>
    <t>DARROW</t>
  </si>
  <si>
    <t>HERBERT</t>
  </si>
  <si>
    <t>5024</t>
  </si>
  <si>
    <t xml:space="preserve">BOLSHAW, COZETTE </t>
  </si>
  <si>
    <t>BOLSHAW</t>
  </si>
  <si>
    <t>COZETTE</t>
  </si>
  <si>
    <t>4025</t>
  </si>
  <si>
    <t>SHEETS, MICHAEL L.</t>
  </si>
  <si>
    <t>SHEETS</t>
  </si>
  <si>
    <t>5023</t>
  </si>
  <si>
    <t>SPICKELMIER, KENNETH M.</t>
  </si>
  <si>
    <t>SPICKELMIER</t>
  </si>
  <si>
    <t>KENNETH</t>
  </si>
  <si>
    <t>4024</t>
  </si>
  <si>
    <t>MCFARLAND, PATRICK W.</t>
  </si>
  <si>
    <t>MCFARLAND</t>
  </si>
  <si>
    <t>PATRICK</t>
  </si>
  <si>
    <t>WILLIAM</t>
  </si>
  <si>
    <t>4057</t>
  </si>
  <si>
    <t>LARSEN, SAMUEL D.</t>
  </si>
  <si>
    <t>LARSEN</t>
  </si>
  <si>
    <t>5022</t>
  </si>
  <si>
    <t>01727</t>
  </si>
  <si>
    <t>MCKAY, JOHN D.</t>
  </si>
  <si>
    <t>MCKAY</t>
  </si>
  <si>
    <t>4023</t>
  </si>
  <si>
    <t>LINT, CASSANDRA A.</t>
  </si>
  <si>
    <t>LINT</t>
  </si>
  <si>
    <t>CASSANDRA</t>
  </si>
  <si>
    <t>4055</t>
  </si>
  <si>
    <t xml:space="preserve">KAMBHAMPATI, ANJALI </t>
  </si>
  <si>
    <t>KAMBHAMPATI</t>
  </si>
  <si>
    <t>ANJALI</t>
  </si>
  <si>
    <t>5020</t>
  </si>
  <si>
    <t>COMSTOCK, DAVID M.</t>
  </si>
  <si>
    <t>COMSTOCK</t>
  </si>
  <si>
    <t>4021</t>
  </si>
  <si>
    <t>DAVIS, CHRISTOPHER R.</t>
  </si>
  <si>
    <t>DAVIS</t>
  </si>
  <si>
    <t>4020</t>
  </si>
  <si>
    <t>MALINE, JOSHUA C.</t>
  </si>
  <si>
    <t>MALINE</t>
  </si>
  <si>
    <t>4053</t>
  </si>
  <si>
    <t>WALDRON, KONI D.</t>
  </si>
  <si>
    <t>WALDRON</t>
  </si>
  <si>
    <t>KONI</t>
  </si>
  <si>
    <t>5018</t>
  </si>
  <si>
    <t>HOOD, ROBERT C.</t>
  </si>
  <si>
    <t>HOOD</t>
  </si>
  <si>
    <t>4019</t>
  </si>
  <si>
    <t>HAENER, CHRISTOPHER M.</t>
  </si>
  <si>
    <t>HAENER</t>
  </si>
  <si>
    <t>4052</t>
  </si>
  <si>
    <t>EMIGH, CARA M.</t>
  </si>
  <si>
    <t>EMIGH</t>
  </si>
  <si>
    <t>CARA</t>
  </si>
  <si>
    <t>5016</t>
  </si>
  <si>
    <t>BAKER, RICHARD L.</t>
  </si>
  <si>
    <t>BAKER</t>
  </si>
  <si>
    <t>RICHARD</t>
  </si>
  <si>
    <t>LEWIS</t>
  </si>
  <si>
    <t>5462</t>
  </si>
  <si>
    <t>ARCHULETA, AARON A.</t>
  </si>
  <si>
    <t>ARCHULETA</t>
  </si>
  <si>
    <t>ANDREW</t>
  </si>
  <si>
    <t>4018</t>
  </si>
  <si>
    <t>GABIN, KYLE A.</t>
  </si>
  <si>
    <t>GABIN</t>
  </si>
  <si>
    <t>KYLE</t>
  </si>
  <si>
    <t>AGUSTUS</t>
  </si>
  <si>
    <t>4051</t>
  </si>
  <si>
    <t xml:space="preserve">GASEVIC, MARKO </t>
  </si>
  <si>
    <t>GASEVIC</t>
  </si>
  <si>
    <t>MARKO</t>
  </si>
  <si>
    <t>5015</t>
  </si>
  <si>
    <t>PHELPS, DEAN A.</t>
  </si>
  <si>
    <t>PHELPS</t>
  </si>
  <si>
    <t>DEAN</t>
  </si>
  <si>
    <t>ALLEN</t>
  </si>
  <si>
    <t>5459</t>
  </si>
  <si>
    <t xml:space="preserve">IT MANAGER II       </t>
  </si>
  <si>
    <t>01742</t>
  </si>
  <si>
    <t>TARPO, ZAINE L.</t>
  </si>
  <si>
    <t>TARPO</t>
  </si>
  <si>
    <t>ZAINE</t>
  </si>
  <si>
    <t>4017</t>
  </si>
  <si>
    <t>LEWIS, NATHAN R.</t>
  </si>
  <si>
    <t>NATHAN</t>
  </si>
  <si>
    <t>5014</t>
  </si>
  <si>
    <t>SEIDE, RINEHART W.</t>
  </si>
  <si>
    <t>SEIDE</t>
  </si>
  <si>
    <t>RINEHART</t>
  </si>
  <si>
    <t>4016</t>
  </si>
  <si>
    <t>CHASTEEN, MICAH J.</t>
  </si>
  <si>
    <t>CHASTEEN</t>
  </si>
  <si>
    <t>MICAH</t>
  </si>
  <si>
    <t>5013</t>
  </si>
  <si>
    <t xml:space="preserve">SHAMANNA, ARCHANA </t>
  </si>
  <si>
    <t>SHAMANNA</t>
  </si>
  <si>
    <t>ARCHANA</t>
  </si>
  <si>
    <t>4015</t>
  </si>
  <si>
    <t xml:space="preserve">PROJECT MANAGER 1   </t>
  </si>
  <si>
    <t>05567</t>
  </si>
  <si>
    <t>SCHROEDER, LISA R.</t>
  </si>
  <si>
    <t>SCHROEDER</t>
  </si>
  <si>
    <t>LISA</t>
  </si>
  <si>
    <t>4048</t>
  </si>
  <si>
    <t>HAMILTON, JONATHAN W.</t>
  </si>
  <si>
    <t>HAMILTON</t>
  </si>
  <si>
    <t>JONATHAN</t>
  </si>
  <si>
    <t>5012</t>
  </si>
  <si>
    <t>COOPER, ROBERT M.</t>
  </si>
  <si>
    <t>COOPER</t>
  </si>
  <si>
    <t>4014</t>
  </si>
  <si>
    <t>BALDUS, CHERYL A.</t>
  </si>
  <si>
    <t>BALDUS</t>
  </si>
  <si>
    <t>4047</t>
  </si>
  <si>
    <t>SCOTT, TODD D.</t>
  </si>
  <si>
    <t>TODD</t>
  </si>
  <si>
    <t>5011</t>
  </si>
  <si>
    <t xml:space="preserve">RAMA RAO, SANDHIYA </t>
  </si>
  <si>
    <t>RAMA RAO</t>
  </si>
  <si>
    <t>SANDHIYA</t>
  </si>
  <si>
    <t>5202</t>
  </si>
  <si>
    <t>SCHRIER, NICHOLAS B.</t>
  </si>
  <si>
    <t>SCHRIER</t>
  </si>
  <si>
    <t>NICHOLAS</t>
  </si>
  <si>
    <t>B</t>
  </si>
  <si>
    <t>4013</t>
  </si>
  <si>
    <t xml:space="preserve">GRAHAM, ELIZABETH </t>
  </si>
  <si>
    <t>GRAHAM</t>
  </si>
  <si>
    <t>5010</t>
  </si>
  <si>
    <t>REPP, KENNETH D.</t>
  </si>
  <si>
    <t>REPP</t>
  </si>
  <si>
    <t>5141</t>
  </si>
  <si>
    <t>TILLEY, LUCAS J.</t>
  </si>
  <si>
    <t>TILLEY</t>
  </si>
  <si>
    <t>LUCAS</t>
  </si>
  <si>
    <t>5009</t>
  </si>
  <si>
    <t>HOWELL, DANIEL A.</t>
  </si>
  <si>
    <t>HOWELL</t>
  </si>
  <si>
    <t>9001</t>
  </si>
  <si>
    <t>01733</t>
  </si>
  <si>
    <t>NG</t>
  </si>
  <si>
    <t>5140</t>
  </si>
  <si>
    <t xml:space="preserve">TOKAI, ADAM </t>
  </si>
  <si>
    <t>TOKAI</t>
  </si>
  <si>
    <t>ADAM</t>
  </si>
  <si>
    <t>4011</t>
  </si>
  <si>
    <t>SMITH, CHRIS M.</t>
  </si>
  <si>
    <t>CHRIS</t>
  </si>
  <si>
    <t>4044</t>
  </si>
  <si>
    <t>01717</t>
  </si>
  <si>
    <t>HOARD, DANIEL J.</t>
  </si>
  <si>
    <t>HOARD</t>
  </si>
  <si>
    <t>5008</t>
  </si>
  <si>
    <t>JACKSON, CHARLES A.</t>
  </si>
  <si>
    <t>CHARLES</t>
  </si>
  <si>
    <t>9000</t>
  </si>
  <si>
    <t>5139</t>
  </si>
  <si>
    <t xml:space="preserve">MEHMEDOVIC, ALMEDIN </t>
  </si>
  <si>
    <t>MEHMEDOVIC</t>
  </si>
  <si>
    <t>ALMEDIN</t>
  </si>
  <si>
    <t>4043</t>
  </si>
  <si>
    <t>COPELAND, LARRY D.</t>
  </si>
  <si>
    <t>COPELAND</t>
  </si>
  <si>
    <t>LARRY</t>
  </si>
  <si>
    <t>5007</t>
  </si>
  <si>
    <t xml:space="preserve">AFFOLTER, EHRIN </t>
  </si>
  <si>
    <t>AFFOLTER</t>
  </si>
  <si>
    <t>EHRIN</t>
  </si>
  <si>
    <t>5138</t>
  </si>
  <si>
    <t>O'CONNOR, KEVIN M.</t>
  </si>
  <si>
    <t>O'CONNOR</t>
  </si>
  <si>
    <t>4009</t>
  </si>
  <si>
    <t>BLANCHARD, ROBERT L.</t>
  </si>
  <si>
    <t>BLANCHARD</t>
  </si>
  <si>
    <t>5006</t>
  </si>
  <si>
    <t>BAKER, MATTHEW C.</t>
  </si>
  <si>
    <t>5137</t>
  </si>
  <si>
    <t>ERB, WILLIAM B.</t>
  </si>
  <si>
    <t>ERB</t>
  </si>
  <si>
    <t>BENJAMIN</t>
  </si>
  <si>
    <t>4008</t>
  </si>
  <si>
    <t>TEETS, BRIGETTE F.</t>
  </si>
  <si>
    <t>TEETS</t>
  </si>
  <si>
    <t>BRIGETTE</t>
  </si>
  <si>
    <t>4041</t>
  </si>
  <si>
    <t>GESZVAIN, MICHAELA L.</t>
  </si>
  <si>
    <t>GESZVAIN</t>
  </si>
  <si>
    <t>MICHAELA</t>
  </si>
  <si>
    <t>5005</t>
  </si>
  <si>
    <t>01711</t>
  </si>
  <si>
    <t>BROWN, DOUGLAS R.</t>
  </si>
  <si>
    <t>DOUGLAS</t>
  </si>
  <si>
    <t>4007</t>
  </si>
  <si>
    <t>01728</t>
  </si>
  <si>
    <t>WICKHAM, DEREK M.</t>
  </si>
  <si>
    <t>WICKHAM</t>
  </si>
  <si>
    <t>DEREK</t>
  </si>
  <si>
    <t>4040</t>
  </si>
  <si>
    <t>SMITH, CALEB T.</t>
  </si>
  <si>
    <t>CALEB</t>
  </si>
  <si>
    <t>THOMAS</t>
  </si>
  <si>
    <t>5004</t>
  </si>
  <si>
    <t>DALE, CLINTON A.</t>
  </si>
  <si>
    <t>DALE</t>
  </si>
  <si>
    <t>CLINTON</t>
  </si>
  <si>
    <t>5134</t>
  </si>
  <si>
    <t>SALAS, MATTHEW L.</t>
  </si>
  <si>
    <t>SALAS</t>
  </si>
  <si>
    <t>4006</t>
  </si>
  <si>
    <t>BUTLER, ROBERT A.</t>
  </si>
  <si>
    <t>BUTLER</t>
  </si>
  <si>
    <t>4039</t>
  </si>
  <si>
    <t>RAYNE, BRIAN C.</t>
  </si>
  <si>
    <t>RAYNE</t>
  </si>
  <si>
    <t>5003</t>
  </si>
  <si>
    <t>BURK, MARK A.</t>
  </si>
  <si>
    <t>BURK</t>
  </si>
  <si>
    <t>5128</t>
  </si>
  <si>
    <t>THOMAS, PHILLIP B.</t>
  </si>
  <si>
    <t>PHILLIP</t>
  </si>
  <si>
    <t>4005</t>
  </si>
  <si>
    <t>WALLACE, TAMMY C.</t>
  </si>
  <si>
    <t>WALLACE</t>
  </si>
  <si>
    <t>TAMMY</t>
  </si>
  <si>
    <t>CHRISTINE</t>
  </si>
  <si>
    <t>4038</t>
  </si>
  <si>
    <t>PAPPAS, ANDREW G.</t>
  </si>
  <si>
    <t>PAPPAS</t>
  </si>
  <si>
    <t>GEORGE</t>
  </si>
  <si>
    <t>5002</t>
  </si>
  <si>
    <t>WALBUCK, MCFRANCIS V.</t>
  </si>
  <si>
    <t>WALBUCK</t>
  </si>
  <si>
    <t>MCFRANCIS</t>
  </si>
  <si>
    <t>4022</t>
  </si>
  <si>
    <t>5125</t>
  </si>
  <si>
    <t>BAXTER, TODD R.</t>
  </si>
  <si>
    <t>BAXTER</t>
  </si>
  <si>
    <t>4004</t>
  </si>
  <si>
    <t>FRENCH, MARK J.</t>
  </si>
  <si>
    <t>FRENCH</t>
  </si>
  <si>
    <t>JAMES</t>
  </si>
  <si>
    <t>4037</t>
  </si>
  <si>
    <t>HARRELSON, MICHAEL E.</t>
  </si>
  <si>
    <t>HARRELSON</t>
  </si>
  <si>
    <t>3268</t>
  </si>
  <si>
    <t>5124</t>
  </si>
  <si>
    <t>NYE, JUSTIN S.</t>
  </si>
  <si>
    <t>NYE</t>
  </si>
  <si>
    <t>JUSTIN</t>
  </si>
  <si>
    <t>STEWART</t>
  </si>
  <si>
    <t>4003</t>
  </si>
  <si>
    <t>BLACK, JASON G.</t>
  </si>
  <si>
    <t>BLACK</t>
  </si>
  <si>
    <t>4036</t>
  </si>
  <si>
    <t>LASS, BRYAN W.</t>
  </si>
  <si>
    <t>LASS</t>
  </si>
  <si>
    <t>BRYAN</t>
  </si>
  <si>
    <t>WILHELM</t>
  </si>
  <si>
    <t>5123</t>
  </si>
  <si>
    <t>KORN, TIMOTHY R.</t>
  </si>
  <si>
    <t>KORN</t>
  </si>
  <si>
    <t>TIMOTHY</t>
  </si>
  <si>
    <t>4002</t>
  </si>
  <si>
    <t>NORDBERG, THOMAS A.</t>
  </si>
  <si>
    <t>NORDBERG</t>
  </si>
  <si>
    <t>4035</t>
  </si>
  <si>
    <t>INGERSOLL, JASON R.</t>
  </si>
  <si>
    <t>INGERSOLL</t>
  </si>
  <si>
    <t>4069</t>
  </si>
  <si>
    <t>WITT, DAVID J.</t>
  </si>
  <si>
    <t>WITT</t>
  </si>
  <si>
    <t>5115</t>
  </si>
  <si>
    <t>PATCH, BRIAN D.</t>
  </si>
  <si>
    <t>PATCH</t>
  </si>
  <si>
    <t>4034</t>
  </si>
  <si>
    <t>HUFFAKER, GLEN D.</t>
  </si>
  <si>
    <t>HUFFAKER</t>
  </si>
  <si>
    <t>GLEN</t>
  </si>
  <si>
    <t>4068</t>
  </si>
  <si>
    <t>ALONZO, ESRTEURTO A.</t>
  </si>
  <si>
    <t>ALONZO</t>
  </si>
  <si>
    <t>ESRTEURTO</t>
  </si>
  <si>
    <t>ANTHONY</t>
  </si>
  <si>
    <t>5114</t>
  </si>
  <si>
    <t>GUILLE, JOSHUA R.</t>
  </si>
  <si>
    <t>GUILLE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</si>
  <si>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</si>
  <si>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</si>
  <si>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</si>
  <si>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</si>
  <si>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</si>
  <si>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</si>
  <si>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</si>
  <si>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</si>
  <si>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</si>
  <si>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</si>
  <si>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</si>
  <si>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</si>
  <si>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</si>
  <si>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</si>
  <si>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</si>
  <si>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</si>
  <si>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</si>
  <si>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</si>
  <si>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</si>
  <si>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</si>
  <si>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</si>
  <si>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</si>
  <si>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</si>
  <si>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</si>
  <si>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</si>
  <si>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</si>
  <si>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</si>
  <si>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</si>
  <si>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</si>
  <si>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</si>
  <si>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</si>
  <si>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</si>
  <si>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</si>
  <si>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</si>
  <si>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</si>
  <si>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</si>
  <si>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</si>
  <si>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</si>
  <si>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</si>
  <si>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</si>
  <si>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</si>
  <si>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</si>
  <si>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</si>
  <si>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</si>
  <si>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</si>
  <si>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</si>
  <si>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</si>
  <si>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</si>
  <si>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TEAB 0001-00</t>
  </si>
  <si>
    <t>TEAB 0001</t>
  </si>
  <si>
    <t>Office of the Governor</t>
  </si>
  <si>
    <t>Information Technology Services, Office of</t>
  </si>
  <si>
    <t>General</t>
  </si>
  <si>
    <t>0001-00</t>
  </si>
  <si>
    <t>10000</t>
  </si>
  <si>
    <t>Information Technology Services, Office of, General   TEAB-0001-00</t>
  </si>
  <si>
    <t>TEAB 0450-00</t>
  </si>
  <si>
    <t>TEAB 0450-04</t>
  </si>
  <si>
    <t>TEAB 0450-22</t>
  </si>
  <si>
    <t>TEAB 0450-35</t>
  </si>
  <si>
    <t>TEAB 0450-38</t>
  </si>
  <si>
    <t>TEAB 0450</t>
  </si>
  <si>
    <t>Administration and Accounting Services</t>
  </si>
  <si>
    <t>0450-00</t>
  </si>
  <si>
    <t>45000</t>
  </si>
  <si>
    <t>Information Technology Services, Office of, Administration and Accounting Services   TEAB-0450-00</t>
  </si>
  <si>
    <t>TEAC 0450-00</t>
  </si>
  <si>
    <t>TEAC 0450</t>
  </si>
  <si>
    <t>TEAC</t>
  </si>
  <si>
    <t>Information Technology Services, Office of, Administration and Accounting Services   TEAC-0450-00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</si>
  <si>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</si>
  <si>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</si>
  <si>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</si>
  <si>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</si>
  <si>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</si>
  <si>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</si>
  <si>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</si>
  <si>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</si>
  <si>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0450-04</t>
  </si>
  <si>
    <t>0450-22</t>
  </si>
  <si>
    <t>0450-35</t>
  </si>
  <si>
    <t>0450-38</t>
  </si>
  <si>
    <t>Fund-0450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</si>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</sst>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5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7" fillId="0" borderId="0" xfId="7" applyFont="1" applyBorder="1" applyAlignment="1" applyProtection="1">
      <alignment horizontal="center" vertical="center" wrapText="1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4"/>
      <tableStyleElement type="headerRow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6DA7C-0071-4A46-B233-9AB0039E59B3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829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177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830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833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830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167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831</v>
      </c>
      <c r="J5" s="404"/>
      <c r="K5" s="404"/>
      <c r="L5" s="403"/>
      <c r="M5" s="352" t="s">
        <v>115</v>
      </c>
      <c r="N5" s="32" t="s">
        <v>832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"&amp;'TEAB|0001-00'!FiscalYear-1&amp;" SALARY"</f>
        <v>FY 2022 SALARY</v>
      </c>
      <c r="H8" s="50" t="str">
        <f>"FY "&amp;'TEAB|0001-00'!FiscalYear-1&amp;" HEALTH BENEFITS"</f>
        <v>FY 2022 HEALTH BENEFITS</v>
      </c>
      <c r="I8" s="50" t="str">
        <f>"FY "&amp;'TEAB|0001-00'!FiscalYear-1&amp;" VAR BENEFITS"</f>
        <v>FY 2022 VAR BENEFITS</v>
      </c>
      <c r="J8" s="50" t="str">
        <f>"FY "&amp;'TEAB|0001-00'!FiscalYear-1&amp;" TOTAL"</f>
        <v>FY 2022 TOTAL</v>
      </c>
      <c r="K8" s="50" t="str">
        <f>"FY "&amp;'TEAB|0001-00'!FiscalYear&amp;" SALARY CHANGE"</f>
        <v>FY 2023 SALARY CHANGE</v>
      </c>
      <c r="L8" s="50" t="str">
        <f>"FY "&amp;'TEAB|0001-00'!FiscalYear&amp;" CHG HEALTH BENEFITS"</f>
        <v>FY 2023 CHG HEALTH BENEFITS</v>
      </c>
      <c r="M8" s="50" t="str">
        <f>"FY "&amp;'TEAB|0001-00'!FiscalYear&amp;"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[0]!TEAB000100col_INC_FTI</f>
        <v>12</v>
      </c>
      <c r="G10" s="218">
        <f>[0]!TEAB000100col_FTI_SALARY_PERM</f>
        <v>809140.8</v>
      </c>
      <c r="H10" s="218">
        <f>[0]!TEAB000100col_HEALTH_PERM</f>
        <v>139800</v>
      </c>
      <c r="I10" s="218">
        <f>[0]!TEAB000100col_TOT_VB_PERM</f>
        <v>172424.33457599999</v>
      </c>
      <c r="J10" s="219">
        <f>SUM(G10:I10)</f>
        <v>1121365.134576</v>
      </c>
      <c r="K10" s="219">
        <f>[0]!TEAB000100col_1_27TH_PP</f>
        <v>0</v>
      </c>
      <c r="L10" s="218">
        <f>[0]!TEAB000100col_HEALTH_PERM_CHG</f>
        <v>0</v>
      </c>
      <c r="M10" s="218">
        <f>[0]!TEAB000100col_TOT_VB_PERM_CHG</f>
        <v>-3579.8068799999992</v>
      </c>
      <c r="N10" s="218">
        <f>SUM(L10:M10)</f>
        <v>-3579.8068799999992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8100</v>
      </c>
      <c r="AB10" s="335">
        <f>ROUND(PermVarBen*CECPerm+(CECPerm*PermVarBenChg),-2)</f>
        <v>1700</v>
      </c>
      <c r="AC10" s="335">
        <f>SUM(AA10:AB10)</f>
        <v>9800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[0]!TEAB000100col_Group_Salary</f>
        <v>0</v>
      </c>
      <c r="H11" s="218">
        <v>0</v>
      </c>
      <c r="I11" s="218">
        <f>[0]!TEAB000100col_Group_Ben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[0]!TEAB000100col_TOTAL_ELECT_PCN_FTI</f>
        <v>0</v>
      </c>
      <c r="G12" s="218">
        <f>[0]!TEAB000100col_FTI_SALARY_ELECT</f>
        <v>0</v>
      </c>
      <c r="H12" s="218">
        <f>[0]!TEAB000100col_HEALTH_ELECT</f>
        <v>0</v>
      </c>
      <c r="I12" s="218">
        <f>[0]!TEAB000100col_TOT_VB_ELECT</f>
        <v>0</v>
      </c>
      <c r="J12" s="219">
        <f>SUM(G12:I12)</f>
        <v>0</v>
      </c>
      <c r="K12" s="268"/>
      <c r="L12" s="218">
        <f>[0]!TEAB000100col_HEALTH_ELECT_CHG</f>
        <v>0</v>
      </c>
      <c r="M12" s="218">
        <f>[0]!TEAB000100col_TOT_VB_ELECT_CHG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12</v>
      </c>
      <c r="G13" s="221">
        <f>SUM(G10:G12)</f>
        <v>809140.8</v>
      </c>
      <c r="H13" s="221">
        <f>SUM(H10:H12)</f>
        <v>139800</v>
      </c>
      <c r="I13" s="221">
        <f>SUM(I10:I12)</f>
        <v>172424.33457599999</v>
      </c>
      <c r="J13" s="219">
        <f>SUM(G13:I13)</f>
        <v>1121365.134576</v>
      </c>
      <c r="K13" s="268"/>
      <c r="L13" s="219">
        <f>SUM(L10:L12)</f>
        <v>0</v>
      </c>
      <c r="M13" s="219">
        <f>SUM(M10:M12)</f>
        <v>-3579.8068799999992</v>
      </c>
      <c r="N13" s="219">
        <f>SUM(N10:N12)</f>
        <v>-3579.8068799999992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"&amp;'TEAB|0001-00'!FiscalYear-1</f>
        <v>FY 2022</v>
      </c>
      <c r="D15" s="158" t="s">
        <v>31</v>
      </c>
      <c r="E15" s="355">
        <v>1082500</v>
      </c>
      <c r="F15" s="55">
        <v>16.649999999999999</v>
      </c>
      <c r="G15" s="223">
        <f>IF(OrigApprop=0,0,(G13/$J$13)*OrigApprop)</f>
        <v>781096.97634855146</v>
      </c>
      <c r="H15" s="223">
        <f>IF(OrigApprop=0,0,(H13/$J$13)*OrigApprop)</f>
        <v>134954.70416709609</v>
      </c>
      <c r="I15" s="223">
        <f>IF(G15=0,0,(I13/$J$13)*OrigApprop)</f>
        <v>166448.31948435251</v>
      </c>
      <c r="J15" s="223">
        <f>SUM(G15:I15)</f>
        <v>1082500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4.6499999999999986</v>
      </c>
      <c r="G16" s="162">
        <f>G15-G13</f>
        <v>-28043.823651448591</v>
      </c>
      <c r="H16" s="162">
        <f>H15-H13</f>
        <v>-4845.2958329039102</v>
      </c>
      <c r="I16" s="162">
        <f>I15-I13</f>
        <v>-5976.0150916474813</v>
      </c>
      <c r="J16" s="162">
        <f>J15-J13</f>
        <v>-38865.13457600004</v>
      </c>
      <c r="K16" s="269"/>
      <c r="L16" s="56" t="str">
        <f>IF('TEAB|0001-00'!OrigApprop=0,"ERROR! Enter Original Appropriation amount in DU 3.00!","Calculated "&amp;IF('TEAB|0001-00'!AdjustedTotal&gt;0,"overfunding ","underfunding ")&amp;"is "&amp;TEXT('TEAB|0001-00'!AdjustedTotal/'TEAB|0001-00'!AppropTotal,"#.0%;(#.0% );0% ;")&amp;" of Original Appropriation")</f>
        <v>Calculated underfunding is (3.6%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12</v>
      </c>
      <c r="G38" s="191">
        <f>SUMIF($E10:$E35,$E38,$G10:$G35)</f>
        <v>809140.8</v>
      </c>
      <c r="H38" s="192">
        <f>SUMIF($E10:$E35,$E38,$H10:$H35)</f>
        <v>139800</v>
      </c>
      <c r="I38" s="192">
        <f>SUMIF($E10:$E35,$E38,$I10:$I35)</f>
        <v>172424.33457599999</v>
      </c>
      <c r="J38" s="192">
        <f>SUM(G38:I38)</f>
        <v>1121365.134576</v>
      </c>
      <c r="K38" s="166"/>
      <c r="L38" s="191">
        <f>SUMIF($E10:$E35,$E38,$L10:$L35)</f>
        <v>0</v>
      </c>
      <c r="M38" s="192">
        <f>SUMIF($E10:$E35,$E38,$M10:$M35)</f>
        <v>-3579.8068799999992</v>
      </c>
      <c r="N38" s="192">
        <f>SUM(L38:M38)</f>
        <v>-3579.8068799999992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8100</v>
      </c>
      <c r="AB38" s="338">
        <f>ROUND((AdjPermVB*CECPerm+AdjPermVBBY*CECPerm),-2)</f>
        <v>1700</v>
      </c>
      <c r="AC38" s="338">
        <f>SUM(AA38:AB38)</f>
        <v>9800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12</v>
      </c>
      <c r="G41" s="195">
        <f>SUM($G$38:$G$40)</f>
        <v>809140.8</v>
      </c>
      <c r="H41" s="162">
        <f>SUM($H$38:$H$40)</f>
        <v>139800</v>
      </c>
      <c r="I41" s="162">
        <f>SUM($I$38:$I$40)</f>
        <v>172424.33457599999</v>
      </c>
      <c r="J41" s="162">
        <f>SUM($J$38:$J$40)</f>
        <v>1121365.134576</v>
      </c>
      <c r="K41" s="259"/>
      <c r="L41" s="195">
        <f>SUM($L$38:$L$40)</f>
        <v>0</v>
      </c>
      <c r="M41" s="162">
        <f>SUM($M$38:$M$40)</f>
        <v>-3579.8068799999992</v>
      </c>
      <c r="N41" s="162">
        <f>SUM(L41:M41)</f>
        <v>-3579.8068799999992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4.6500000000000004</v>
      </c>
      <c r="G43" s="206">
        <f>ROUND(G51-G41,-2)</f>
        <v>-28000</v>
      </c>
      <c r="H43" s="159">
        <f>ROUND(H51-H41,-2)</f>
        <v>-4800</v>
      </c>
      <c r="I43" s="159">
        <f>ROUND(I51-I41,-2)</f>
        <v>-6000</v>
      </c>
      <c r="J43" s="159">
        <f>SUM(G43:I43)</f>
        <v>-38800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underfunding is (3.6% ) of Original Appropriation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4.6500000000000004</v>
      </c>
      <c r="G44" s="206">
        <f>ROUND(G60-G41,-2)</f>
        <v>-28000</v>
      </c>
      <c r="H44" s="159">
        <f>ROUND(H60-H41,-2)</f>
        <v>-4800</v>
      </c>
      <c r="I44" s="159">
        <f>ROUND(I60-I41,-2)</f>
        <v>-6000</v>
      </c>
      <c r="J44" s="159">
        <f>SUM(G44:I44)</f>
        <v>-38800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underfunding is (3.6% ) of Estimated Expenditures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4.6500000000000004</v>
      </c>
      <c r="G45" s="206">
        <f>ROUND(G67-G41-G63,-2)</f>
        <v>-28000</v>
      </c>
      <c r="H45" s="206">
        <f>ROUND(H67-H41-H63,-2)</f>
        <v>-4800</v>
      </c>
      <c r="I45" s="206">
        <f>ROUND(I67-I41-I63,-2)</f>
        <v>-6000</v>
      </c>
      <c r="J45" s="159">
        <f>SUM(G45:I45)</f>
        <v>-38800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(3.6% ) of the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1082500</v>
      </c>
      <c r="F51" s="272">
        <f>AppropFTP</f>
        <v>16.649999999999999</v>
      </c>
      <c r="G51" s="274">
        <f>IF(E51=0,0,(G41/$J$41)*$E$51)</f>
        <v>781096.97634855146</v>
      </c>
      <c r="H51" s="274">
        <f>IF(E51=0,0,(H41/$J$41)*$E$51)</f>
        <v>134954.70416709609</v>
      </c>
      <c r="I51" s="275">
        <f>IF(E51=0,0,(I41/$J$41)*$E$51)</f>
        <v>166448.31948435251</v>
      </c>
      <c r="J51" s="90">
        <f>SUM(G51:I51)</f>
        <v>1082500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16.649999999999999</v>
      </c>
      <c r="G52" s="79">
        <f>ROUND(G51,-2)</f>
        <v>781100</v>
      </c>
      <c r="H52" s="79">
        <f>ROUND(H51,-2)</f>
        <v>135000</v>
      </c>
      <c r="I52" s="266">
        <f>ROUND(I51,-2)</f>
        <v>166400</v>
      </c>
      <c r="J52" s="80">
        <f>ROUND(J51,-2)</f>
        <v>1082500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16.649999999999999</v>
      </c>
      <c r="G56" s="80">
        <f>SUM(G52:G55)</f>
        <v>781100</v>
      </c>
      <c r="H56" s="80">
        <f>SUM(H52:H55)</f>
        <v>135000</v>
      </c>
      <c r="I56" s="260">
        <f>SUM(I52:I55)</f>
        <v>166400</v>
      </c>
      <c r="J56" s="80">
        <f>SUM(J52:J55)</f>
        <v>1082500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16.649999999999999</v>
      </c>
      <c r="G60" s="80">
        <f>SUM(G56:G59)</f>
        <v>781100</v>
      </c>
      <c r="H60" s="80">
        <f>SUM(H56:H59)</f>
        <v>135000</v>
      </c>
      <c r="I60" s="260">
        <f>SUM(I56:I59)</f>
        <v>166400</v>
      </c>
      <c r="J60" s="80">
        <f>SUM(J56:J59)</f>
        <v>1082500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16.649999999999999</v>
      </c>
      <c r="G67" s="80">
        <f>SUM(G60:G64)</f>
        <v>781100</v>
      </c>
      <c r="H67" s="80">
        <f>SUM(H60:H64)</f>
        <v>135000</v>
      </c>
      <c r="I67" s="80">
        <f>SUM(I60:I64)</f>
        <v>166400</v>
      </c>
      <c r="J67" s="80">
        <f>SUM(J60:J64)</f>
        <v>1082500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-3600</v>
      </c>
      <c r="J69" s="287">
        <f>SUM(G69:I69)</f>
        <v>-3600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8100</v>
      </c>
      <c r="H72" s="287"/>
      <c r="I72" s="287">
        <f>ROUND(($G72*PermVBBY+$G72*Retire1BY),-2)</f>
        <v>1700</v>
      </c>
      <c r="J72" s="113">
        <f>SUM(G72:I72)</f>
        <v>9800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16.649999999999999</v>
      </c>
      <c r="G75" s="80">
        <f>SUM(G67:G74)</f>
        <v>789200</v>
      </c>
      <c r="H75" s="80">
        <f>SUM(H67:H74)</f>
        <v>135000</v>
      </c>
      <c r="I75" s="80">
        <f>SUM(I67:I74)</f>
        <v>164500</v>
      </c>
      <c r="J75" s="80">
        <f>SUM(J67:K74)</f>
        <v>1088700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16.649999999999999</v>
      </c>
      <c r="G80" s="80">
        <f>SUM(G75:G79)</f>
        <v>789200</v>
      </c>
      <c r="H80" s="80">
        <f>SUM(H75:H79)</f>
        <v>135000</v>
      </c>
      <c r="I80" s="80">
        <f>SUM(I75:I79)</f>
        <v>164500</v>
      </c>
      <c r="J80" s="80">
        <f>SUM(J75:J79)</f>
        <v>1088700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2" priority="5">
      <formula>$J$44&lt;0</formula>
    </cfRule>
  </conditionalFormatting>
  <conditionalFormatting sqref="K43">
    <cfRule type="expression" dxfId="21" priority="4">
      <formula>$J$43&lt;0</formula>
    </cfRule>
  </conditionalFormatting>
  <conditionalFormatting sqref="L16">
    <cfRule type="expression" dxfId="20" priority="3">
      <formula>$J$16&lt;0</formula>
    </cfRule>
  </conditionalFormatting>
  <conditionalFormatting sqref="K45">
    <cfRule type="expression" dxfId="19" priority="2">
      <formula>$J$44&lt;0</formula>
    </cfRule>
  </conditionalFormatting>
  <conditionalFormatting sqref="K43:N45">
    <cfRule type="containsText" dxfId="1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906154-CB58-4F4D-BE9F-C44A2629EF4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DFC46-2F58-493F-8260-2CC62255210B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829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177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830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843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830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167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841</v>
      </c>
      <c r="J5" s="404"/>
      <c r="K5" s="404"/>
      <c r="L5" s="403"/>
      <c r="M5" s="352" t="s">
        <v>115</v>
      </c>
      <c r="N5" s="32" t="s">
        <v>842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"&amp;'TEAB|0450-00'!FiscalYear-1&amp;" SALARY"</f>
        <v>FY 2022 SALARY</v>
      </c>
      <c r="H8" s="50" t="str">
        <f>"FY "&amp;'TEAB|0450-00'!FiscalYear-1&amp;" HEALTH BENEFITS"</f>
        <v>FY 2022 HEALTH BENEFITS</v>
      </c>
      <c r="I8" s="50" t="str">
        <f>"FY "&amp;'TEAB|0450-00'!FiscalYear-1&amp;" VAR BENEFITS"</f>
        <v>FY 2022 VAR BENEFITS</v>
      </c>
      <c r="J8" s="50" t="str">
        <f>"FY "&amp;'TEAB|0450-00'!FiscalYear-1&amp;" TOTAL"</f>
        <v>FY 2022 TOTAL</v>
      </c>
      <c r="K8" s="50" t="str">
        <f>"FY "&amp;'TEAB|0450-00'!FiscalYear&amp;" SALARY CHANGE"</f>
        <v>FY 2023 SALARY CHANGE</v>
      </c>
      <c r="L8" s="50" t="str">
        <f>"FY "&amp;'TEAB|0450-00'!FiscalYear&amp;" CHG HEALTH BENEFITS"</f>
        <v>FY 2023 CHG HEALTH BENEFITS</v>
      </c>
      <c r="M8" s="50" t="str">
        <f>"FY "&amp;'TEAB|0450-00'!FiscalYear&amp;"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[0]!TEAB045000col_INC_FTI</f>
        <v>119</v>
      </c>
      <c r="G10" s="218">
        <f>[0]!TEAB045000col_FTI_SALARY_PERM</f>
        <v>8478683.1999999974</v>
      </c>
      <c r="H10" s="218">
        <f>[0]!TEAB045000col_HEALTH_PERM</f>
        <v>1386350</v>
      </c>
      <c r="I10" s="218">
        <f>[0]!TEAB045000col_TOT_VB_PERM</f>
        <v>1827580.1637600008</v>
      </c>
      <c r="J10" s="219">
        <f>SUM(G10:I10)</f>
        <v>11692613.363759998</v>
      </c>
      <c r="K10" s="219">
        <f>[0]!TEAB045000col_1_27TH_PP</f>
        <v>0</v>
      </c>
      <c r="L10" s="218">
        <f>[0]!TEAB045000col_HEALTH_PERM_CHG</f>
        <v>0</v>
      </c>
      <c r="M10" s="218">
        <f>[0]!TEAB045000col_TOT_VB_PERM_CHG</f>
        <v>-44089.152640000015</v>
      </c>
      <c r="N10" s="218">
        <f>SUM(L10:M10)</f>
        <v>-44089.152640000015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84800</v>
      </c>
      <c r="AB10" s="335">
        <f>ROUND(PermVarBen*CECPerm+(CECPerm*PermVarBenChg),-2)</f>
        <v>17800</v>
      </c>
      <c r="AC10" s="335">
        <f>SUM(AA10:AB10)</f>
        <v>102600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[0]!TEAB045000col_Group_Salary</f>
        <v>13981.5</v>
      </c>
      <c r="H11" s="218">
        <v>0</v>
      </c>
      <c r="I11" s="218">
        <f>[0]!TEAB045000col_Group_Ben</f>
        <v>4762.54</v>
      </c>
      <c r="J11" s="219">
        <f>SUM(G11:I11)</f>
        <v>18744.04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[0]!TEAB045000col_TOTAL_ELECT_PCN_FTI</f>
        <v>0</v>
      </c>
      <c r="G12" s="218">
        <f>[0]!TEAB045000col_FTI_SALARY_ELECT</f>
        <v>0</v>
      </c>
      <c r="H12" s="218">
        <f>[0]!TEAB045000col_HEALTH_ELECT</f>
        <v>0</v>
      </c>
      <c r="I12" s="218">
        <f>[0]!TEAB045000col_TOT_VB_ELECT</f>
        <v>0</v>
      </c>
      <c r="J12" s="219">
        <f>SUM(G12:I12)</f>
        <v>0</v>
      </c>
      <c r="K12" s="268"/>
      <c r="L12" s="218">
        <f>[0]!TEAB045000col_HEALTH_ELECT_CHG</f>
        <v>0</v>
      </c>
      <c r="M12" s="218">
        <f>[0]!TEAB045000col_TOT_VB_ELECT_CHG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119</v>
      </c>
      <c r="G13" s="221">
        <f>SUM(G10:G12)</f>
        <v>8492664.6999999974</v>
      </c>
      <c r="H13" s="221">
        <f>SUM(H10:H12)</f>
        <v>1386350</v>
      </c>
      <c r="I13" s="221">
        <f>SUM(I10:I12)</f>
        <v>1832342.7037600009</v>
      </c>
      <c r="J13" s="219">
        <f>SUM(G13:I13)</f>
        <v>11711357.403759997</v>
      </c>
      <c r="K13" s="268"/>
      <c r="L13" s="219">
        <f>SUM(L10:L12)</f>
        <v>0</v>
      </c>
      <c r="M13" s="219">
        <f>SUM(M10:M12)</f>
        <v>-44089.152640000015</v>
      </c>
      <c r="N13" s="219">
        <f>SUM(N10:N12)</f>
        <v>-44089.152640000015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"&amp;'TEAB|0450-00'!FiscalYear-1</f>
        <v>FY 2022</v>
      </c>
      <c r="D15" s="158" t="s">
        <v>31</v>
      </c>
      <c r="E15" s="355">
        <v>12196300</v>
      </c>
      <c r="F15" s="55">
        <v>118.35</v>
      </c>
      <c r="G15" s="223">
        <f>IF(OrigApprop=0,0,(G13/$J$13)*OrigApprop)</f>
        <v>8844328.0236119609</v>
      </c>
      <c r="H15" s="223">
        <f>IF(OrigApprop=0,0,(H13/$J$13)*OrigApprop)</f>
        <v>1443755.8279599154</v>
      </c>
      <c r="I15" s="223">
        <f>IF(G15=0,0,(I13/$J$13)*OrigApprop)</f>
        <v>1908216.1484281244</v>
      </c>
      <c r="J15" s="223">
        <f>SUM(G15:I15)</f>
        <v>12196300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-0.65000000000000568</v>
      </c>
      <c r="G16" s="162">
        <f>G15-G13</f>
        <v>351663.32361196354</v>
      </c>
      <c r="H16" s="162">
        <f>H15-H13</f>
        <v>57405.82795991539</v>
      </c>
      <c r="I16" s="162">
        <f>I15-I13</f>
        <v>75873.444668123499</v>
      </c>
      <c r="J16" s="162">
        <f>J15-J13</f>
        <v>484942.59624000266</v>
      </c>
      <c r="K16" s="269"/>
      <c r="L16" s="56" t="str">
        <f>IF('TEAB|0450-00'!OrigApprop=0,"ERROR! Enter Original Appropriation amount in DU 3.00!","Calculated "&amp;IF('TEAB|0450-00'!AdjustedTotal&gt;0,"overfunding ","underfunding ")&amp;"is "&amp;TEXT('TEAB|0450-00'!AdjustedTotal/'TEAB|0450-00'!AppropTotal,"#.0%;(#.0% );0% ;")&amp;" of Original Appropriation")</f>
        <v>Calculated overfunding is 4.0%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119</v>
      </c>
      <c r="G38" s="191">
        <f>SUMIF($E10:$E35,$E38,$G10:$G35)</f>
        <v>8478683.1999999974</v>
      </c>
      <c r="H38" s="192">
        <f>SUMIF($E10:$E35,$E38,$H10:$H35)</f>
        <v>1386350</v>
      </c>
      <c r="I38" s="192">
        <f>SUMIF($E10:$E35,$E38,$I10:$I35)</f>
        <v>1827580.1637600008</v>
      </c>
      <c r="J38" s="192">
        <f>SUM(G38:I38)</f>
        <v>11692613.363759998</v>
      </c>
      <c r="K38" s="166"/>
      <c r="L38" s="191">
        <f>SUMIF($E10:$E35,$E38,$L10:$L35)</f>
        <v>0</v>
      </c>
      <c r="M38" s="192">
        <f>SUMIF($E10:$E35,$E38,$M10:$M35)</f>
        <v>-44089.152640000015</v>
      </c>
      <c r="N38" s="192">
        <f>SUM(L38:M38)</f>
        <v>-44089.152640000015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84800</v>
      </c>
      <c r="AB38" s="338">
        <f>ROUND((AdjPermVB*CECPerm+AdjPermVBBY*CECPerm),-2)</f>
        <v>17800</v>
      </c>
      <c r="AC38" s="338">
        <f>SUM(AA38:AB38)</f>
        <v>102600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13981.5</v>
      </c>
      <c r="H39" s="152">
        <f>SUMIF($E10:$E35,$E39,$H10:$H35)</f>
        <v>0</v>
      </c>
      <c r="I39" s="152">
        <f>SUMIF($E10:$E35,$E39,$I10:$I35)</f>
        <v>4762.54</v>
      </c>
      <c r="J39" s="152">
        <f>SUM(G39:I39)</f>
        <v>18744.04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119</v>
      </c>
      <c r="G41" s="195">
        <f>SUM($G$38:$G$40)</f>
        <v>8492664.6999999974</v>
      </c>
      <c r="H41" s="162">
        <f>SUM($H$38:$H$40)</f>
        <v>1386350</v>
      </c>
      <c r="I41" s="162">
        <f>SUM($I$38:$I$40)</f>
        <v>1832342.7037600009</v>
      </c>
      <c r="J41" s="162">
        <f>SUM($J$38:$J$40)</f>
        <v>11711357.403759997</v>
      </c>
      <c r="K41" s="259"/>
      <c r="L41" s="195">
        <f>SUM($L$38:$L$40)</f>
        <v>0</v>
      </c>
      <c r="M41" s="162">
        <f>SUM($M$38:$M$40)</f>
        <v>-44089.152640000015</v>
      </c>
      <c r="N41" s="162">
        <f>SUM(L41:M41)</f>
        <v>-44089.152640000015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-0.65</v>
      </c>
      <c r="G43" s="206">
        <f>ROUND(G51-G41,-2)</f>
        <v>351700</v>
      </c>
      <c r="H43" s="159">
        <f>ROUND(H51-H41,-2)</f>
        <v>57400</v>
      </c>
      <c r="I43" s="159">
        <f>ROUND(I51-I41,-2)</f>
        <v>75900</v>
      </c>
      <c r="J43" s="159">
        <f>SUM(G43:I43)</f>
        <v>485000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4.0% of Original Appropriation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-0.65</v>
      </c>
      <c r="G44" s="206">
        <f>ROUND(G60-G41,-2)</f>
        <v>351600</v>
      </c>
      <c r="H44" s="159">
        <f>ROUND(H60-H41,-2)</f>
        <v>57500</v>
      </c>
      <c r="I44" s="159">
        <f>ROUND(I60-I41,-2)</f>
        <v>75900</v>
      </c>
      <c r="J44" s="159">
        <f>SUM(G44:I44)</f>
        <v>485000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4.0% of Estimated Expenditures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-0.65</v>
      </c>
      <c r="G45" s="206">
        <f>ROUND(G67-G41-G63,-2)</f>
        <v>351600</v>
      </c>
      <c r="H45" s="206">
        <f>ROUND(H67-H41-H63,-2)</f>
        <v>57500</v>
      </c>
      <c r="I45" s="206">
        <f>ROUND(I67-I41-I63,-2)</f>
        <v>75900</v>
      </c>
      <c r="J45" s="159">
        <f>SUM(G45:I45)</f>
        <v>485000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4.0% of the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12196300</v>
      </c>
      <c r="F51" s="272">
        <f>AppropFTP</f>
        <v>118.35</v>
      </c>
      <c r="G51" s="274">
        <f>IF(E51=0,0,(G41/$J$41)*$E$51)</f>
        <v>8844328.0236119609</v>
      </c>
      <c r="H51" s="274">
        <f>IF(E51=0,0,(H41/$J$41)*$E$51)</f>
        <v>1443755.8279599154</v>
      </c>
      <c r="I51" s="275">
        <f>IF(E51=0,0,(I41/$J$41)*$E$51)</f>
        <v>1908216.1484281244</v>
      </c>
      <c r="J51" s="90">
        <f>SUM(G51:I51)</f>
        <v>12196300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118.35</v>
      </c>
      <c r="G52" s="79">
        <f>ROUND(G51,-2)</f>
        <v>8844300</v>
      </c>
      <c r="H52" s="79">
        <f>ROUND(H51,-2)</f>
        <v>1443800</v>
      </c>
      <c r="I52" s="266">
        <f>ROUND(I51,-2)</f>
        <v>1908200</v>
      </c>
      <c r="J52" s="80">
        <f>ROUND(J51,-2)</f>
        <v>12196300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118.35</v>
      </c>
      <c r="G56" s="80">
        <f>SUM(G52:G55)</f>
        <v>8844300</v>
      </c>
      <c r="H56" s="80">
        <f>SUM(H52:H55)</f>
        <v>1443800</v>
      </c>
      <c r="I56" s="260">
        <f>SUM(I52:I55)</f>
        <v>1908200</v>
      </c>
      <c r="J56" s="80">
        <f>SUM(J52:J55)</f>
        <v>12196300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118.35</v>
      </c>
      <c r="G60" s="80">
        <f>SUM(G56:G59)</f>
        <v>8844300</v>
      </c>
      <c r="H60" s="80">
        <f>SUM(H56:H59)</f>
        <v>1443800</v>
      </c>
      <c r="I60" s="260">
        <f>SUM(I56:I59)</f>
        <v>1908200</v>
      </c>
      <c r="J60" s="80">
        <f>SUM(J56:J59)</f>
        <v>12196300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118.35</v>
      </c>
      <c r="G67" s="80">
        <f>SUM(G60:G64)</f>
        <v>8844300</v>
      </c>
      <c r="H67" s="80">
        <f>SUM(H60:H64)</f>
        <v>1443800</v>
      </c>
      <c r="I67" s="80">
        <f>SUM(I60:I64)</f>
        <v>1908200</v>
      </c>
      <c r="J67" s="80">
        <f>SUM(J60:J64)</f>
        <v>12196300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-44100</v>
      </c>
      <c r="J69" s="287">
        <f>SUM(G69:I69)</f>
        <v>-44100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84800</v>
      </c>
      <c r="H72" s="287"/>
      <c r="I72" s="287">
        <f>ROUND(($G72*PermVBBY+$G72*Retire1BY),-2)</f>
        <v>17800</v>
      </c>
      <c r="J72" s="113">
        <f>SUM(G72:I72)</f>
        <v>102600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118.35</v>
      </c>
      <c r="G75" s="80">
        <f>SUM(G67:G74)</f>
        <v>8929200</v>
      </c>
      <c r="H75" s="80">
        <f>SUM(H67:H74)</f>
        <v>1443800</v>
      </c>
      <c r="I75" s="80">
        <f>SUM(I67:I74)</f>
        <v>1881900</v>
      </c>
      <c r="J75" s="80">
        <f>SUM(J67:K74)</f>
        <v>12254900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118.35</v>
      </c>
      <c r="G80" s="80">
        <f>SUM(G75:G79)</f>
        <v>8929200</v>
      </c>
      <c r="H80" s="80">
        <f>SUM(H75:H79)</f>
        <v>1443800</v>
      </c>
      <c r="I80" s="80">
        <f>SUM(I75:I79)</f>
        <v>1881900</v>
      </c>
      <c r="J80" s="80">
        <f>SUM(J75:J79)</f>
        <v>12254900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7" priority="5">
      <formula>$J$44&lt;0</formula>
    </cfRule>
  </conditionalFormatting>
  <conditionalFormatting sqref="K43">
    <cfRule type="expression" dxfId="16" priority="4">
      <formula>$J$43&lt;0</formula>
    </cfRule>
  </conditionalFormatting>
  <conditionalFormatting sqref="L16">
    <cfRule type="expression" dxfId="15" priority="3">
      <formula>$J$16&lt;0</formula>
    </cfRule>
  </conditionalFormatting>
  <conditionalFormatting sqref="K45">
    <cfRule type="expression" dxfId="14" priority="2">
      <formula>$J$44&lt;0</formula>
    </cfRule>
  </conditionalFormatting>
  <conditionalFormatting sqref="K43:N45">
    <cfRule type="containsText" dxfId="13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683720-E28C-43D2-A03E-09A6AA9D7B2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8C79-BCED-4B2E-B442-2BD23152FE2F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829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177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830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843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830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847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841</v>
      </c>
      <c r="J5" s="404"/>
      <c r="K5" s="404"/>
      <c r="L5" s="403"/>
      <c r="M5" s="352" t="s">
        <v>115</v>
      </c>
      <c r="N5" s="32" t="s">
        <v>842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"&amp;'TEAC|0450-00'!FiscalYear-1&amp;" SALARY"</f>
        <v>FY 2022 SALARY</v>
      </c>
      <c r="H8" s="50" t="str">
        <f>"FY "&amp;'TEAC|0450-00'!FiscalYear-1&amp;" HEALTH BENEFITS"</f>
        <v>FY 2022 HEALTH BENEFITS</v>
      </c>
      <c r="I8" s="50" t="str">
        <f>"FY "&amp;'TEAC|0450-00'!FiscalYear-1&amp;" VAR BENEFITS"</f>
        <v>FY 2022 VAR BENEFITS</v>
      </c>
      <c r="J8" s="50" t="str">
        <f>"FY "&amp;'TEAC|0450-00'!FiscalYear-1&amp;" TOTAL"</f>
        <v>FY 2022 TOTAL</v>
      </c>
      <c r="K8" s="50" t="str">
        <f>"FY "&amp;'TEAC|0450-00'!FiscalYear&amp;" SALARY CHANGE"</f>
        <v>FY 2023 SALARY CHANGE</v>
      </c>
      <c r="L8" s="50" t="str">
        <f>"FY "&amp;'TEAC|0450-00'!FiscalYear&amp;" CHG HEALTH BENEFITS"</f>
        <v>FY 2023 CHG HEALTH BENEFITS</v>
      </c>
      <c r="M8" s="50" t="str">
        <f>"FY "&amp;'TEAC|0450-00'!FiscalYear&amp;"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[0]!TEAC045000col_INC_FTI</f>
        <v>0</v>
      </c>
      <c r="G10" s="218">
        <f>[0]!TEAC045000col_FTI_SALARY_PERM</f>
        <v>0</v>
      </c>
      <c r="H10" s="218">
        <f>[0]!TEAC045000col_HEALTH_PERM</f>
        <v>0</v>
      </c>
      <c r="I10" s="218">
        <f>[0]!TEAC045000col_TOT_VB_PERM</f>
        <v>0</v>
      </c>
      <c r="J10" s="219">
        <f>SUM(G10:I10)</f>
        <v>0</v>
      </c>
      <c r="K10" s="219">
        <f>[0]!TEAC045000col_1_27TH_PP</f>
        <v>0</v>
      </c>
      <c r="L10" s="218">
        <f>[0]!TEAC045000col_HEALTH_PERM_CHG</f>
        <v>0</v>
      </c>
      <c r="M10" s="218">
        <f>[0]!TEAC045000col_TOT_VB_PERM_CHG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[0]!TEAC045000col_Group_Salary</f>
        <v>0</v>
      </c>
      <c r="H11" s="218">
        <v>0</v>
      </c>
      <c r="I11" s="218">
        <f>[0]!TEAC045000col_Group_Ben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[0]!TEAC045000col_TOTAL_ELECT_PCN_FTI</f>
        <v>0</v>
      </c>
      <c r="G12" s="218">
        <f>[0]!TEAC045000col_FTI_SALARY_ELECT</f>
        <v>0</v>
      </c>
      <c r="H12" s="218">
        <f>[0]!TEAC045000col_HEALTH_ELECT</f>
        <v>0</v>
      </c>
      <c r="I12" s="218">
        <f>[0]!TEAC045000col_TOT_VB_ELECT</f>
        <v>0</v>
      </c>
      <c r="J12" s="219">
        <f>SUM(G12:I12)</f>
        <v>0</v>
      </c>
      <c r="K12" s="268"/>
      <c r="L12" s="218">
        <f>[0]!TEAC045000col_HEALTH_ELECT_CHG</f>
        <v>0</v>
      </c>
      <c r="M12" s="218">
        <f>[0]!TEAC045000col_TOT_VB_ELECT_CHG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"&amp;'TEAC|0450-00'!FiscalYear-1</f>
        <v>FY 2022</v>
      </c>
      <c r="D15" s="158" t="s">
        <v>31</v>
      </c>
      <c r="E15" s="355">
        <v>12196300</v>
      </c>
      <c r="F15" s="55">
        <v>118.35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118.35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IF('TEAC|0450-00'!OrigApprop=0,"ERROR! Enter Original Appropriation amount in DU 3.00!","Calculated "&amp;IF('TEAC|0450-00'!AdjustedTotal&gt;0,"overfunding ","underfunding ")&amp;"is "&amp;TEXT('TEAC|0450-00'!AdjustedTotal/'TEAC|0450-00'!AppropTotal,"#.0%;(#.0%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118.35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13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118.35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13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118.35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13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12196300</v>
      </c>
      <c r="F51" s="272">
        <f>AppropFTP</f>
        <v>118.35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118.35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118.35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118.35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118.35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118.35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118.35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2" priority="5">
      <formula>$J$44&lt;0</formula>
    </cfRule>
  </conditionalFormatting>
  <conditionalFormatting sqref="K43">
    <cfRule type="expression" dxfId="11" priority="4">
      <formula>$J$43&lt;0</formula>
    </cfRule>
  </conditionalFormatting>
  <conditionalFormatting sqref="L16">
    <cfRule type="expression" dxfId="10" priority="3">
      <formula>$J$16&lt;0</formula>
    </cfRule>
  </conditionalFormatting>
  <conditionalFormatting sqref="K45">
    <cfRule type="expression" dxfId="9" priority="2">
      <formula>$J$44&lt;0</formula>
    </cfRule>
  </conditionalFormatting>
  <conditionalFormatting sqref="K43:N45">
    <cfRule type="containsText" dxfId="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43F193-E675-490C-B6A7-AC9F277BC2A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O206"/>
  <sheetViews>
    <sheetView workbookViewId="0">
      <pane xSplit="3" ySplit="1" topLeftCell="AM183" activePane="bottomRight" state="frozen"/>
      <selection pane="topRight" activeCell="D1" sqref="D1"/>
      <selection pane="bottomLeft" activeCell="A2" sqref="A2"/>
      <selection pane="bottomRight" activeCell="AS190" sqref="AS190:BA206"/>
    </sheetView>
  </sheetViews>
  <sheetFormatPr defaultRowHeight="14.4" x14ac:dyDescent="0.3"/>
  <cols>
    <col min="45" max="53" width="15.77734375" customWidth="1"/>
    <col min="54" max="54" width="13.44140625" bestFit="1" customWidth="1"/>
    <col min="55" max="55" width="9" bestFit="1" customWidth="1"/>
    <col min="56" max="57" width="11.6640625" bestFit="1" customWidth="1"/>
    <col min="58" max="58" width="13.44140625" bestFit="1" customWidth="1"/>
    <col min="59" max="62" width="10.5546875" bestFit="1" customWidth="1"/>
    <col min="63" max="63" width="9" bestFit="1" customWidth="1"/>
    <col min="64" max="64" width="13.44140625" bestFit="1" customWidth="1"/>
    <col min="65" max="65" width="9" bestFit="1" customWidth="1"/>
    <col min="66" max="66" width="13.44140625" bestFit="1" customWidth="1"/>
    <col min="67" max="67" width="9" bestFit="1" customWidth="1"/>
    <col min="68" max="69" width="11.6640625" bestFit="1" customWidth="1"/>
    <col min="70" max="70" width="13.44140625" bestFit="1" customWidth="1"/>
    <col min="71" max="71" width="10.5546875" bestFit="1" customWidth="1"/>
    <col min="72" max="72" width="9" bestFit="1" customWidth="1"/>
    <col min="73" max="74" width="10.5546875" bestFit="1" customWidth="1"/>
    <col min="75" max="75" width="9" bestFit="1" customWidth="1"/>
    <col min="76" max="76" width="13.44140625" bestFit="1" customWidth="1"/>
    <col min="77" max="83" width="9" bestFit="1" customWidth="1"/>
    <col min="84" max="84" width="11.21875" bestFit="1" customWidth="1"/>
    <col min="85" max="85" width="9" bestFit="1" customWidth="1"/>
    <col min="86" max="86" width="10.109375" bestFit="1" customWidth="1"/>
    <col min="87" max="87" width="9" bestFit="1" customWidth="1"/>
    <col min="88" max="88" width="11.21875" bestFit="1" customWidth="1"/>
    <col min="89" max="89" width="9" bestFit="1" customWidth="1"/>
    <col min="90" max="90" width="10.5546875" bestFit="1" customWidth="1"/>
    <col min="91" max="91" width="9.44140625" bestFit="1" customWidth="1"/>
  </cols>
  <sheetData>
    <row r="1" spans="1:92" ht="12.75" customHeight="1" thickBot="1" x14ac:dyDescent="0.35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461" t="s">
        <v>779</v>
      </c>
      <c r="AT1" s="461" t="s">
        <v>780</v>
      </c>
      <c r="AU1" s="461" t="s">
        <v>781</v>
      </c>
      <c r="AV1" s="461" t="s">
        <v>782</v>
      </c>
      <c r="AW1" s="461" t="s">
        <v>783</v>
      </c>
      <c r="AX1" s="461" t="s">
        <v>784</v>
      </c>
      <c r="AY1" s="461" t="s">
        <v>785</v>
      </c>
      <c r="AZ1" s="461" t="s">
        <v>786</v>
      </c>
      <c r="BA1" s="463" t="s">
        <v>787</v>
      </c>
      <c r="BB1" s="464" t="s">
        <v>788</v>
      </c>
      <c r="BC1" s="464" t="s">
        <v>789</v>
      </c>
      <c r="BD1" s="464" t="s">
        <v>790</v>
      </c>
      <c r="BE1" s="464" t="s">
        <v>791</v>
      </c>
      <c r="BF1" s="464" t="s">
        <v>792</v>
      </c>
      <c r="BG1" s="464" t="s">
        <v>793</v>
      </c>
      <c r="BH1" s="464" t="s">
        <v>794</v>
      </c>
      <c r="BI1" s="464" t="s">
        <v>795</v>
      </c>
      <c r="BJ1" s="464" t="s">
        <v>796</v>
      </c>
      <c r="BK1" s="464" t="s">
        <v>797</v>
      </c>
      <c r="BL1" s="465" t="s">
        <v>798</v>
      </c>
      <c r="BM1" s="465" t="s">
        <v>799</v>
      </c>
      <c r="BN1" s="464" t="s">
        <v>800</v>
      </c>
      <c r="BO1" s="464" t="s">
        <v>801</v>
      </c>
      <c r="BP1" s="464" t="s">
        <v>802</v>
      </c>
      <c r="BQ1" s="464" t="s">
        <v>803</v>
      </c>
      <c r="BR1" s="464" t="s">
        <v>804</v>
      </c>
      <c r="BS1" s="464" t="s">
        <v>805</v>
      </c>
      <c r="BT1" s="464" t="s">
        <v>806</v>
      </c>
      <c r="BU1" s="464" t="s">
        <v>807</v>
      </c>
      <c r="BV1" s="464" t="s">
        <v>808</v>
      </c>
      <c r="BW1" s="464" t="s">
        <v>809</v>
      </c>
      <c r="BX1" s="465" t="s">
        <v>810</v>
      </c>
      <c r="BY1" s="465" t="s">
        <v>811</v>
      </c>
      <c r="BZ1" s="464" t="s">
        <v>812</v>
      </c>
      <c r="CA1" s="464" t="s">
        <v>813</v>
      </c>
      <c r="CB1" s="464" t="s">
        <v>814</v>
      </c>
      <c r="CC1" s="464" t="s">
        <v>815</v>
      </c>
      <c r="CD1" s="464" t="s">
        <v>816</v>
      </c>
      <c r="CE1" s="464" t="s">
        <v>817</v>
      </c>
      <c r="CF1" s="464" t="s">
        <v>818</v>
      </c>
      <c r="CG1" s="464" t="s">
        <v>819</v>
      </c>
      <c r="CH1" s="464" t="s">
        <v>820</v>
      </c>
      <c r="CI1" s="464" t="s">
        <v>821</v>
      </c>
      <c r="CJ1" s="465" t="s">
        <v>822</v>
      </c>
      <c r="CK1" s="465" t="s">
        <v>823</v>
      </c>
      <c r="CL1" s="466" t="s">
        <v>824</v>
      </c>
      <c r="CM1" s="466" t="s">
        <v>825</v>
      </c>
      <c r="CN1" s="466" t="s">
        <v>826</v>
      </c>
    </row>
    <row r="2" spans="1:92" ht="15" thickBot="1" x14ac:dyDescent="0.35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460">
        <v>0</v>
      </c>
      <c r="Q2" s="460">
        <v>0</v>
      </c>
      <c r="R2" s="380">
        <v>80</v>
      </c>
      <c r="S2" s="460">
        <v>0</v>
      </c>
      <c r="T2" s="380">
        <v>65680.03</v>
      </c>
      <c r="U2" s="380">
        <v>0</v>
      </c>
      <c r="V2" s="380">
        <v>23375.22</v>
      </c>
      <c r="W2" s="380">
        <v>0</v>
      </c>
      <c r="X2" s="380">
        <v>0</v>
      </c>
      <c r="Y2" s="380">
        <v>0</v>
      </c>
      <c r="Z2" s="380">
        <v>0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42.9</v>
      </c>
      <c r="AI2" s="381">
        <v>19882.599999999999</v>
      </c>
      <c r="AJ2" s="376" t="s">
        <v>179</v>
      </c>
      <c r="AK2" s="376" t="s">
        <v>180</v>
      </c>
      <c r="AL2" s="376" t="s">
        <v>181</v>
      </c>
      <c r="AM2" s="376" t="s">
        <v>182</v>
      </c>
      <c r="AN2" s="376" t="s">
        <v>68</v>
      </c>
      <c r="AO2" s="379">
        <v>80</v>
      </c>
      <c r="AP2" s="460">
        <v>1</v>
      </c>
      <c r="AQ2" s="460">
        <v>0</v>
      </c>
      <c r="AR2" s="458" t="s">
        <v>183</v>
      </c>
      <c r="AS2" s="462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462" t="str">
        <f>IF(AT2=0,"",IF(AND(AT2=1,M2="F",SUMIF(C2:C170,C2,AS2:AS170)&lt;=1),SUMIF(C2:C170,C2,AS2:AS170),IF(AND(AT2=1,M2="F",SUMIF(C2:C170,C2,AS2:AS170)&gt;1),1,"")))</f>
        <v/>
      </c>
      <c r="AV2" s="462" t="str">
        <f>IF(AT2=0,"",IF(AND(AT2=3,M2="F",SUMIF(C2:C170,C2,AS2:AS170)&lt;=1),SUMIF(C2:C170,C2,AS2:AS170),IF(AND(AT2=3,M2="F",SUMIF(C2:C170,C2,AS2:AS170)&gt;1),1,"")))</f>
        <v/>
      </c>
      <c r="AW2" s="462">
        <f>SUMIF(C2:C170,C2,O2:O170)</f>
        <v>2</v>
      </c>
      <c r="AX2" s="462">
        <f>IF(AND(M2="F",AS2&lt;&gt;0),SUMIF(C2:C170,C2,W2:W170),0)</f>
        <v>0</v>
      </c>
      <c r="AY2" s="462" t="str">
        <f>IF(AT2=1,W2,"")</f>
        <v/>
      </c>
      <c r="AZ2" s="462" t="str">
        <f>IF(AT2=3,W2,"")</f>
        <v/>
      </c>
      <c r="BA2" s="462">
        <f>IF(AT2=1,Y2-W2,0)</f>
        <v>0</v>
      </c>
      <c r="BB2" s="462">
        <f>IF(AND(AT2=1,AK2="E",AU2&gt;=0.75,AW2=1),Health,IF(AND(AT2=1,AK2="E",AU2&gt;=0.75),Health*P2,IF(AND(AT2=1,AK2="E",AU2&gt;=0.5,AW2=1),PTHealth,IF(AND(AT2=1,AK2="E",AU2&gt;=0.5),PTHealth*P2,0))))</f>
        <v>0</v>
      </c>
      <c r="BC2" s="462">
        <f>IF(AND(AT2=3,AK2="E",AV2&gt;=0.75,AW2=1),Health,IF(AND(AT2=3,AK2="E",AV2&gt;=0.75),Health*P2,IF(AND(AT2=3,AK2="E",AV2&gt;=0.5,AW2=1),PTHealth,IF(AND(AT2=3,AK2="E",AV2&gt;=0.5),PTHealth*P2,0))))</f>
        <v>0</v>
      </c>
      <c r="BD2" s="462">
        <f>IF(AND(AT2&lt;&gt;0,AX2&gt;=MAXSSDI),SSDI*MAXSSDI*P2,IF(AT2&lt;&gt;0,SSDI*W2,0))</f>
        <v>0</v>
      </c>
      <c r="BE2" s="462">
        <f>IF(AT2&lt;&gt;0,SSHI*W2,0)</f>
        <v>0</v>
      </c>
      <c r="BF2" s="462">
        <f>IF(AND(AT2&lt;&gt;0,AN2&lt;&gt;"NE"),VLOOKUP(AN2,Retirement_Rates,3,FALSE)*W2,0)</f>
        <v>0</v>
      </c>
      <c r="BG2" s="462">
        <f>IF(AND(AT2&lt;&gt;0,AJ2&lt;&gt;"PF"),Life*W2,0)</f>
        <v>0</v>
      </c>
      <c r="BH2" s="462">
        <f>IF(AND(AT2&lt;&gt;0,AM2="Y"),UI*W2,0)</f>
        <v>0</v>
      </c>
      <c r="BI2" s="462">
        <f>IF(AND(AT2&lt;&gt;0,N2&lt;&gt;"NR"),DHR*W2,0)</f>
        <v>0</v>
      </c>
      <c r="BJ2" s="462">
        <f>IF(AT2&lt;&gt;0,WC*W2,0)</f>
        <v>0</v>
      </c>
      <c r="BK2" s="462">
        <f>IF(OR(AND(AT2&lt;&gt;0,AJ2&lt;&gt;"PF",AN2&lt;&gt;"NE",AG2&lt;&gt;"A"),AND(AL2="E",OR(AT2=1,AT2=3))),Sick*W2,0)</f>
        <v>0</v>
      </c>
      <c r="BL2" s="462">
        <f>IF(AT2=1,SUM(BD2:BK2),0)</f>
        <v>0</v>
      </c>
      <c r="BM2" s="462">
        <f>IF(AT2=3,SUM(BD2:BK2),0)</f>
        <v>0</v>
      </c>
      <c r="BN2" s="462">
        <f>IF(AND(AT2=1,AK2="E",AU2&gt;=0.75,AW2=1),HealthBY,IF(AND(AT2=1,AK2="E",AU2&gt;=0.75),HealthBY*P2,IF(AND(AT2=1,AK2="E",AU2&gt;=0.5,AW2=1),PTHealthBY,IF(AND(AT2=1,AK2="E",AU2&gt;=0.5),PTHealthBY*P2,0))))</f>
        <v>0</v>
      </c>
      <c r="BO2" s="462">
        <f>IF(AND(AT2=3,AK2="E",AV2&gt;=0.75,AW2=1),HealthBY,IF(AND(AT2=3,AK2="E",AV2&gt;=0.75),HealthBY*P2,IF(AND(AT2=3,AK2="E",AV2&gt;=0.5,AW2=1),PTHealthBY,IF(AND(AT2=3,AK2="E",AV2&gt;=0.5),PTHealthBY*P2,0))))</f>
        <v>0</v>
      </c>
      <c r="BP2" s="462">
        <f>IF(AND(AT2&lt;&gt;0,(AX2+BA2)&gt;=MAXSSDIBY),SSDIBY*MAXSSDIBY*P2,IF(AT2&lt;&gt;0,SSDIBY*W2,0))</f>
        <v>0</v>
      </c>
      <c r="BQ2" s="462">
        <f>IF(AT2&lt;&gt;0,SSHIBY*W2,0)</f>
        <v>0</v>
      </c>
      <c r="BR2" s="462">
        <f>IF(AND(AT2&lt;&gt;0,AN2&lt;&gt;"NE"),VLOOKUP(AN2,Retirement_Rates,4,FALSE)*W2,0)</f>
        <v>0</v>
      </c>
      <c r="BS2" s="462">
        <f>IF(AND(AT2&lt;&gt;0,AJ2&lt;&gt;"PF"),LifeBY*W2,0)</f>
        <v>0</v>
      </c>
      <c r="BT2" s="462">
        <f>IF(AND(AT2&lt;&gt;0,AM2="Y"),UIBY*W2,0)</f>
        <v>0</v>
      </c>
      <c r="BU2" s="462">
        <f>IF(AND(AT2&lt;&gt;0,N2&lt;&gt;"NR"),DHRBY*W2,0)</f>
        <v>0</v>
      </c>
      <c r="BV2" s="462">
        <f>IF(AT2&lt;&gt;0,WCBY*W2,0)</f>
        <v>0</v>
      </c>
      <c r="BW2" s="462">
        <f>IF(OR(AND(AT2&lt;&gt;0,AJ2&lt;&gt;"PF",AN2&lt;&gt;"NE",AG2&lt;&gt;"A"),AND(AL2="E",OR(AT2=1,AT2=3))),SickBY*W2,0)</f>
        <v>0</v>
      </c>
      <c r="BX2" s="462">
        <f>IF(AT2=1,SUM(BP2:BW2),0)</f>
        <v>0</v>
      </c>
      <c r="BY2" s="462">
        <f>IF(AT2=3,SUM(BP2:BW2),0)</f>
        <v>0</v>
      </c>
      <c r="BZ2" s="462">
        <f>IF(AT2=1,BN2-BB2,0)</f>
        <v>0</v>
      </c>
      <c r="CA2" s="462">
        <f>IF(AT2=3,BO2-BC2,0)</f>
        <v>0</v>
      </c>
      <c r="CB2" s="462">
        <f>BP2-BD2</f>
        <v>0</v>
      </c>
      <c r="CC2" s="462">
        <f>IF(AT2&lt;&gt;0,SSHICHG*Y2,0)</f>
        <v>0</v>
      </c>
      <c r="CD2" s="462">
        <f>IF(AND(AT2&lt;&gt;0,AN2&lt;&gt;"NE"),VLOOKUP(AN2,Retirement_Rates,5,FALSE)*Y2,0)</f>
        <v>0</v>
      </c>
      <c r="CE2" s="462">
        <f>IF(AND(AT2&lt;&gt;0,AJ2&lt;&gt;"PF"),LifeCHG*Y2,0)</f>
        <v>0</v>
      </c>
      <c r="CF2" s="462">
        <f>IF(AND(AT2&lt;&gt;0,AM2="Y"),UICHG*Y2,0)</f>
        <v>0</v>
      </c>
      <c r="CG2" s="462">
        <f>IF(AND(AT2&lt;&gt;0,N2&lt;&gt;"NR"),DHRCHG*Y2,0)</f>
        <v>0</v>
      </c>
      <c r="CH2" s="462">
        <f>IF(AT2&lt;&gt;0,WCCHG*Y2,0)</f>
        <v>0</v>
      </c>
      <c r="CI2" s="462">
        <f>IF(OR(AND(AT2&lt;&gt;0,AJ2&lt;&gt;"PF",AN2&lt;&gt;"NE",AG2&lt;&gt;"A"),AND(AL2="E",OR(AT2=1,AT2=3))),SickCHG*Y2,0)</f>
        <v>0</v>
      </c>
      <c r="CJ2" s="462">
        <f>IF(AT2=1,SUM(CB2:CI2),0)</f>
        <v>0</v>
      </c>
      <c r="CK2" s="462" t="str">
        <f>IF(AT2=3,SUM(CB2:CI2),"")</f>
        <v/>
      </c>
      <c r="CL2" s="462" t="str">
        <f>IF(OR(N2="NG",AG2="D"),(T2+U2),"")</f>
        <v/>
      </c>
      <c r="CM2" s="462" t="str">
        <f>IF(OR(N2="NG",AG2="D"),V2,"")</f>
        <v/>
      </c>
      <c r="CN2" s="462" t="str">
        <f>E2 &amp; "-" &amp; F2</f>
        <v>0001-00</v>
      </c>
    </row>
    <row r="3" spans="1:92" ht="15" thickBot="1" x14ac:dyDescent="0.35">
      <c r="A3" s="376" t="s">
        <v>161</v>
      </c>
      <c r="B3" s="376" t="s">
        <v>162</v>
      </c>
      <c r="C3" s="376" t="s">
        <v>184</v>
      </c>
      <c r="D3" s="376" t="s">
        <v>185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186</v>
      </c>
      <c r="L3" s="376" t="s">
        <v>176</v>
      </c>
      <c r="M3" s="376" t="s">
        <v>171</v>
      </c>
      <c r="N3" s="376" t="s">
        <v>172</v>
      </c>
      <c r="O3" s="379">
        <v>1</v>
      </c>
      <c r="P3" s="460">
        <v>1</v>
      </c>
      <c r="Q3" s="460">
        <v>1</v>
      </c>
      <c r="R3" s="380">
        <v>80</v>
      </c>
      <c r="S3" s="460">
        <v>1</v>
      </c>
      <c r="T3" s="380">
        <v>52058.11</v>
      </c>
      <c r="U3" s="380">
        <v>0</v>
      </c>
      <c r="V3" s="380">
        <v>22392.36</v>
      </c>
      <c r="W3" s="380">
        <v>54641.599999999999</v>
      </c>
      <c r="X3" s="380">
        <v>23427.96</v>
      </c>
      <c r="Y3" s="380">
        <v>54641.599999999999</v>
      </c>
      <c r="Z3" s="380">
        <v>23143.83</v>
      </c>
      <c r="AA3" s="376" t="s">
        <v>187</v>
      </c>
      <c r="AB3" s="376" t="s">
        <v>188</v>
      </c>
      <c r="AC3" s="376" t="s">
        <v>189</v>
      </c>
      <c r="AD3" s="376" t="s">
        <v>178</v>
      </c>
      <c r="AE3" s="376" t="s">
        <v>186</v>
      </c>
      <c r="AF3" s="376" t="s">
        <v>190</v>
      </c>
      <c r="AG3" s="376" t="s">
        <v>178</v>
      </c>
      <c r="AH3" s="381">
        <v>26.27</v>
      </c>
      <c r="AI3" s="381">
        <v>2032.4</v>
      </c>
      <c r="AJ3" s="376" t="s">
        <v>179</v>
      </c>
      <c r="AK3" s="376" t="s">
        <v>180</v>
      </c>
      <c r="AL3" s="376" t="s">
        <v>181</v>
      </c>
      <c r="AM3" s="376" t="s">
        <v>182</v>
      </c>
      <c r="AN3" s="376" t="s">
        <v>68</v>
      </c>
      <c r="AO3" s="379">
        <v>80</v>
      </c>
      <c r="AP3" s="460">
        <v>1</v>
      </c>
      <c r="AQ3" s="460">
        <v>1</v>
      </c>
      <c r="AR3" s="458" t="s">
        <v>183</v>
      </c>
      <c r="AS3" s="462">
        <f t="shared" ref="AS3:AS66" si="0">IF(((AO3/80)*AP3*P3)&gt;1,AQ3,((AO3/80)*AP3*P3))</f>
        <v>1</v>
      </c>
      <c r="AT3">
        <f t="shared" ref="AT3:AT66" si="1">IF(AND(M3="F",N3&lt;&gt;"NG",AS3&lt;&gt;0,AND(AR3&lt;&gt;6,AR3&lt;&gt;36,AR3&lt;&gt;56),AG3&lt;&gt;"A",OR(AG3="H",AJ3="FS")),1,IF(AND(M3="F",N3&lt;&gt;"NG",AS3&lt;&gt;0,AG3="A"),3,0))</f>
        <v>1</v>
      </c>
      <c r="AU3" s="462">
        <f>IF(AT3=0,"",IF(AND(AT3=1,M3="F",SUMIF(C2:C170,C3,AS2:AS170)&lt;=1),SUMIF(C2:C170,C3,AS2:AS170),IF(AND(AT3=1,M3="F",SUMIF(C2:C170,C3,AS2:AS170)&gt;1),1,"")))</f>
        <v>1</v>
      </c>
      <c r="AV3" s="462" t="str">
        <f>IF(AT3=0,"",IF(AND(AT3=3,M3="F",SUMIF(C2:C170,C3,AS2:AS170)&lt;=1),SUMIF(C2:C170,C3,AS2:AS170),IF(AND(AT3=3,M3="F",SUMIF(C2:C170,C3,AS2:AS170)&gt;1),1,"")))</f>
        <v/>
      </c>
      <c r="AW3" s="462">
        <f>SUMIF(C2:C170,C3,O2:O170)</f>
        <v>1</v>
      </c>
      <c r="AX3" s="462">
        <f>IF(AND(M3="F",AS3&lt;&gt;0),SUMIF(C2:C170,C3,W2:W170),0)</f>
        <v>54641.599999999999</v>
      </c>
      <c r="AY3" s="462">
        <f t="shared" ref="AY3:AY66" si="2">IF(AT3=1,W3,"")</f>
        <v>54641.599999999999</v>
      </c>
      <c r="AZ3" s="462" t="str">
        <f t="shared" ref="AZ3:AZ66" si="3">IF(AT3=3,W3,"")</f>
        <v/>
      </c>
      <c r="BA3" s="462">
        <f t="shared" ref="BA3:BA66" si="4">IF(AT3=1,Y3-W3,0)</f>
        <v>0</v>
      </c>
      <c r="BB3" s="462">
        <f>IF(AND(AT3=1,AK3="E",AU3&gt;=0.75,AW3=1),Health,IF(AND(AT3=1,AK3="E",AU3&gt;=0.75),Health*P3,IF(AND(AT3=1,AK3="E",AU3&gt;=0.5,AW3=1),PTHealth,IF(AND(AT3=1,AK3="E",AU3&gt;=0.5),PTHealth*P3,0))))</f>
        <v>11650</v>
      </c>
      <c r="BC3" s="462">
        <f>IF(AND(AT3=3,AK3="E",AV3&gt;=0.75,AW3=1),Health,IF(AND(AT3=3,AK3="E",AV3&gt;=0.75),Health*P3,IF(AND(AT3=3,AK3="E",AV3&gt;=0.5,AW3=1),PTHealth,IF(AND(AT3=3,AK3="E",AV3&gt;=0.5),PTHealth*P3,0))))</f>
        <v>0</v>
      </c>
      <c r="BD3" s="462">
        <f>IF(AND(AT3&lt;&gt;0,AX3&gt;=MAXSSDI),SSDI*MAXSSDI*P3,IF(AT3&lt;&gt;0,SSDI*W3,0))</f>
        <v>3387.7791999999999</v>
      </c>
      <c r="BE3" s="462">
        <f>IF(AT3&lt;&gt;0,SSHI*W3,0)</f>
        <v>792.30320000000006</v>
      </c>
      <c r="BF3" s="462">
        <f>IF(AND(AT3&lt;&gt;0,AN3&lt;&gt;"NE"),VLOOKUP(AN3,Retirement_Rates,3,FALSE)*W3,0)</f>
        <v>6524.2070400000002</v>
      </c>
      <c r="BG3" s="462">
        <f>IF(AND(AT3&lt;&gt;0,AJ3&lt;&gt;"PF"),Life*W3,0)</f>
        <v>393.965936</v>
      </c>
      <c r="BH3" s="462">
        <f>IF(AND(AT3&lt;&gt;0,AM3="Y"),UI*W3,0)</f>
        <v>267.74383999999998</v>
      </c>
      <c r="BI3" s="462">
        <f>IF(AND(AT3&lt;&gt;0,N3&lt;&gt;"NR"),DHR*W3,0)</f>
        <v>302.71446399999996</v>
      </c>
      <c r="BJ3" s="462">
        <f>IF(AT3&lt;&gt;0,WC*W3,0)</f>
        <v>109.28319999999999</v>
      </c>
      <c r="BK3" s="462">
        <f>IF(OR(AND(AT3&lt;&gt;0,AJ3&lt;&gt;"PF",AN3&lt;&gt;"NE",AG3&lt;&gt;"A"),AND(AL3="E",OR(AT3=1,AT3=3))),Sick*W3,0)</f>
        <v>0</v>
      </c>
      <c r="BL3" s="462">
        <f t="shared" ref="BL3:BL66" si="5">IF(AT3=1,SUM(BD3:BK3),0)</f>
        <v>11777.996880000001</v>
      </c>
      <c r="BM3" s="462">
        <f t="shared" ref="BM3:BM66" si="6">IF(AT3=3,SUM(BD3:BK3),0)</f>
        <v>0</v>
      </c>
      <c r="BN3" s="462">
        <f>IF(AND(AT3=1,AK3="E",AU3&gt;=0.75,AW3=1),HealthBY,IF(AND(AT3=1,AK3="E",AU3&gt;=0.75),HealthBY*P3,IF(AND(AT3=1,AK3="E",AU3&gt;=0.5,AW3=1),PTHealthBY,IF(AND(AT3=1,AK3="E",AU3&gt;=0.5),PTHealthBY*P3,0))))</f>
        <v>11650</v>
      </c>
      <c r="BO3" s="462">
        <f>IF(AND(AT3=3,AK3="E",AV3&gt;=0.75,AW3=1),HealthBY,IF(AND(AT3=3,AK3="E",AV3&gt;=0.75),HealthBY*P3,IF(AND(AT3=3,AK3="E",AV3&gt;=0.5,AW3=1),PTHealthBY,IF(AND(AT3=3,AK3="E",AV3&gt;=0.5),PTHealthBY*P3,0))))</f>
        <v>0</v>
      </c>
      <c r="BP3" s="462">
        <f>IF(AND(AT3&lt;&gt;0,(AX3+BA3)&gt;=MAXSSDIBY),SSDIBY*MAXSSDIBY*P3,IF(AT3&lt;&gt;0,SSDIBY*W3,0))</f>
        <v>3387.7791999999999</v>
      </c>
      <c r="BQ3" s="462">
        <f>IF(AT3&lt;&gt;0,SSHIBY*W3,0)</f>
        <v>792.30320000000006</v>
      </c>
      <c r="BR3" s="462">
        <f>IF(AND(AT3&lt;&gt;0,AN3&lt;&gt;"NE"),VLOOKUP(AN3,Retirement_Rates,4,FALSE)*W3,0)</f>
        <v>6524.2070400000002</v>
      </c>
      <c r="BS3" s="462">
        <f>IF(AND(AT3&lt;&gt;0,AJ3&lt;&gt;"PF"),LifeBY*W3,0)</f>
        <v>393.965936</v>
      </c>
      <c r="BT3" s="462">
        <f>IF(AND(AT3&lt;&gt;0,AM3="Y"),UIBY*W3,0)</f>
        <v>0</v>
      </c>
      <c r="BU3" s="462">
        <f>IF(AND(AT3&lt;&gt;0,N3&lt;&gt;"NR"),DHRBY*W3,0)</f>
        <v>302.71446399999996</v>
      </c>
      <c r="BV3" s="462">
        <f>IF(AT3&lt;&gt;0,WCBY*W3,0)</f>
        <v>92.890719999999988</v>
      </c>
      <c r="BW3" s="462">
        <f>IF(OR(AND(AT3&lt;&gt;0,AJ3&lt;&gt;"PF",AN3&lt;&gt;"NE",AG3&lt;&gt;"A"),AND(AL3="E",OR(AT3=1,AT3=3))),SickBY*W3,0)</f>
        <v>0</v>
      </c>
      <c r="BX3" s="462">
        <f t="shared" ref="BX3:BX66" si="7">IF(AT3=1,SUM(BP3:BW3),0)</f>
        <v>11493.860560000001</v>
      </c>
      <c r="BY3" s="462">
        <f t="shared" ref="BY3:BY66" si="8">IF(AT3=3,SUM(BP3:BW3),0)</f>
        <v>0</v>
      </c>
      <c r="BZ3" s="462">
        <f t="shared" ref="BZ3:BZ66" si="9">IF(AT3=1,BN3-BB3,0)</f>
        <v>0</v>
      </c>
      <c r="CA3" s="462">
        <f t="shared" ref="CA3:CA66" si="10">IF(AT3=3,BO3-BC3,0)</f>
        <v>0</v>
      </c>
      <c r="CB3" s="462">
        <f t="shared" ref="CB3:CB66" si="11">BP3-BD3</f>
        <v>0</v>
      </c>
      <c r="CC3" s="462">
        <f>IF(AT3&lt;&gt;0,SSHICHG*Y3,0)</f>
        <v>0</v>
      </c>
      <c r="CD3" s="462">
        <f>IF(AND(AT3&lt;&gt;0,AN3&lt;&gt;"NE"),VLOOKUP(AN3,Retirement_Rates,5,FALSE)*Y3,0)</f>
        <v>0</v>
      </c>
      <c r="CE3" s="462">
        <f>IF(AND(AT3&lt;&gt;0,AJ3&lt;&gt;"PF"),LifeCHG*Y3,0)</f>
        <v>0</v>
      </c>
      <c r="CF3" s="462">
        <f>IF(AND(AT3&lt;&gt;0,AM3="Y"),UICHG*Y3,0)</f>
        <v>-267.74383999999998</v>
      </c>
      <c r="CG3" s="462">
        <f>IF(AND(AT3&lt;&gt;0,N3&lt;&gt;"NR"),DHRCHG*Y3,0)</f>
        <v>0</v>
      </c>
      <c r="CH3" s="462">
        <f>IF(AT3&lt;&gt;0,WCCHG*Y3,0)</f>
        <v>-16.392480000000006</v>
      </c>
      <c r="CI3" s="462">
        <f>IF(OR(AND(AT3&lt;&gt;0,AJ3&lt;&gt;"PF",AN3&lt;&gt;"NE",AG3&lt;&gt;"A"),AND(AL3="E",OR(AT3=1,AT3=3))),SickCHG*Y3,0)</f>
        <v>0</v>
      </c>
      <c r="CJ3" s="462">
        <f t="shared" ref="CJ3:CJ66" si="12">IF(AT3=1,SUM(CB3:CI3),0)</f>
        <v>-284.13631999999996</v>
      </c>
      <c r="CK3" s="462" t="str">
        <f t="shared" ref="CK3:CK66" si="13">IF(AT3=3,SUM(CB3:CI3),"")</f>
        <v/>
      </c>
      <c r="CL3" s="462" t="str">
        <f t="shared" ref="CL3:CL66" si="14">IF(OR(N3="NG",AG3="D"),(T3+U3),"")</f>
        <v/>
      </c>
      <c r="CM3" s="462" t="str">
        <f t="shared" ref="CM3:CM66" si="15">IF(OR(N3="NG",AG3="D"),V3,"")</f>
        <v/>
      </c>
      <c r="CN3" s="462" t="str">
        <f t="shared" ref="CN3:CN66" si="16">E3 &amp; "-" &amp; F3</f>
        <v>0001-00</v>
      </c>
    </row>
    <row r="4" spans="1:92" ht="15" thickBot="1" x14ac:dyDescent="0.35">
      <c r="A4" s="376" t="s">
        <v>161</v>
      </c>
      <c r="B4" s="376" t="s">
        <v>162</v>
      </c>
      <c r="C4" s="376" t="s">
        <v>191</v>
      </c>
      <c r="D4" s="376" t="s">
        <v>164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169</v>
      </c>
      <c r="L4" s="376" t="s">
        <v>170</v>
      </c>
      <c r="M4" s="376" t="s">
        <v>171</v>
      </c>
      <c r="N4" s="376" t="s">
        <v>172</v>
      </c>
      <c r="O4" s="379">
        <v>1</v>
      </c>
      <c r="P4" s="460">
        <v>0</v>
      </c>
      <c r="Q4" s="460">
        <v>0</v>
      </c>
      <c r="R4" s="380">
        <v>80</v>
      </c>
      <c r="S4" s="460">
        <v>0</v>
      </c>
      <c r="T4" s="380">
        <v>85796.81</v>
      </c>
      <c r="U4" s="380">
        <v>0</v>
      </c>
      <c r="V4" s="380">
        <v>29160.9</v>
      </c>
      <c r="W4" s="380">
        <v>0</v>
      </c>
      <c r="X4" s="380">
        <v>0</v>
      </c>
      <c r="Y4" s="380">
        <v>0</v>
      </c>
      <c r="Z4" s="380">
        <v>0</v>
      </c>
      <c r="AA4" s="376" t="s">
        <v>192</v>
      </c>
      <c r="AB4" s="376" t="s">
        <v>193</v>
      </c>
      <c r="AC4" s="376" t="s">
        <v>194</v>
      </c>
      <c r="AD4" s="376" t="s">
        <v>195</v>
      </c>
      <c r="AE4" s="376" t="s">
        <v>169</v>
      </c>
      <c r="AF4" s="376" t="s">
        <v>177</v>
      </c>
      <c r="AG4" s="376" t="s">
        <v>178</v>
      </c>
      <c r="AH4" s="381">
        <v>41.81</v>
      </c>
      <c r="AI4" s="381">
        <v>26356.799999999999</v>
      </c>
      <c r="AJ4" s="376" t="s">
        <v>179</v>
      </c>
      <c r="AK4" s="376" t="s">
        <v>180</v>
      </c>
      <c r="AL4" s="376" t="s">
        <v>181</v>
      </c>
      <c r="AM4" s="376" t="s">
        <v>182</v>
      </c>
      <c r="AN4" s="376" t="s">
        <v>68</v>
      </c>
      <c r="AO4" s="379">
        <v>80</v>
      </c>
      <c r="AP4" s="460">
        <v>1</v>
      </c>
      <c r="AQ4" s="460">
        <v>0</v>
      </c>
      <c r="AR4" s="458" t="s">
        <v>183</v>
      </c>
      <c r="AS4" s="462">
        <f t="shared" si="0"/>
        <v>0</v>
      </c>
      <c r="AT4">
        <f t="shared" si="1"/>
        <v>0</v>
      </c>
      <c r="AU4" s="462" t="str">
        <f>IF(AT4=0,"",IF(AND(AT4=1,M4="F",SUMIF(C2:C170,C4,AS2:AS170)&lt;=1),SUMIF(C2:C170,C4,AS2:AS170),IF(AND(AT4=1,M4="F",SUMIF(C2:C170,C4,AS2:AS170)&gt;1),1,"")))</f>
        <v/>
      </c>
      <c r="AV4" s="462" t="str">
        <f>IF(AT4=0,"",IF(AND(AT4=3,M4="F",SUMIF(C2:C170,C4,AS2:AS170)&lt;=1),SUMIF(C2:C170,C4,AS2:AS170),IF(AND(AT4=3,M4="F",SUMIF(C2:C170,C4,AS2:AS170)&gt;1),1,"")))</f>
        <v/>
      </c>
      <c r="AW4" s="462">
        <f>SUMIF(C2:C170,C4,O2:O170)</f>
        <v>2</v>
      </c>
      <c r="AX4" s="462">
        <f>IF(AND(M4="F",AS4&lt;&gt;0),SUMIF(C2:C170,C4,W2:W170),0)</f>
        <v>0</v>
      </c>
      <c r="AY4" s="462" t="str">
        <f t="shared" si="2"/>
        <v/>
      </c>
      <c r="AZ4" s="462" t="str">
        <f t="shared" si="3"/>
        <v/>
      </c>
      <c r="BA4" s="462">
        <f t="shared" si="4"/>
        <v>0</v>
      </c>
      <c r="BB4" s="462">
        <f>IF(AND(AT4=1,AK4="E",AU4&gt;=0.75,AW4=1),Health,IF(AND(AT4=1,AK4="E",AU4&gt;=0.75),Health*P4,IF(AND(AT4=1,AK4="E",AU4&gt;=0.5,AW4=1),PTHealth,IF(AND(AT4=1,AK4="E",AU4&gt;=0.5),PTHealth*P4,0))))</f>
        <v>0</v>
      </c>
      <c r="BC4" s="462">
        <f>IF(AND(AT4=3,AK4="E",AV4&gt;=0.75,AW4=1),Health,IF(AND(AT4=3,AK4="E",AV4&gt;=0.75),Health*P4,IF(AND(AT4=3,AK4="E",AV4&gt;=0.5,AW4=1),PTHealth,IF(AND(AT4=3,AK4="E",AV4&gt;=0.5),PTHealth*P4,0))))</f>
        <v>0</v>
      </c>
      <c r="BD4" s="462">
        <f>IF(AND(AT4&lt;&gt;0,AX4&gt;=MAXSSDI),SSDI*MAXSSDI*P4,IF(AT4&lt;&gt;0,SSDI*W4,0))</f>
        <v>0</v>
      </c>
      <c r="BE4" s="462">
        <f>IF(AT4&lt;&gt;0,SSHI*W4,0)</f>
        <v>0</v>
      </c>
      <c r="BF4" s="462">
        <f>IF(AND(AT4&lt;&gt;0,AN4&lt;&gt;"NE"),VLOOKUP(AN4,Retirement_Rates,3,FALSE)*W4,0)</f>
        <v>0</v>
      </c>
      <c r="BG4" s="462">
        <f>IF(AND(AT4&lt;&gt;0,AJ4&lt;&gt;"PF"),Life*W4,0)</f>
        <v>0</v>
      </c>
      <c r="BH4" s="462">
        <f>IF(AND(AT4&lt;&gt;0,AM4="Y"),UI*W4,0)</f>
        <v>0</v>
      </c>
      <c r="BI4" s="462">
        <f>IF(AND(AT4&lt;&gt;0,N4&lt;&gt;"NR"),DHR*W4,0)</f>
        <v>0</v>
      </c>
      <c r="BJ4" s="462">
        <f>IF(AT4&lt;&gt;0,WC*W4,0)</f>
        <v>0</v>
      </c>
      <c r="BK4" s="462">
        <f>IF(OR(AND(AT4&lt;&gt;0,AJ4&lt;&gt;"PF",AN4&lt;&gt;"NE",AG4&lt;&gt;"A"),AND(AL4="E",OR(AT4=1,AT4=3))),Sick*W4,0)</f>
        <v>0</v>
      </c>
      <c r="BL4" s="462">
        <f t="shared" si="5"/>
        <v>0</v>
      </c>
      <c r="BM4" s="462">
        <f t="shared" si="6"/>
        <v>0</v>
      </c>
      <c r="BN4" s="462">
        <f>IF(AND(AT4=1,AK4="E",AU4&gt;=0.75,AW4=1),HealthBY,IF(AND(AT4=1,AK4="E",AU4&gt;=0.75),HealthBY*P4,IF(AND(AT4=1,AK4="E",AU4&gt;=0.5,AW4=1),PTHealthBY,IF(AND(AT4=1,AK4="E",AU4&gt;=0.5),PTHealthBY*P4,0))))</f>
        <v>0</v>
      </c>
      <c r="BO4" s="462">
        <f>IF(AND(AT4=3,AK4="E",AV4&gt;=0.75,AW4=1),HealthBY,IF(AND(AT4=3,AK4="E",AV4&gt;=0.75),HealthBY*P4,IF(AND(AT4=3,AK4="E",AV4&gt;=0.5,AW4=1),PTHealthBY,IF(AND(AT4=3,AK4="E",AV4&gt;=0.5),PTHealthBY*P4,0))))</f>
        <v>0</v>
      </c>
      <c r="BP4" s="462">
        <f>IF(AND(AT4&lt;&gt;0,(AX4+BA4)&gt;=MAXSSDIBY),SSDIBY*MAXSSDIBY*P4,IF(AT4&lt;&gt;0,SSDIBY*W4,0))</f>
        <v>0</v>
      </c>
      <c r="BQ4" s="462">
        <f>IF(AT4&lt;&gt;0,SSHIBY*W4,0)</f>
        <v>0</v>
      </c>
      <c r="BR4" s="462">
        <f>IF(AND(AT4&lt;&gt;0,AN4&lt;&gt;"NE"),VLOOKUP(AN4,Retirement_Rates,4,FALSE)*W4,0)</f>
        <v>0</v>
      </c>
      <c r="BS4" s="462">
        <f>IF(AND(AT4&lt;&gt;0,AJ4&lt;&gt;"PF"),LifeBY*W4,0)</f>
        <v>0</v>
      </c>
      <c r="BT4" s="462">
        <f>IF(AND(AT4&lt;&gt;0,AM4="Y"),UIBY*W4,0)</f>
        <v>0</v>
      </c>
      <c r="BU4" s="462">
        <f>IF(AND(AT4&lt;&gt;0,N4&lt;&gt;"NR"),DHRBY*W4,0)</f>
        <v>0</v>
      </c>
      <c r="BV4" s="462">
        <f>IF(AT4&lt;&gt;0,WCBY*W4,0)</f>
        <v>0</v>
      </c>
      <c r="BW4" s="462">
        <f>IF(OR(AND(AT4&lt;&gt;0,AJ4&lt;&gt;"PF",AN4&lt;&gt;"NE",AG4&lt;&gt;"A"),AND(AL4="E",OR(AT4=1,AT4=3))),SickBY*W4,0)</f>
        <v>0</v>
      </c>
      <c r="BX4" s="462">
        <f t="shared" si="7"/>
        <v>0</v>
      </c>
      <c r="BY4" s="462">
        <f t="shared" si="8"/>
        <v>0</v>
      </c>
      <c r="BZ4" s="462">
        <f t="shared" si="9"/>
        <v>0</v>
      </c>
      <c r="CA4" s="462">
        <f t="shared" si="10"/>
        <v>0</v>
      </c>
      <c r="CB4" s="462">
        <f t="shared" si="11"/>
        <v>0</v>
      </c>
      <c r="CC4" s="462">
        <f>IF(AT4&lt;&gt;0,SSHICHG*Y4,0)</f>
        <v>0</v>
      </c>
      <c r="CD4" s="462">
        <f>IF(AND(AT4&lt;&gt;0,AN4&lt;&gt;"NE"),VLOOKUP(AN4,Retirement_Rates,5,FALSE)*Y4,0)</f>
        <v>0</v>
      </c>
      <c r="CE4" s="462">
        <f>IF(AND(AT4&lt;&gt;0,AJ4&lt;&gt;"PF"),LifeCHG*Y4,0)</f>
        <v>0</v>
      </c>
      <c r="CF4" s="462">
        <f>IF(AND(AT4&lt;&gt;0,AM4="Y"),UICHG*Y4,0)</f>
        <v>0</v>
      </c>
      <c r="CG4" s="462">
        <f>IF(AND(AT4&lt;&gt;0,N4&lt;&gt;"NR"),DHRCHG*Y4,0)</f>
        <v>0</v>
      </c>
      <c r="CH4" s="462">
        <f>IF(AT4&lt;&gt;0,WCCHG*Y4,0)</f>
        <v>0</v>
      </c>
      <c r="CI4" s="462">
        <f>IF(OR(AND(AT4&lt;&gt;0,AJ4&lt;&gt;"PF",AN4&lt;&gt;"NE",AG4&lt;&gt;"A"),AND(AL4="E",OR(AT4=1,AT4=3))),SickCHG*Y4,0)</f>
        <v>0</v>
      </c>
      <c r="CJ4" s="462">
        <f t="shared" si="12"/>
        <v>0</v>
      </c>
      <c r="CK4" s="462" t="str">
        <f t="shared" si="13"/>
        <v/>
      </c>
      <c r="CL4" s="462" t="str">
        <f t="shared" si="14"/>
        <v/>
      </c>
      <c r="CM4" s="462" t="str">
        <f t="shared" si="15"/>
        <v/>
      </c>
      <c r="CN4" s="462" t="str">
        <f t="shared" si="16"/>
        <v>0001-00</v>
      </c>
    </row>
    <row r="5" spans="1:92" ht="15" thickBot="1" x14ac:dyDescent="0.35">
      <c r="A5" s="376" t="s">
        <v>161</v>
      </c>
      <c r="B5" s="376" t="s">
        <v>162</v>
      </c>
      <c r="C5" s="376" t="s">
        <v>196</v>
      </c>
      <c r="D5" s="376" t="s">
        <v>164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169</v>
      </c>
      <c r="L5" s="376" t="s">
        <v>170</v>
      </c>
      <c r="M5" s="376" t="s">
        <v>171</v>
      </c>
      <c r="N5" s="376" t="s">
        <v>172</v>
      </c>
      <c r="O5" s="379">
        <v>1</v>
      </c>
      <c r="P5" s="460">
        <v>0</v>
      </c>
      <c r="Q5" s="460">
        <v>0</v>
      </c>
      <c r="R5" s="380">
        <v>80</v>
      </c>
      <c r="S5" s="460">
        <v>0</v>
      </c>
      <c r="T5" s="380">
        <v>75697.600000000006</v>
      </c>
      <c r="U5" s="380">
        <v>0</v>
      </c>
      <c r="V5" s="380">
        <v>24573.35</v>
      </c>
      <c r="W5" s="380">
        <v>0</v>
      </c>
      <c r="X5" s="380">
        <v>0</v>
      </c>
      <c r="Y5" s="380">
        <v>0</v>
      </c>
      <c r="Z5" s="380">
        <v>0</v>
      </c>
      <c r="AA5" s="376" t="s">
        <v>197</v>
      </c>
      <c r="AB5" s="376" t="s">
        <v>198</v>
      </c>
      <c r="AC5" s="376" t="s">
        <v>199</v>
      </c>
      <c r="AD5" s="376" t="s">
        <v>200</v>
      </c>
      <c r="AE5" s="376" t="s">
        <v>169</v>
      </c>
      <c r="AF5" s="376" t="s">
        <v>177</v>
      </c>
      <c r="AG5" s="376" t="s">
        <v>178</v>
      </c>
      <c r="AH5" s="381">
        <v>44.95</v>
      </c>
      <c r="AI5" s="381">
        <v>17662.2</v>
      </c>
      <c r="AJ5" s="376" t="s">
        <v>179</v>
      </c>
      <c r="AK5" s="376" t="s">
        <v>180</v>
      </c>
      <c r="AL5" s="376" t="s">
        <v>181</v>
      </c>
      <c r="AM5" s="376" t="s">
        <v>182</v>
      </c>
      <c r="AN5" s="376" t="s">
        <v>68</v>
      </c>
      <c r="AO5" s="379">
        <v>80</v>
      </c>
      <c r="AP5" s="460">
        <v>1</v>
      </c>
      <c r="AQ5" s="460">
        <v>0</v>
      </c>
      <c r="AR5" s="458" t="s">
        <v>183</v>
      </c>
      <c r="AS5" s="462">
        <f t="shared" si="0"/>
        <v>0</v>
      </c>
      <c r="AT5">
        <f t="shared" si="1"/>
        <v>0</v>
      </c>
      <c r="AU5" s="462" t="str">
        <f>IF(AT5=0,"",IF(AND(AT5=1,M5="F",SUMIF(C2:C170,C5,AS2:AS170)&lt;=1),SUMIF(C2:C170,C5,AS2:AS170),IF(AND(AT5=1,M5="F",SUMIF(C2:C170,C5,AS2:AS170)&gt;1),1,"")))</f>
        <v/>
      </c>
      <c r="AV5" s="462" t="str">
        <f>IF(AT5=0,"",IF(AND(AT5=3,M5="F",SUMIF(C2:C170,C5,AS2:AS170)&lt;=1),SUMIF(C2:C170,C5,AS2:AS170),IF(AND(AT5=3,M5="F",SUMIF(C2:C170,C5,AS2:AS170)&gt;1),1,"")))</f>
        <v/>
      </c>
      <c r="AW5" s="462">
        <f>SUMIF(C2:C170,C5,O2:O170)</f>
        <v>2</v>
      </c>
      <c r="AX5" s="462">
        <f>IF(AND(M5="F",AS5&lt;&gt;0),SUMIF(C2:C170,C5,W2:W170),0)</f>
        <v>0</v>
      </c>
      <c r="AY5" s="462" t="str">
        <f t="shared" si="2"/>
        <v/>
      </c>
      <c r="AZ5" s="462" t="str">
        <f t="shared" si="3"/>
        <v/>
      </c>
      <c r="BA5" s="462">
        <f t="shared" si="4"/>
        <v>0</v>
      </c>
      <c r="BB5" s="462">
        <f>IF(AND(AT5=1,AK5="E",AU5&gt;=0.75,AW5=1),Health,IF(AND(AT5=1,AK5="E",AU5&gt;=0.75),Health*P5,IF(AND(AT5=1,AK5="E",AU5&gt;=0.5,AW5=1),PTHealth,IF(AND(AT5=1,AK5="E",AU5&gt;=0.5),PTHealth*P5,0))))</f>
        <v>0</v>
      </c>
      <c r="BC5" s="462">
        <f>IF(AND(AT5=3,AK5="E",AV5&gt;=0.75,AW5=1),Health,IF(AND(AT5=3,AK5="E",AV5&gt;=0.75),Health*P5,IF(AND(AT5=3,AK5="E",AV5&gt;=0.5,AW5=1),PTHealth,IF(AND(AT5=3,AK5="E",AV5&gt;=0.5),PTHealth*P5,0))))</f>
        <v>0</v>
      </c>
      <c r="BD5" s="462">
        <f>IF(AND(AT5&lt;&gt;0,AX5&gt;=MAXSSDI),SSDI*MAXSSDI*P5,IF(AT5&lt;&gt;0,SSDI*W5,0))</f>
        <v>0</v>
      </c>
      <c r="BE5" s="462">
        <f>IF(AT5&lt;&gt;0,SSHI*W5,0)</f>
        <v>0</v>
      </c>
      <c r="BF5" s="462">
        <f>IF(AND(AT5&lt;&gt;0,AN5&lt;&gt;"NE"),VLOOKUP(AN5,Retirement_Rates,3,FALSE)*W5,0)</f>
        <v>0</v>
      </c>
      <c r="BG5" s="462">
        <f>IF(AND(AT5&lt;&gt;0,AJ5&lt;&gt;"PF"),Life*W5,0)</f>
        <v>0</v>
      </c>
      <c r="BH5" s="462">
        <f>IF(AND(AT5&lt;&gt;0,AM5="Y"),UI*W5,0)</f>
        <v>0</v>
      </c>
      <c r="BI5" s="462">
        <f>IF(AND(AT5&lt;&gt;0,N5&lt;&gt;"NR"),DHR*W5,0)</f>
        <v>0</v>
      </c>
      <c r="BJ5" s="462">
        <f>IF(AT5&lt;&gt;0,WC*W5,0)</f>
        <v>0</v>
      </c>
      <c r="BK5" s="462">
        <f>IF(OR(AND(AT5&lt;&gt;0,AJ5&lt;&gt;"PF",AN5&lt;&gt;"NE",AG5&lt;&gt;"A"),AND(AL5="E",OR(AT5=1,AT5=3))),Sick*W5,0)</f>
        <v>0</v>
      </c>
      <c r="BL5" s="462">
        <f t="shared" si="5"/>
        <v>0</v>
      </c>
      <c r="BM5" s="462">
        <f t="shared" si="6"/>
        <v>0</v>
      </c>
      <c r="BN5" s="462">
        <f>IF(AND(AT5=1,AK5="E",AU5&gt;=0.75,AW5=1),HealthBY,IF(AND(AT5=1,AK5="E",AU5&gt;=0.75),HealthBY*P5,IF(AND(AT5=1,AK5="E",AU5&gt;=0.5,AW5=1),PTHealthBY,IF(AND(AT5=1,AK5="E",AU5&gt;=0.5),PTHealthBY*P5,0))))</f>
        <v>0</v>
      </c>
      <c r="BO5" s="462">
        <f>IF(AND(AT5=3,AK5="E",AV5&gt;=0.75,AW5=1),HealthBY,IF(AND(AT5=3,AK5="E",AV5&gt;=0.75),HealthBY*P5,IF(AND(AT5=3,AK5="E",AV5&gt;=0.5,AW5=1),PTHealthBY,IF(AND(AT5=3,AK5="E",AV5&gt;=0.5),PTHealthBY*P5,0))))</f>
        <v>0</v>
      </c>
      <c r="BP5" s="462">
        <f>IF(AND(AT5&lt;&gt;0,(AX5+BA5)&gt;=MAXSSDIBY),SSDIBY*MAXSSDIBY*P5,IF(AT5&lt;&gt;0,SSDIBY*W5,0))</f>
        <v>0</v>
      </c>
      <c r="BQ5" s="462">
        <f>IF(AT5&lt;&gt;0,SSHIBY*W5,0)</f>
        <v>0</v>
      </c>
      <c r="BR5" s="462">
        <f>IF(AND(AT5&lt;&gt;0,AN5&lt;&gt;"NE"),VLOOKUP(AN5,Retirement_Rates,4,FALSE)*W5,0)</f>
        <v>0</v>
      </c>
      <c r="BS5" s="462">
        <f>IF(AND(AT5&lt;&gt;0,AJ5&lt;&gt;"PF"),LifeBY*W5,0)</f>
        <v>0</v>
      </c>
      <c r="BT5" s="462">
        <f>IF(AND(AT5&lt;&gt;0,AM5="Y"),UIBY*W5,0)</f>
        <v>0</v>
      </c>
      <c r="BU5" s="462">
        <f>IF(AND(AT5&lt;&gt;0,N5&lt;&gt;"NR"),DHRBY*W5,0)</f>
        <v>0</v>
      </c>
      <c r="BV5" s="462">
        <f>IF(AT5&lt;&gt;0,WCBY*W5,0)</f>
        <v>0</v>
      </c>
      <c r="BW5" s="462">
        <f>IF(OR(AND(AT5&lt;&gt;0,AJ5&lt;&gt;"PF",AN5&lt;&gt;"NE",AG5&lt;&gt;"A"),AND(AL5="E",OR(AT5=1,AT5=3))),SickBY*W5,0)</f>
        <v>0</v>
      </c>
      <c r="BX5" s="462">
        <f t="shared" si="7"/>
        <v>0</v>
      </c>
      <c r="BY5" s="462">
        <f t="shared" si="8"/>
        <v>0</v>
      </c>
      <c r="BZ5" s="462">
        <f t="shared" si="9"/>
        <v>0</v>
      </c>
      <c r="CA5" s="462">
        <f t="shared" si="10"/>
        <v>0</v>
      </c>
      <c r="CB5" s="462">
        <f t="shared" si="11"/>
        <v>0</v>
      </c>
      <c r="CC5" s="462">
        <f>IF(AT5&lt;&gt;0,SSHICHG*Y5,0)</f>
        <v>0</v>
      </c>
      <c r="CD5" s="462">
        <f>IF(AND(AT5&lt;&gt;0,AN5&lt;&gt;"NE"),VLOOKUP(AN5,Retirement_Rates,5,FALSE)*Y5,0)</f>
        <v>0</v>
      </c>
      <c r="CE5" s="462">
        <f>IF(AND(AT5&lt;&gt;0,AJ5&lt;&gt;"PF"),LifeCHG*Y5,0)</f>
        <v>0</v>
      </c>
      <c r="CF5" s="462">
        <f>IF(AND(AT5&lt;&gt;0,AM5="Y"),UICHG*Y5,0)</f>
        <v>0</v>
      </c>
      <c r="CG5" s="462">
        <f>IF(AND(AT5&lt;&gt;0,N5&lt;&gt;"NR"),DHRCHG*Y5,0)</f>
        <v>0</v>
      </c>
      <c r="CH5" s="462">
        <f>IF(AT5&lt;&gt;0,WCCHG*Y5,0)</f>
        <v>0</v>
      </c>
      <c r="CI5" s="462">
        <f>IF(OR(AND(AT5&lt;&gt;0,AJ5&lt;&gt;"PF",AN5&lt;&gt;"NE",AG5&lt;&gt;"A"),AND(AL5="E",OR(AT5=1,AT5=3))),SickCHG*Y5,0)</f>
        <v>0</v>
      </c>
      <c r="CJ5" s="462">
        <f t="shared" si="12"/>
        <v>0</v>
      </c>
      <c r="CK5" s="462" t="str">
        <f t="shared" si="13"/>
        <v/>
      </c>
      <c r="CL5" s="462" t="str">
        <f t="shared" si="14"/>
        <v/>
      </c>
      <c r="CM5" s="462" t="str">
        <f t="shared" si="15"/>
        <v/>
      </c>
      <c r="CN5" s="462" t="str">
        <f t="shared" si="16"/>
        <v>0001-00</v>
      </c>
    </row>
    <row r="6" spans="1:92" ht="15" thickBot="1" x14ac:dyDescent="0.35">
      <c r="A6" s="376" t="s">
        <v>161</v>
      </c>
      <c r="B6" s="376" t="s">
        <v>162</v>
      </c>
      <c r="C6" s="376" t="s">
        <v>201</v>
      </c>
      <c r="D6" s="376" t="s">
        <v>202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203</v>
      </c>
      <c r="L6" s="376" t="s">
        <v>204</v>
      </c>
      <c r="M6" s="376" t="s">
        <v>171</v>
      </c>
      <c r="N6" s="376" t="s">
        <v>172</v>
      </c>
      <c r="O6" s="379">
        <v>1</v>
      </c>
      <c r="P6" s="460">
        <v>0</v>
      </c>
      <c r="Q6" s="460">
        <v>0</v>
      </c>
      <c r="R6" s="380">
        <v>80</v>
      </c>
      <c r="S6" s="460">
        <v>0</v>
      </c>
      <c r="T6" s="380">
        <v>76006.850000000006</v>
      </c>
      <c r="U6" s="380">
        <v>0</v>
      </c>
      <c r="V6" s="380">
        <v>25495.82</v>
      </c>
      <c r="W6" s="380">
        <v>0</v>
      </c>
      <c r="X6" s="380">
        <v>0</v>
      </c>
      <c r="Y6" s="380">
        <v>0</v>
      </c>
      <c r="Z6" s="380">
        <v>0</v>
      </c>
      <c r="AA6" s="376" t="s">
        <v>205</v>
      </c>
      <c r="AB6" s="376" t="s">
        <v>206</v>
      </c>
      <c r="AC6" s="376" t="s">
        <v>207</v>
      </c>
      <c r="AD6" s="376" t="s">
        <v>208</v>
      </c>
      <c r="AE6" s="376" t="s">
        <v>203</v>
      </c>
      <c r="AF6" s="376" t="s">
        <v>209</v>
      </c>
      <c r="AG6" s="376" t="s">
        <v>178</v>
      </c>
      <c r="AH6" s="381">
        <v>45.04</v>
      </c>
      <c r="AI6" s="379">
        <v>8893</v>
      </c>
      <c r="AJ6" s="376" t="s">
        <v>179</v>
      </c>
      <c r="AK6" s="376" t="s">
        <v>180</v>
      </c>
      <c r="AL6" s="376" t="s">
        <v>181</v>
      </c>
      <c r="AM6" s="376" t="s">
        <v>182</v>
      </c>
      <c r="AN6" s="376" t="s">
        <v>68</v>
      </c>
      <c r="AO6" s="379">
        <v>80</v>
      </c>
      <c r="AP6" s="460">
        <v>1</v>
      </c>
      <c r="AQ6" s="460">
        <v>0</v>
      </c>
      <c r="AR6" s="458" t="s">
        <v>183</v>
      </c>
      <c r="AS6" s="462">
        <f t="shared" si="0"/>
        <v>0</v>
      </c>
      <c r="AT6">
        <f t="shared" si="1"/>
        <v>0</v>
      </c>
      <c r="AU6" s="462" t="str">
        <f>IF(AT6=0,"",IF(AND(AT6=1,M6="F",SUMIF(C2:C170,C6,AS2:AS170)&lt;=1),SUMIF(C2:C170,C6,AS2:AS170),IF(AND(AT6=1,M6="F",SUMIF(C2:C170,C6,AS2:AS170)&gt;1),1,"")))</f>
        <v/>
      </c>
      <c r="AV6" s="462" t="str">
        <f>IF(AT6=0,"",IF(AND(AT6=3,M6="F",SUMIF(C2:C170,C6,AS2:AS170)&lt;=1),SUMIF(C2:C170,C6,AS2:AS170),IF(AND(AT6=3,M6="F",SUMIF(C2:C170,C6,AS2:AS170)&gt;1),1,"")))</f>
        <v/>
      </c>
      <c r="AW6" s="462">
        <f>SUMIF(C2:C170,C6,O2:O170)</f>
        <v>2</v>
      </c>
      <c r="AX6" s="462">
        <f>IF(AND(M6="F",AS6&lt;&gt;0),SUMIF(C2:C170,C6,W2:W170),0)</f>
        <v>0</v>
      </c>
      <c r="AY6" s="462" t="str">
        <f t="shared" si="2"/>
        <v/>
      </c>
      <c r="AZ6" s="462" t="str">
        <f t="shared" si="3"/>
        <v/>
      </c>
      <c r="BA6" s="462">
        <f t="shared" si="4"/>
        <v>0</v>
      </c>
      <c r="BB6" s="462">
        <f>IF(AND(AT6=1,AK6="E",AU6&gt;=0.75,AW6=1),Health,IF(AND(AT6=1,AK6="E",AU6&gt;=0.75),Health*P6,IF(AND(AT6=1,AK6="E",AU6&gt;=0.5,AW6=1),PTHealth,IF(AND(AT6=1,AK6="E",AU6&gt;=0.5),PTHealth*P6,0))))</f>
        <v>0</v>
      </c>
      <c r="BC6" s="462">
        <f>IF(AND(AT6=3,AK6="E",AV6&gt;=0.75,AW6=1),Health,IF(AND(AT6=3,AK6="E",AV6&gt;=0.75),Health*P6,IF(AND(AT6=3,AK6="E",AV6&gt;=0.5,AW6=1),PTHealth,IF(AND(AT6=3,AK6="E",AV6&gt;=0.5),PTHealth*P6,0))))</f>
        <v>0</v>
      </c>
      <c r="BD6" s="462">
        <f>IF(AND(AT6&lt;&gt;0,AX6&gt;=MAXSSDI),SSDI*MAXSSDI*P6,IF(AT6&lt;&gt;0,SSDI*W6,0))</f>
        <v>0</v>
      </c>
      <c r="BE6" s="462">
        <f>IF(AT6&lt;&gt;0,SSHI*W6,0)</f>
        <v>0</v>
      </c>
      <c r="BF6" s="462">
        <f>IF(AND(AT6&lt;&gt;0,AN6&lt;&gt;"NE"),VLOOKUP(AN6,Retirement_Rates,3,FALSE)*W6,0)</f>
        <v>0</v>
      </c>
      <c r="BG6" s="462">
        <f>IF(AND(AT6&lt;&gt;0,AJ6&lt;&gt;"PF"),Life*W6,0)</f>
        <v>0</v>
      </c>
      <c r="BH6" s="462">
        <f>IF(AND(AT6&lt;&gt;0,AM6="Y"),UI*W6,0)</f>
        <v>0</v>
      </c>
      <c r="BI6" s="462">
        <f>IF(AND(AT6&lt;&gt;0,N6&lt;&gt;"NR"),DHR*W6,0)</f>
        <v>0</v>
      </c>
      <c r="BJ6" s="462">
        <f>IF(AT6&lt;&gt;0,WC*W6,0)</f>
        <v>0</v>
      </c>
      <c r="BK6" s="462">
        <f>IF(OR(AND(AT6&lt;&gt;0,AJ6&lt;&gt;"PF",AN6&lt;&gt;"NE",AG6&lt;&gt;"A"),AND(AL6="E",OR(AT6=1,AT6=3))),Sick*W6,0)</f>
        <v>0</v>
      </c>
      <c r="BL6" s="462">
        <f t="shared" si="5"/>
        <v>0</v>
      </c>
      <c r="BM6" s="462">
        <f t="shared" si="6"/>
        <v>0</v>
      </c>
      <c r="BN6" s="462">
        <f>IF(AND(AT6=1,AK6="E",AU6&gt;=0.75,AW6=1),HealthBY,IF(AND(AT6=1,AK6="E",AU6&gt;=0.75),HealthBY*P6,IF(AND(AT6=1,AK6="E",AU6&gt;=0.5,AW6=1),PTHealthBY,IF(AND(AT6=1,AK6="E",AU6&gt;=0.5),PTHealthBY*P6,0))))</f>
        <v>0</v>
      </c>
      <c r="BO6" s="462">
        <f>IF(AND(AT6=3,AK6="E",AV6&gt;=0.75,AW6=1),HealthBY,IF(AND(AT6=3,AK6="E",AV6&gt;=0.75),HealthBY*P6,IF(AND(AT6=3,AK6="E",AV6&gt;=0.5,AW6=1),PTHealthBY,IF(AND(AT6=3,AK6="E",AV6&gt;=0.5),PTHealthBY*P6,0))))</f>
        <v>0</v>
      </c>
      <c r="BP6" s="462">
        <f>IF(AND(AT6&lt;&gt;0,(AX6+BA6)&gt;=MAXSSDIBY),SSDIBY*MAXSSDIBY*P6,IF(AT6&lt;&gt;0,SSDIBY*W6,0))</f>
        <v>0</v>
      </c>
      <c r="BQ6" s="462">
        <f>IF(AT6&lt;&gt;0,SSHIBY*W6,0)</f>
        <v>0</v>
      </c>
      <c r="BR6" s="462">
        <f>IF(AND(AT6&lt;&gt;0,AN6&lt;&gt;"NE"),VLOOKUP(AN6,Retirement_Rates,4,FALSE)*W6,0)</f>
        <v>0</v>
      </c>
      <c r="BS6" s="462">
        <f>IF(AND(AT6&lt;&gt;0,AJ6&lt;&gt;"PF"),LifeBY*W6,0)</f>
        <v>0</v>
      </c>
      <c r="BT6" s="462">
        <f>IF(AND(AT6&lt;&gt;0,AM6="Y"),UIBY*W6,0)</f>
        <v>0</v>
      </c>
      <c r="BU6" s="462">
        <f>IF(AND(AT6&lt;&gt;0,N6&lt;&gt;"NR"),DHRBY*W6,0)</f>
        <v>0</v>
      </c>
      <c r="BV6" s="462">
        <f>IF(AT6&lt;&gt;0,WCBY*W6,0)</f>
        <v>0</v>
      </c>
      <c r="BW6" s="462">
        <f>IF(OR(AND(AT6&lt;&gt;0,AJ6&lt;&gt;"PF",AN6&lt;&gt;"NE",AG6&lt;&gt;"A"),AND(AL6="E",OR(AT6=1,AT6=3))),SickBY*W6,0)</f>
        <v>0</v>
      </c>
      <c r="BX6" s="462">
        <f t="shared" si="7"/>
        <v>0</v>
      </c>
      <c r="BY6" s="462">
        <f t="shared" si="8"/>
        <v>0</v>
      </c>
      <c r="BZ6" s="462">
        <f t="shared" si="9"/>
        <v>0</v>
      </c>
      <c r="CA6" s="462">
        <f t="shared" si="10"/>
        <v>0</v>
      </c>
      <c r="CB6" s="462">
        <f t="shared" si="11"/>
        <v>0</v>
      </c>
      <c r="CC6" s="462">
        <f>IF(AT6&lt;&gt;0,SSHICHG*Y6,0)</f>
        <v>0</v>
      </c>
      <c r="CD6" s="462">
        <f>IF(AND(AT6&lt;&gt;0,AN6&lt;&gt;"NE"),VLOOKUP(AN6,Retirement_Rates,5,FALSE)*Y6,0)</f>
        <v>0</v>
      </c>
      <c r="CE6" s="462">
        <f>IF(AND(AT6&lt;&gt;0,AJ6&lt;&gt;"PF"),LifeCHG*Y6,0)</f>
        <v>0</v>
      </c>
      <c r="CF6" s="462">
        <f>IF(AND(AT6&lt;&gt;0,AM6="Y"),UICHG*Y6,0)</f>
        <v>0</v>
      </c>
      <c r="CG6" s="462">
        <f>IF(AND(AT6&lt;&gt;0,N6&lt;&gt;"NR"),DHRCHG*Y6,0)</f>
        <v>0</v>
      </c>
      <c r="CH6" s="462">
        <f>IF(AT6&lt;&gt;0,WCCHG*Y6,0)</f>
        <v>0</v>
      </c>
      <c r="CI6" s="462">
        <f>IF(OR(AND(AT6&lt;&gt;0,AJ6&lt;&gt;"PF",AN6&lt;&gt;"NE",AG6&lt;&gt;"A"),AND(AL6="E",OR(AT6=1,AT6=3))),SickCHG*Y6,0)</f>
        <v>0</v>
      </c>
      <c r="CJ6" s="462">
        <f t="shared" si="12"/>
        <v>0</v>
      </c>
      <c r="CK6" s="462" t="str">
        <f t="shared" si="13"/>
        <v/>
      </c>
      <c r="CL6" s="462" t="str">
        <f t="shared" si="14"/>
        <v/>
      </c>
      <c r="CM6" s="462" t="str">
        <f t="shared" si="15"/>
        <v/>
      </c>
      <c r="CN6" s="462" t="str">
        <f t="shared" si="16"/>
        <v>0001-00</v>
      </c>
    </row>
    <row r="7" spans="1:92" ht="15" thickBot="1" x14ac:dyDescent="0.35">
      <c r="A7" s="376" t="s">
        <v>161</v>
      </c>
      <c r="B7" s="376" t="s">
        <v>162</v>
      </c>
      <c r="C7" s="376" t="s">
        <v>210</v>
      </c>
      <c r="D7" s="376" t="s">
        <v>211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212</v>
      </c>
      <c r="L7" s="376" t="s">
        <v>170</v>
      </c>
      <c r="M7" s="376" t="s">
        <v>171</v>
      </c>
      <c r="N7" s="376" t="s">
        <v>172</v>
      </c>
      <c r="O7" s="379">
        <v>1</v>
      </c>
      <c r="P7" s="460">
        <v>1</v>
      </c>
      <c r="Q7" s="460">
        <v>1</v>
      </c>
      <c r="R7" s="380">
        <v>80</v>
      </c>
      <c r="S7" s="460">
        <v>1</v>
      </c>
      <c r="T7" s="380">
        <v>91079.76</v>
      </c>
      <c r="U7" s="380">
        <v>0</v>
      </c>
      <c r="V7" s="380">
        <v>30720.57</v>
      </c>
      <c r="W7" s="380">
        <v>92102.399999999994</v>
      </c>
      <c r="X7" s="380">
        <v>31502.63</v>
      </c>
      <c r="Y7" s="380">
        <v>92102.399999999994</v>
      </c>
      <c r="Z7" s="380">
        <v>31023.7</v>
      </c>
      <c r="AA7" s="376" t="s">
        <v>213</v>
      </c>
      <c r="AB7" s="376" t="s">
        <v>214</v>
      </c>
      <c r="AC7" s="376" t="s">
        <v>215</v>
      </c>
      <c r="AD7" s="376" t="s">
        <v>216</v>
      </c>
      <c r="AE7" s="376" t="s">
        <v>212</v>
      </c>
      <c r="AF7" s="376" t="s">
        <v>177</v>
      </c>
      <c r="AG7" s="376" t="s">
        <v>178</v>
      </c>
      <c r="AH7" s="381">
        <v>44.28</v>
      </c>
      <c r="AI7" s="381">
        <v>64293.599999999999</v>
      </c>
      <c r="AJ7" s="376" t="s">
        <v>179</v>
      </c>
      <c r="AK7" s="376" t="s">
        <v>180</v>
      </c>
      <c r="AL7" s="376" t="s">
        <v>181</v>
      </c>
      <c r="AM7" s="376" t="s">
        <v>182</v>
      </c>
      <c r="AN7" s="376" t="s">
        <v>68</v>
      </c>
      <c r="AO7" s="379">
        <v>80</v>
      </c>
      <c r="AP7" s="460">
        <v>1</v>
      </c>
      <c r="AQ7" s="460">
        <v>1</v>
      </c>
      <c r="AR7" s="458" t="s">
        <v>183</v>
      </c>
      <c r="AS7" s="462">
        <f t="shared" si="0"/>
        <v>1</v>
      </c>
      <c r="AT7">
        <f t="shared" si="1"/>
        <v>1</v>
      </c>
      <c r="AU7" s="462">
        <f>IF(AT7=0,"",IF(AND(AT7=1,M7="F",SUMIF(C2:C170,C7,AS2:AS170)&lt;=1),SUMIF(C2:C170,C7,AS2:AS170),IF(AND(AT7=1,M7="F",SUMIF(C2:C170,C7,AS2:AS170)&gt;1),1,"")))</f>
        <v>1</v>
      </c>
      <c r="AV7" s="462" t="str">
        <f>IF(AT7=0,"",IF(AND(AT7=3,M7="F",SUMIF(C2:C170,C7,AS2:AS170)&lt;=1),SUMIF(C2:C170,C7,AS2:AS170),IF(AND(AT7=3,M7="F",SUMIF(C2:C170,C7,AS2:AS170)&gt;1),1,"")))</f>
        <v/>
      </c>
      <c r="AW7" s="462">
        <f>SUMIF(C2:C170,C7,O2:O170)</f>
        <v>1</v>
      </c>
      <c r="AX7" s="462">
        <f>IF(AND(M7="F",AS7&lt;&gt;0),SUMIF(C2:C170,C7,W2:W170),0)</f>
        <v>92102.399999999994</v>
      </c>
      <c r="AY7" s="462">
        <f t="shared" si="2"/>
        <v>92102.399999999994</v>
      </c>
      <c r="AZ7" s="462" t="str">
        <f t="shared" si="3"/>
        <v/>
      </c>
      <c r="BA7" s="462">
        <f t="shared" si="4"/>
        <v>0</v>
      </c>
      <c r="BB7" s="462">
        <f>IF(AND(AT7=1,AK7="E",AU7&gt;=0.75,AW7=1),Health,IF(AND(AT7=1,AK7="E",AU7&gt;=0.75),Health*P7,IF(AND(AT7=1,AK7="E",AU7&gt;=0.5,AW7=1),PTHealth,IF(AND(AT7=1,AK7="E",AU7&gt;=0.5),PTHealth*P7,0))))</f>
        <v>11650</v>
      </c>
      <c r="BC7" s="462">
        <f>IF(AND(AT7=3,AK7="E",AV7&gt;=0.75,AW7=1),Health,IF(AND(AT7=3,AK7="E",AV7&gt;=0.75),Health*P7,IF(AND(AT7=3,AK7="E",AV7&gt;=0.5,AW7=1),PTHealth,IF(AND(AT7=3,AK7="E",AV7&gt;=0.5),PTHealth*P7,0))))</f>
        <v>0</v>
      </c>
      <c r="BD7" s="462">
        <f>IF(AND(AT7&lt;&gt;0,AX7&gt;=MAXSSDI),SSDI*MAXSSDI*P7,IF(AT7&lt;&gt;0,SSDI*W7,0))</f>
        <v>5710.3487999999998</v>
      </c>
      <c r="BE7" s="462">
        <f>IF(AT7&lt;&gt;0,SSHI*W7,0)</f>
        <v>1335.4848</v>
      </c>
      <c r="BF7" s="462">
        <f>IF(AND(AT7&lt;&gt;0,AN7&lt;&gt;"NE"),VLOOKUP(AN7,Retirement_Rates,3,FALSE)*W7,0)</f>
        <v>10997.02656</v>
      </c>
      <c r="BG7" s="462">
        <f>IF(AND(AT7&lt;&gt;0,AJ7&lt;&gt;"PF"),Life*W7,0)</f>
        <v>664.05830400000002</v>
      </c>
      <c r="BH7" s="462">
        <f>IF(AND(AT7&lt;&gt;0,AM7="Y"),UI*W7,0)</f>
        <v>451.30175999999994</v>
      </c>
      <c r="BI7" s="462">
        <f>IF(AND(AT7&lt;&gt;0,N7&lt;&gt;"NR"),DHR*W7,0)</f>
        <v>510.24729599999995</v>
      </c>
      <c r="BJ7" s="462">
        <f>IF(AT7&lt;&gt;0,WC*W7,0)</f>
        <v>184.20480000000001</v>
      </c>
      <c r="BK7" s="462">
        <f>IF(OR(AND(AT7&lt;&gt;0,AJ7&lt;&gt;"PF",AN7&lt;&gt;"NE",AG7&lt;&gt;"A"),AND(AL7="E",OR(AT7=1,AT7=3))),Sick*W7,0)</f>
        <v>0</v>
      </c>
      <c r="BL7" s="462">
        <f t="shared" si="5"/>
        <v>19852.672319999998</v>
      </c>
      <c r="BM7" s="462">
        <f t="shared" si="6"/>
        <v>0</v>
      </c>
      <c r="BN7" s="462">
        <f>IF(AND(AT7=1,AK7="E",AU7&gt;=0.75,AW7=1),HealthBY,IF(AND(AT7=1,AK7="E",AU7&gt;=0.75),HealthBY*P7,IF(AND(AT7=1,AK7="E",AU7&gt;=0.5,AW7=1),PTHealthBY,IF(AND(AT7=1,AK7="E",AU7&gt;=0.5),PTHealthBY*P7,0))))</f>
        <v>11650</v>
      </c>
      <c r="BO7" s="462">
        <f>IF(AND(AT7=3,AK7="E",AV7&gt;=0.75,AW7=1),HealthBY,IF(AND(AT7=3,AK7="E",AV7&gt;=0.75),HealthBY*P7,IF(AND(AT7=3,AK7="E",AV7&gt;=0.5,AW7=1),PTHealthBY,IF(AND(AT7=3,AK7="E",AV7&gt;=0.5),PTHealthBY*P7,0))))</f>
        <v>0</v>
      </c>
      <c r="BP7" s="462">
        <f>IF(AND(AT7&lt;&gt;0,(AX7+BA7)&gt;=MAXSSDIBY),SSDIBY*MAXSSDIBY*P7,IF(AT7&lt;&gt;0,SSDIBY*W7,0))</f>
        <v>5710.3487999999998</v>
      </c>
      <c r="BQ7" s="462">
        <f>IF(AT7&lt;&gt;0,SSHIBY*W7,0)</f>
        <v>1335.4848</v>
      </c>
      <c r="BR7" s="462">
        <f>IF(AND(AT7&lt;&gt;0,AN7&lt;&gt;"NE"),VLOOKUP(AN7,Retirement_Rates,4,FALSE)*W7,0)</f>
        <v>10997.02656</v>
      </c>
      <c r="BS7" s="462">
        <f>IF(AND(AT7&lt;&gt;0,AJ7&lt;&gt;"PF"),LifeBY*W7,0)</f>
        <v>664.05830400000002</v>
      </c>
      <c r="BT7" s="462">
        <f>IF(AND(AT7&lt;&gt;0,AM7="Y"),UIBY*W7,0)</f>
        <v>0</v>
      </c>
      <c r="BU7" s="462">
        <f>IF(AND(AT7&lt;&gt;0,N7&lt;&gt;"NR"),DHRBY*W7,0)</f>
        <v>510.24729599999995</v>
      </c>
      <c r="BV7" s="462">
        <f>IF(AT7&lt;&gt;0,WCBY*W7,0)</f>
        <v>156.57407999999998</v>
      </c>
      <c r="BW7" s="462">
        <f>IF(OR(AND(AT7&lt;&gt;0,AJ7&lt;&gt;"PF",AN7&lt;&gt;"NE",AG7&lt;&gt;"A"),AND(AL7="E",OR(AT7=1,AT7=3))),SickBY*W7,0)</f>
        <v>0</v>
      </c>
      <c r="BX7" s="462">
        <f t="shared" si="7"/>
        <v>19373.739839999998</v>
      </c>
      <c r="BY7" s="462">
        <f t="shared" si="8"/>
        <v>0</v>
      </c>
      <c r="BZ7" s="462">
        <f t="shared" si="9"/>
        <v>0</v>
      </c>
      <c r="CA7" s="462">
        <f t="shared" si="10"/>
        <v>0</v>
      </c>
      <c r="CB7" s="462">
        <f t="shared" si="11"/>
        <v>0</v>
      </c>
      <c r="CC7" s="462">
        <f>IF(AT7&lt;&gt;0,SSHICHG*Y7,0)</f>
        <v>0</v>
      </c>
      <c r="CD7" s="462">
        <f>IF(AND(AT7&lt;&gt;0,AN7&lt;&gt;"NE"),VLOOKUP(AN7,Retirement_Rates,5,FALSE)*Y7,0)</f>
        <v>0</v>
      </c>
      <c r="CE7" s="462">
        <f>IF(AND(AT7&lt;&gt;0,AJ7&lt;&gt;"PF"),LifeCHG*Y7,0)</f>
        <v>0</v>
      </c>
      <c r="CF7" s="462">
        <f>IF(AND(AT7&lt;&gt;0,AM7="Y"),UICHG*Y7,0)</f>
        <v>-451.30175999999994</v>
      </c>
      <c r="CG7" s="462">
        <f>IF(AND(AT7&lt;&gt;0,N7&lt;&gt;"NR"),DHRCHG*Y7,0)</f>
        <v>0</v>
      </c>
      <c r="CH7" s="462">
        <f>IF(AT7&lt;&gt;0,WCCHG*Y7,0)</f>
        <v>-27.630720000000011</v>
      </c>
      <c r="CI7" s="462">
        <f>IF(OR(AND(AT7&lt;&gt;0,AJ7&lt;&gt;"PF",AN7&lt;&gt;"NE",AG7&lt;&gt;"A"),AND(AL7="E",OR(AT7=1,AT7=3))),SickCHG*Y7,0)</f>
        <v>0</v>
      </c>
      <c r="CJ7" s="462">
        <f t="shared" si="12"/>
        <v>-478.93247999999994</v>
      </c>
      <c r="CK7" s="462" t="str">
        <f t="shared" si="13"/>
        <v/>
      </c>
      <c r="CL7" s="462" t="str">
        <f t="shared" si="14"/>
        <v/>
      </c>
      <c r="CM7" s="462" t="str">
        <f t="shared" si="15"/>
        <v/>
      </c>
      <c r="CN7" s="462" t="str">
        <f t="shared" si="16"/>
        <v>0001-00</v>
      </c>
    </row>
    <row r="8" spans="1:92" ht="15" thickBot="1" x14ac:dyDescent="0.35">
      <c r="A8" s="376" t="s">
        <v>161</v>
      </c>
      <c r="B8" s="376" t="s">
        <v>162</v>
      </c>
      <c r="C8" s="376" t="s">
        <v>217</v>
      </c>
      <c r="D8" s="376" t="s">
        <v>218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219</v>
      </c>
      <c r="L8" s="376" t="s">
        <v>220</v>
      </c>
      <c r="M8" s="376" t="s">
        <v>171</v>
      </c>
      <c r="N8" s="376" t="s">
        <v>172</v>
      </c>
      <c r="O8" s="379">
        <v>1</v>
      </c>
      <c r="P8" s="460">
        <v>1</v>
      </c>
      <c r="Q8" s="460">
        <v>1</v>
      </c>
      <c r="R8" s="380">
        <v>80</v>
      </c>
      <c r="S8" s="460">
        <v>1</v>
      </c>
      <c r="T8" s="380">
        <v>62444.800000000003</v>
      </c>
      <c r="U8" s="380">
        <v>0</v>
      </c>
      <c r="V8" s="380">
        <v>24738.639999999999</v>
      </c>
      <c r="W8" s="380">
        <v>62732.800000000003</v>
      </c>
      <c r="X8" s="380">
        <v>25172.02</v>
      </c>
      <c r="Y8" s="380">
        <v>62732.800000000003</v>
      </c>
      <c r="Z8" s="380">
        <v>24845.81</v>
      </c>
      <c r="AA8" s="376" t="s">
        <v>221</v>
      </c>
      <c r="AB8" s="376" t="s">
        <v>222</v>
      </c>
      <c r="AC8" s="376" t="s">
        <v>223</v>
      </c>
      <c r="AD8" s="376" t="s">
        <v>216</v>
      </c>
      <c r="AE8" s="376" t="s">
        <v>219</v>
      </c>
      <c r="AF8" s="376" t="s">
        <v>224</v>
      </c>
      <c r="AG8" s="376" t="s">
        <v>178</v>
      </c>
      <c r="AH8" s="381">
        <v>30.16</v>
      </c>
      <c r="AI8" s="381">
        <v>46853.1</v>
      </c>
      <c r="AJ8" s="376" t="s">
        <v>179</v>
      </c>
      <c r="AK8" s="376" t="s">
        <v>180</v>
      </c>
      <c r="AL8" s="376" t="s">
        <v>181</v>
      </c>
      <c r="AM8" s="376" t="s">
        <v>182</v>
      </c>
      <c r="AN8" s="376" t="s">
        <v>68</v>
      </c>
      <c r="AO8" s="379">
        <v>80</v>
      </c>
      <c r="AP8" s="460">
        <v>1</v>
      </c>
      <c r="AQ8" s="460">
        <v>1</v>
      </c>
      <c r="AR8" s="458" t="s">
        <v>183</v>
      </c>
      <c r="AS8" s="462">
        <f t="shared" si="0"/>
        <v>1</v>
      </c>
      <c r="AT8">
        <f t="shared" si="1"/>
        <v>1</v>
      </c>
      <c r="AU8" s="462">
        <f>IF(AT8=0,"",IF(AND(AT8=1,M8="F",SUMIF(C2:C170,C8,AS2:AS170)&lt;=1),SUMIF(C2:C170,C8,AS2:AS170),IF(AND(AT8=1,M8="F",SUMIF(C2:C170,C8,AS2:AS170)&gt;1),1,"")))</f>
        <v>1</v>
      </c>
      <c r="AV8" s="462" t="str">
        <f>IF(AT8=0,"",IF(AND(AT8=3,M8="F",SUMIF(C2:C170,C8,AS2:AS170)&lt;=1),SUMIF(C2:C170,C8,AS2:AS170),IF(AND(AT8=3,M8="F",SUMIF(C2:C170,C8,AS2:AS170)&gt;1),1,"")))</f>
        <v/>
      </c>
      <c r="AW8" s="462">
        <f>SUMIF(C2:C170,C8,O2:O170)</f>
        <v>1</v>
      </c>
      <c r="AX8" s="462">
        <f>IF(AND(M8="F",AS8&lt;&gt;0),SUMIF(C2:C170,C8,W2:W170),0)</f>
        <v>62732.800000000003</v>
      </c>
      <c r="AY8" s="462">
        <f t="shared" si="2"/>
        <v>62732.800000000003</v>
      </c>
      <c r="AZ8" s="462" t="str">
        <f t="shared" si="3"/>
        <v/>
      </c>
      <c r="BA8" s="462">
        <f t="shared" si="4"/>
        <v>0</v>
      </c>
      <c r="BB8" s="462">
        <f>IF(AND(AT8=1,AK8="E",AU8&gt;=0.75,AW8=1),Health,IF(AND(AT8=1,AK8="E",AU8&gt;=0.75),Health*P8,IF(AND(AT8=1,AK8="E",AU8&gt;=0.5,AW8=1),PTHealth,IF(AND(AT8=1,AK8="E",AU8&gt;=0.5),PTHealth*P8,0))))</f>
        <v>11650</v>
      </c>
      <c r="BC8" s="462">
        <f>IF(AND(AT8=3,AK8="E",AV8&gt;=0.75,AW8=1),Health,IF(AND(AT8=3,AK8="E",AV8&gt;=0.75),Health*P8,IF(AND(AT8=3,AK8="E",AV8&gt;=0.5,AW8=1),PTHealth,IF(AND(AT8=3,AK8="E",AV8&gt;=0.5),PTHealth*P8,0))))</f>
        <v>0</v>
      </c>
      <c r="BD8" s="462">
        <f>IF(AND(AT8&lt;&gt;0,AX8&gt;=MAXSSDI),SSDI*MAXSSDI*P8,IF(AT8&lt;&gt;0,SSDI*W8,0))</f>
        <v>3889.4336000000003</v>
      </c>
      <c r="BE8" s="462">
        <f>IF(AT8&lt;&gt;0,SSHI*W8,0)</f>
        <v>909.62560000000008</v>
      </c>
      <c r="BF8" s="462">
        <f>IF(AND(AT8&lt;&gt;0,AN8&lt;&gt;"NE"),VLOOKUP(AN8,Retirement_Rates,3,FALSE)*W8,0)</f>
        <v>7490.2963200000004</v>
      </c>
      <c r="BG8" s="462">
        <f>IF(AND(AT8&lt;&gt;0,AJ8&lt;&gt;"PF"),Life*W8,0)</f>
        <v>452.30348800000002</v>
      </c>
      <c r="BH8" s="462">
        <f>IF(AND(AT8&lt;&gt;0,AM8="Y"),UI*W8,0)</f>
        <v>307.39071999999999</v>
      </c>
      <c r="BI8" s="462">
        <f>IF(AND(AT8&lt;&gt;0,N8&lt;&gt;"NR"),DHR*W8,0)</f>
        <v>347.53971200000001</v>
      </c>
      <c r="BJ8" s="462">
        <f>IF(AT8&lt;&gt;0,WC*W8,0)</f>
        <v>125.46560000000001</v>
      </c>
      <c r="BK8" s="462">
        <f>IF(OR(AND(AT8&lt;&gt;0,AJ8&lt;&gt;"PF",AN8&lt;&gt;"NE",AG8&lt;&gt;"A"),AND(AL8="E",OR(AT8=1,AT8=3))),Sick*W8,0)</f>
        <v>0</v>
      </c>
      <c r="BL8" s="462">
        <f t="shared" si="5"/>
        <v>13522.055039999999</v>
      </c>
      <c r="BM8" s="462">
        <f t="shared" si="6"/>
        <v>0</v>
      </c>
      <c r="BN8" s="462">
        <f>IF(AND(AT8=1,AK8="E",AU8&gt;=0.75,AW8=1),HealthBY,IF(AND(AT8=1,AK8="E",AU8&gt;=0.75),HealthBY*P8,IF(AND(AT8=1,AK8="E",AU8&gt;=0.5,AW8=1),PTHealthBY,IF(AND(AT8=1,AK8="E",AU8&gt;=0.5),PTHealthBY*P8,0))))</f>
        <v>11650</v>
      </c>
      <c r="BO8" s="462">
        <f>IF(AND(AT8=3,AK8="E",AV8&gt;=0.75,AW8=1),HealthBY,IF(AND(AT8=3,AK8="E",AV8&gt;=0.75),HealthBY*P8,IF(AND(AT8=3,AK8="E",AV8&gt;=0.5,AW8=1),PTHealthBY,IF(AND(AT8=3,AK8="E",AV8&gt;=0.5),PTHealthBY*P8,0))))</f>
        <v>0</v>
      </c>
      <c r="BP8" s="462">
        <f>IF(AND(AT8&lt;&gt;0,(AX8+BA8)&gt;=MAXSSDIBY),SSDIBY*MAXSSDIBY*P8,IF(AT8&lt;&gt;0,SSDIBY*W8,0))</f>
        <v>3889.4336000000003</v>
      </c>
      <c r="BQ8" s="462">
        <f>IF(AT8&lt;&gt;0,SSHIBY*W8,0)</f>
        <v>909.62560000000008</v>
      </c>
      <c r="BR8" s="462">
        <f>IF(AND(AT8&lt;&gt;0,AN8&lt;&gt;"NE"),VLOOKUP(AN8,Retirement_Rates,4,FALSE)*W8,0)</f>
        <v>7490.2963200000004</v>
      </c>
      <c r="BS8" s="462">
        <f>IF(AND(AT8&lt;&gt;0,AJ8&lt;&gt;"PF"),LifeBY*W8,0)</f>
        <v>452.30348800000002</v>
      </c>
      <c r="BT8" s="462">
        <f>IF(AND(AT8&lt;&gt;0,AM8="Y"),UIBY*W8,0)</f>
        <v>0</v>
      </c>
      <c r="BU8" s="462">
        <f>IF(AND(AT8&lt;&gt;0,N8&lt;&gt;"NR"),DHRBY*W8,0)</f>
        <v>347.53971200000001</v>
      </c>
      <c r="BV8" s="462">
        <f>IF(AT8&lt;&gt;0,WCBY*W8,0)</f>
        <v>106.64576</v>
      </c>
      <c r="BW8" s="462">
        <f>IF(OR(AND(AT8&lt;&gt;0,AJ8&lt;&gt;"PF",AN8&lt;&gt;"NE",AG8&lt;&gt;"A"),AND(AL8="E",OR(AT8=1,AT8=3))),SickBY*W8,0)</f>
        <v>0</v>
      </c>
      <c r="BX8" s="462">
        <f t="shared" si="7"/>
        <v>13195.84448</v>
      </c>
      <c r="BY8" s="462">
        <f t="shared" si="8"/>
        <v>0</v>
      </c>
      <c r="BZ8" s="462">
        <f t="shared" si="9"/>
        <v>0</v>
      </c>
      <c r="CA8" s="462">
        <f t="shared" si="10"/>
        <v>0</v>
      </c>
      <c r="CB8" s="462">
        <f t="shared" si="11"/>
        <v>0</v>
      </c>
      <c r="CC8" s="462">
        <f>IF(AT8&lt;&gt;0,SSHICHG*Y8,0)</f>
        <v>0</v>
      </c>
      <c r="CD8" s="462">
        <f>IF(AND(AT8&lt;&gt;0,AN8&lt;&gt;"NE"),VLOOKUP(AN8,Retirement_Rates,5,FALSE)*Y8,0)</f>
        <v>0</v>
      </c>
      <c r="CE8" s="462">
        <f>IF(AND(AT8&lt;&gt;0,AJ8&lt;&gt;"PF"),LifeCHG*Y8,0)</f>
        <v>0</v>
      </c>
      <c r="CF8" s="462">
        <f>IF(AND(AT8&lt;&gt;0,AM8="Y"),UICHG*Y8,0)</f>
        <v>-307.39071999999999</v>
      </c>
      <c r="CG8" s="462">
        <f>IF(AND(AT8&lt;&gt;0,N8&lt;&gt;"NR"),DHRCHG*Y8,0)</f>
        <v>0</v>
      </c>
      <c r="CH8" s="462">
        <f>IF(AT8&lt;&gt;0,WCCHG*Y8,0)</f>
        <v>-18.81984000000001</v>
      </c>
      <c r="CI8" s="462">
        <f>IF(OR(AND(AT8&lt;&gt;0,AJ8&lt;&gt;"PF",AN8&lt;&gt;"NE",AG8&lt;&gt;"A"),AND(AL8="E",OR(AT8=1,AT8=3))),SickCHG*Y8,0)</f>
        <v>0</v>
      </c>
      <c r="CJ8" s="462">
        <f t="shared" si="12"/>
        <v>-326.21055999999999</v>
      </c>
      <c r="CK8" s="462" t="str">
        <f t="shared" si="13"/>
        <v/>
      </c>
      <c r="CL8" s="462" t="str">
        <f t="shared" si="14"/>
        <v/>
      </c>
      <c r="CM8" s="462" t="str">
        <f t="shared" si="15"/>
        <v/>
      </c>
      <c r="CN8" s="462" t="str">
        <f t="shared" si="16"/>
        <v>0001-00</v>
      </c>
    </row>
    <row r="9" spans="1:92" ht="15" thickBot="1" x14ac:dyDescent="0.35">
      <c r="A9" s="376" t="s">
        <v>161</v>
      </c>
      <c r="B9" s="376" t="s">
        <v>162</v>
      </c>
      <c r="C9" s="376" t="s">
        <v>225</v>
      </c>
      <c r="D9" s="376" t="s">
        <v>226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227</v>
      </c>
      <c r="L9" s="376" t="s">
        <v>228</v>
      </c>
      <c r="M9" s="376" t="s">
        <v>171</v>
      </c>
      <c r="N9" s="376" t="s">
        <v>172</v>
      </c>
      <c r="O9" s="379">
        <v>1</v>
      </c>
      <c r="P9" s="460">
        <v>1</v>
      </c>
      <c r="Q9" s="460">
        <v>1</v>
      </c>
      <c r="R9" s="380">
        <v>80</v>
      </c>
      <c r="S9" s="460">
        <v>1</v>
      </c>
      <c r="T9" s="380">
        <v>41727.800000000003</v>
      </c>
      <c r="U9" s="380">
        <v>0</v>
      </c>
      <c r="V9" s="380">
        <v>18374.400000000001</v>
      </c>
      <c r="W9" s="380">
        <v>50564.800000000003</v>
      </c>
      <c r="X9" s="380">
        <v>22549.19</v>
      </c>
      <c r="Y9" s="380">
        <v>50564.800000000003</v>
      </c>
      <c r="Z9" s="380">
        <v>22286.27</v>
      </c>
      <c r="AA9" s="376" t="s">
        <v>229</v>
      </c>
      <c r="AB9" s="376" t="s">
        <v>230</v>
      </c>
      <c r="AC9" s="376" t="s">
        <v>231</v>
      </c>
      <c r="AD9" s="376" t="s">
        <v>216</v>
      </c>
      <c r="AE9" s="376" t="s">
        <v>227</v>
      </c>
      <c r="AF9" s="376" t="s">
        <v>232</v>
      </c>
      <c r="AG9" s="376" t="s">
        <v>178</v>
      </c>
      <c r="AH9" s="381">
        <v>24.31</v>
      </c>
      <c r="AI9" s="381">
        <v>12966.3</v>
      </c>
      <c r="AJ9" s="376" t="s">
        <v>179</v>
      </c>
      <c r="AK9" s="376" t="s">
        <v>180</v>
      </c>
      <c r="AL9" s="376" t="s">
        <v>181</v>
      </c>
      <c r="AM9" s="376" t="s">
        <v>182</v>
      </c>
      <c r="AN9" s="376" t="s">
        <v>68</v>
      </c>
      <c r="AO9" s="379">
        <v>80</v>
      </c>
      <c r="AP9" s="460">
        <v>1</v>
      </c>
      <c r="AQ9" s="460">
        <v>1</v>
      </c>
      <c r="AR9" s="458" t="s">
        <v>183</v>
      </c>
      <c r="AS9" s="462">
        <f t="shared" si="0"/>
        <v>1</v>
      </c>
      <c r="AT9">
        <f t="shared" si="1"/>
        <v>1</v>
      </c>
      <c r="AU9" s="462">
        <f>IF(AT9=0,"",IF(AND(AT9=1,M9="F",SUMIF(C2:C170,C9,AS2:AS170)&lt;=1),SUMIF(C2:C170,C9,AS2:AS170),IF(AND(AT9=1,M9="F",SUMIF(C2:C170,C9,AS2:AS170)&gt;1),1,"")))</f>
        <v>1</v>
      </c>
      <c r="AV9" s="462" t="str">
        <f>IF(AT9=0,"",IF(AND(AT9=3,M9="F",SUMIF(C2:C170,C9,AS2:AS170)&lt;=1),SUMIF(C2:C170,C9,AS2:AS170),IF(AND(AT9=3,M9="F",SUMIF(C2:C170,C9,AS2:AS170)&gt;1),1,"")))</f>
        <v/>
      </c>
      <c r="AW9" s="462">
        <f>SUMIF(C2:C170,C9,O2:O170)</f>
        <v>2</v>
      </c>
      <c r="AX9" s="462">
        <f>IF(AND(M9="F",AS9&lt;&gt;0),SUMIF(C2:C170,C9,W2:W170),0)</f>
        <v>50564.800000000003</v>
      </c>
      <c r="AY9" s="462">
        <f t="shared" si="2"/>
        <v>50564.800000000003</v>
      </c>
      <c r="AZ9" s="462" t="str">
        <f t="shared" si="3"/>
        <v/>
      </c>
      <c r="BA9" s="462">
        <f t="shared" si="4"/>
        <v>0</v>
      </c>
      <c r="BB9" s="462">
        <f>IF(AND(AT9=1,AK9="E",AU9&gt;=0.75,AW9=1),Health,IF(AND(AT9=1,AK9="E",AU9&gt;=0.75),Health*P9,IF(AND(AT9=1,AK9="E",AU9&gt;=0.5,AW9=1),PTHealth,IF(AND(AT9=1,AK9="E",AU9&gt;=0.5),PTHealth*P9,0))))</f>
        <v>11650</v>
      </c>
      <c r="BC9" s="462">
        <f>IF(AND(AT9=3,AK9="E",AV9&gt;=0.75,AW9=1),Health,IF(AND(AT9=3,AK9="E",AV9&gt;=0.75),Health*P9,IF(AND(AT9=3,AK9="E",AV9&gt;=0.5,AW9=1),PTHealth,IF(AND(AT9=3,AK9="E",AV9&gt;=0.5),PTHealth*P9,0))))</f>
        <v>0</v>
      </c>
      <c r="BD9" s="462">
        <f>IF(AND(AT9&lt;&gt;0,AX9&gt;=MAXSSDI),SSDI*MAXSSDI*P9,IF(AT9&lt;&gt;0,SSDI*W9,0))</f>
        <v>3135.0176000000001</v>
      </c>
      <c r="BE9" s="462">
        <f>IF(AT9&lt;&gt;0,SSHI*W9,0)</f>
        <v>733.18960000000004</v>
      </c>
      <c r="BF9" s="462">
        <f>IF(AND(AT9&lt;&gt;0,AN9&lt;&gt;"NE"),VLOOKUP(AN9,Retirement_Rates,3,FALSE)*W9,0)</f>
        <v>6037.4371200000005</v>
      </c>
      <c r="BG9" s="462">
        <f>IF(AND(AT9&lt;&gt;0,AJ9&lt;&gt;"PF"),Life*W9,0)</f>
        <v>364.57220800000005</v>
      </c>
      <c r="BH9" s="462">
        <f>IF(AND(AT9&lt;&gt;0,AM9="Y"),UI*W9,0)</f>
        <v>247.76752000000002</v>
      </c>
      <c r="BI9" s="462">
        <f>IF(AND(AT9&lt;&gt;0,N9&lt;&gt;"NR"),DHR*W9,0)</f>
        <v>280.12899199999998</v>
      </c>
      <c r="BJ9" s="462">
        <f>IF(AT9&lt;&gt;0,WC*W9,0)</f>
        <v>101.12960000000001</v>
      </c>
      <c r="BK9" s="462">
        <f>IF(OR(AND(AT9&lt;&gt;0,AJ9&lt;&gt;"PF",AN9&lt;&gt;"NE",AG9&lt;&gt;"A"),AND(AL9="E",OR(AT9=1,AT9=3))),Sick*W9,0)</f>
        <v>0</v>
      </c>
      <c r="BL9" s="462">
        <f t="shared" si="5"/>
        <v>10899.24264</v>
      </c>
      <c r="BM9" s="462">
        <f t="shared" si="6"/>
        <v>0</v>
      </c>
      <c r="BN9" s="462">
        <f>IF(AND(AT9=1,AK9="E",AU9&gt;=0.75,AW9=1),HealthBY,IF(AND(AT9=1,AK9="E",AU9&gt;=0.75),HealthBY*P9,IF(AND(AT9=1,AK9="E",AU9&gt;=0.5,AW9=1),PTHealthBY,IF(AND(AT9=1,AK9="E",AU9&gt;=0.5),PTHealthBY*P9,0))))</f>
        <v>11650</v>
      </c>
      <c r="BO9" s="462">
        <f>IF(AND(AT9=3,AK9="E",AV9&gt;=0.75,AW9=1),HealthBY,IF(AND(AT9=3,AK9="E",AV9&gt;=0.75),HealthBY*P9,IF(AND(AT9=3,AK9="E",AV9&gt;=0.5,AW9=1),PTHealthBY,IF(AND(AT9=3,AK9="E",AV9&gt;=0.5),PTHealthBY*P9,0))))</f>
        <v>0</v>
      </c>
      <c r="BP9" s="462">
        <f>IF(AND(AT9&lt;&gt;0,(AX9+BA9)&gt;=MAXSSDIBY),SSDIBY*MAXSSDIBY*P9,IF(AT9&lt;&gt;0,SSDIBY*W9,0))</f>
        <v>3135.0176000000001</v>
      </c>
      <c r="BQ9" s="462">
        <f>IF(AT9&lt;&gt;0,SSHIBY*W9,0)</f>
        <v>733.18960000000004</v>
      </c>
      <c r="BR9" s="462">
        <f>IF(AND(AT9&lt;&gt;0,AN9&lt;&gt;"NE"),VLOOKUP(AN9,Retirement_Rates,4,FALSE)*W9,0)</f>
        <v>6037.4371200000005</v>
      </c>
      <c r="BS9" s="462">
        <f>IF(AND(AT9&lt;&gt;0,AJ9&lt;&gt;"PF"),LifeBY*W9,0)</f>
        <v>364.57220800000005</v>
      </c>
      <c r="BT9" s="462">
        <f>IF(AND(AT9&lt;&gt;0,AM9="Y"),UIBY*W9,0)</f>
        <v>0</v>
      </c>
      <c r="BU9" s="462">
        <f>IF(AND(AT9&lt;&gt;0,N9&lt;&gt;"NR"),DHRBY*W9,0)</f>
        <v>280.12899199999998</v>
      </c>
      <c r="BV9" s="462">
        <f>IF(AT9&lt;&gt;0,WCBY*W9,0)</f>
        <v>85.960160000000002</v>
      </c>
      <c r="BW9" s="462">
        <f>IF(OR(AND(AT9&lt;&gt;0,AJ9&lt;&gt;"PF",AN9&lt;&gt;"NE",AG9&lt;&gt;"A"),AND(AL9="E",OR(AT9=1,AT9=3))),SickBY*W9,0)</f>
        <v>0</v>
      </c>
      <c r="BX9" s="462">
        <f t="shared" si="7"/>
        <v>10636.305680000001</v>
      </c>
      <c r="BY9" s="462">
        <f t="shared" si="8"/>
        <v>0</v>
      </c>
      <c r="BZ9" s="462">
        <f t="shared" si="9"/>
        <v>0</v>
      </c>
      <c r="CA9" s="462">
        <f t="shared" si="10"/>
        <v>0</v>
      </c>
      <c r="CB9" s="462">
        <f t="shared" si="11"/>
        <v>0</v>
      </c>
      <c r="CC9" s="462">
        <f>IF(AT9&lt;&gt;0,SSHICHG*Y9,0)</f>
        <v>0</v>
      </c>
      <c r="CD9" s="462">
        <f>IF(AND(AT9&lt;&gt;0,AN9&lt;&gt;"NE"),VLOOKUP(AN9,Retirement_Rates,5,FALSE)*Y9,0)</f>
        <v>0</v>
      </c>
      <c r="CE9" s="462">
        <f>IF(AND(AT9&lt;&gt;0,AJ9&lt;&gt;"PF"),LifeCHG*Y9,0)</f>
        <v>0</v>
      </c>
      <c r="CF9" s="462">
        <f>IF(AND(AT9&lt;&gt;0,AM9="Y"),UICHG*Y9,0)</f>
        <v>-247.76752000000002</v>
      </c>
      <c r="CG9" s="462">
        <f>IF(AND(AT9&lt;&gt;0,N9&lt;&gt;"NR"),DHRCHG*Y9,0)</f>
        <v>0</v>
      </c>
      <c r="CH9" s="462">
        <f>IF(AT9&lt;&gt;0,WCCHG*Y9,0)</f>
        <v>-15.169440000000007</v>
      </c>
      <c r="CI9" s="462">
        <f>IF(OR(AND(AT9&lt;&gt;0,AJ9&lt;&gt;"PF",AN9&lt;&gt;"NE",AG9&lt;&gt;"A"),AND(AL9="E",OR(AT9=1,AT9=3))),SickCHG*Y9,0)</f>
        <v>0</v>
      </c>
      <c r="CJ9" s="462">
        <f t="shared" si="12"/>
        <v>-262.93696</v>
      </c>
      <c r="CK9" s="462" t="str">
        <f t="shared" si="13"/>
        <v/>
      </c>
      <c r="CL9" s="462" t="str">
        <f t="shared" si="14"/>
        <v/>
      </c>
      <c r="CM9" s="462" t="str">
        <f t="shared" si="15"/>
        <v/>
      </c>
      <c r="CN9" s="462" t="str">
        <f t="shared" si="16"/>
        <v>0001-00</v>
      </c>
    </row>
    <row r="10" spans="1:92" ht="15" thickBot="1" x14ac:dyDescent="0.35">
      <c r="A10" s="376" t="s">
        <v>161</v>
      </c>
      <c r="B10" s="376" t="s">
        <v>162</v>
      </c>
      <c r="C10" s="376" t="s">
        <v>233</v>
      </c>
      <c r="D10" s="376" t="s">
        <v>234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235</v>
      </c>
      <c r="L10" s="376" t="s">
        <v>178</v>
      </c>
      <c r="M10" s="376" t="s">
        <v>171</v>
      </c>
      <c r="N10" s="376" t="s">
        <v>172</v>
      </c>
      <c r="O10" s="379">
        <v>1</v>
      </c>
      <c r="P10" s="460">
        <v>1</v>
      </c>
      <c r="Q10" s="460">
        <v>1</v>
      </c>
      <c r="R10" s="380">
        <v>80</v>
      </c>
      <c r="S10" s="460">
        <v>1</v>
      </c>
      <c r="T10" s="380">
        <v>31411.29</v>
      </c>
      <c r="U10" s="380">
        <v>0</v>
      </c>
      <c r="V10" s="380">
        <v>18130.740000000002</v>
      </c>
      <c r="W10" s="380">
        <v>34320</v>
      </c>
      <c r="X10" s="380">
        <v>19047.650000000001</v>
      </c>
      <c r="Y10" s="380">
        <v>34320</v>
      </c>
      <c r="Z10" s="380">
        <v>18869.189999999999</v>
      </c>
      <c r="AA10" s="376" t="s">
        <v>236</v>
      </c>
      <c r="AB10" s="376" t="s">
        <v>237</v>
      </c>
      <c r="AC10" s="376" t="s">
        <v>238</v>
      </c>
      <c r="AD10" s="376" t="s">
        <v>171</v>
      </c>
      <c r="AE10" s="376" t="s">
        <v>235</v>
      </c>
      <c r="AF10" s="376" t="s">
        <v>239</v>
      </c>
      <c r="AG10" s="376" t="s">
        <v>178</v>
      </c>
      <c r="AH10" s="381">
        <v>16.5</v>
      </c>
      <c r="AI10" s="379">
        <v>1600</v>
      </c>
      <c r="AJ10" s="376" t="s">
        <v>179</v>
      </c>
      <c r="AK10" s="376" t="s">
        <v>180</v>
      </c>
      <c r="AL10" s="376" t="s">
        <v>181</v>
      </c>
      <c r="AM10" s="376" t="s">
        <v>182</v>
      </c>
      <c r="AN10" s="376" t="s">
        <v>68</v>
      </c>
      <c r="AO10" s="379">
        <v>80</v>
      </c>
      <c r="AP10" s="460">
        <v>1</v>
      </c>
      <c r="AQ10" s="460">
        <v>1</v>
      </c>
      <c r="AR10" s="458" t="s">
        <v>183</v>
      </c>
      <c r="AS10" s="462">
        <f t="shared" si="0"/>
        <v>1</v>
      </c>
      <c r="AT10">
        <f t="shared" si="1"/>
        <v>1</v>
      </c>
      <c r="AU10" s="462">
        <f>IF(AT10=0,"",IF(AND(AT10=1,M10="F",SUMIF(C2:C170,C10,AS2:AS170)&lt;=1),SUMIF(C2:C170,C10,AS2:AS170),IF(AND(AT10=1,M10="F",SUMIF(C2:C170,C10,AS2:AS170)&gt;1),1,"")))</f>
        <v>1</v>
      </c>
      <c r="AV10" s="462" t="str">
        <f>IF(AT10=0,"",IF(AND(AT10=3,M10="F",SUMIF(C2:C170,C10,AS2:AS170)&lt;=1),SUMIF(C2:C170,C10,AS2:AS170),IF(AND(AT10=3,M10="F",SUMIF(C2:C170,C10,AS2:AS170)&gt;1),1,"")))</f>
        <v/>
      </c>
      <c r="AW10" s="462">
        <f>SUMIF(C2:C170,C10,O2:O170)</f>
        <v>1</v>
      </c>
      <c r="AX10" s="462">
        <f>IF(AND(M10="F",AS10&lt;&gt;0),SUMIF(C2:C170,C10,W2:W170),0)</f>
        <v>34320</v>
      </c>
      <c r="AY10" s="462">
        <f t="shared" si="2"/>
        <v>34320</v>
      </c>
      <c r="AZ10" s="462" t="str">
        <f t="shared" si="3"/>
        <v/>
      </c>
      <c r="BA10" s="462">
        <f t="shared" si="4"/>
        <v>0</v>
      </c>
      <c r="BB10" s="462">
        <f>IF(AND(AT10=1,AK10="E",AU10&gt;=0.75,AW10=1),Health,IF(AND(AT10=1,AK10="E",AU10&gt;=0.75),Health*P10,IF(AND(AT10=1,AK10="E",AU10&gt;=0.5,AW10=1),PTHealth,IF(AND(AT10=1,AK10="E",AU10&gt;=0.5),PTHealth*P10,0))))</f>
        <v>11650</v>
      </c>
      <c r="BC10" s="462">
        <f>IF(AND(AT10=3,AK10="E",AV10&gt;=0.75,AW10=1),Health,IF(AND(AT10=3,AK10="E",AV10&gt;=0.75),Health*P10,IF(AND(AT10=3,AK10="E",AV10&gt;=0.5,AW10=1),PTHealth,IF(AND(AT10=3,AK10="E",AV10&gt;=0.5),PTHealth*P10,0))))</f>
        <v>0</v>
      </c>
      <c r="BD10" s="462">
        <f>IF(AND(AT10&lt;&gt;0,AX10&gt;=MAXSSDI),SSDI*MAXSSDI*P10,IF(AT10&lt;&gt;0,SSDI*W10,0))</f>
        <v>2127.84</v>
      </c>
      <c r="BE10" s="462">
        <f>IF(AT10&lt;&gt;0,SSHI*W10,0)</f>
        <v>497.64000000000004</v>
      </c>
      <c r="BF10" s="462">
        <f>IF(AND(AT10&lt;&gt;0,AN10&lt;&gt;"NE"),VLOOKUP(AN10,Retirement_Rates,3,FALSE)*W10,0)</f>
        <v>4097.808</v>
      </c>
      <c r="BG10" s="462">
        <f>IF(AND(AT10&lt;&gt;0,AJ10&lt;&gt;"PF"),Life*W10,0)</f>
        <v>247.44720000000001</v>
      </c>
      <c r="BH10" s="462">
        <f>IF(AND(AT10&lt;&gt;0,AM10="Y"),UI*W10,0)</f>
        <v>168.16800000000001</v>
      </c>
      <c r="BI10" s="462">
        <f>IF(AND(AT10&lt;&gt;0,N10&lt;&gt;"NR"),DHR*W10,0)</f>
        <v>190.1328</v>
      </c>
      <c r="BJ10" s="462">
        <f>IF(AT10&lt;&gt;0,WC*W10,0)</f>
        <v>68.64</v>
      </c>
      <c r="BK10" s="462">
        <f>IF(OR(AND(AT10&lt;&gt;0,AJ10&lt;&gt;"PF",AN10&lt;&gt;"NE",AG10&lt;&gt;"A"),AND(AL10="E",OR(AT10=1,AT10=3))),Sick*W10,0)</f>
        <v>0</v>
      </c>
      <c r="BL10" s="462">
        <f t="shared" si="5"/>
        <v>7397.6760000000004</v>
      </c>
      <c r="BM10" s="462">
        <f t="shared" si="6"/>
        <v>0</v>
      </c>
      <c r="BN10" s="462">
        <f>IF(AND(AT10=1,AK10="E",AU10&gt;=0.75,AW10=1),HealthBY,IF(AND(AT10=1,AK10="E",AU10&gt;=0.75),HealthBY*P10,IF(AND(AT10=1,AK10="E",AU10&gt;=0.5,AW10=1),PTHealthBY,IF(AND(AT10=1,AK10="E",AU10&gt;=0.5),PTHealthBY*P10,0))))</f>
        <v>11650</v>
      </c>
      <c r="BO10" s="462">
        <f>IF(AND(AT10=3,AK10="E",AV10&gt;=0.75,AW10=1),HealthBY,IF(AND(AT10=3,AK10="E",AV10&gt;=0.75),HealthBY*P10,IF(AND(AT10=3,AK10="E",AV10&gt;=0.5,AW10=1),PTHealthBY,IF(AND(AT10=3,AK10="E",AV10&gt;=0.5),PTHealthBY*P10,0))))</f>
        <v>0</v>
      </c>
      <c r="BP10" s="462">
        <f>IF(AND(AT10&lt;&gt;0,(AX10+BA10)&gt;=MAXSSDIBY),SSDIBY*MAXSSDIBY*P10,IF(AT10&lt;&gt;0,SSDIBY*W10,0))</f>
        <v>2127.84</v>
      </c>
      <c r="BQ10" s="462">
        <f>IF(AT10&lt;&gt;0,SSHIBY*W10,0)</f>
        <v>497.64000000000004</v>
      </c>
      <c r="BR10" s="462">
        <f>IF(AND(AT10&lt;&gt;0,AN10&lt;&gt;"NE"),VLOOKUP(AN10,Retirement_Rates,4,FALSE)*W10,0)</f>
        <v>4097.808</v>
      </c>
      <c r="BS10" s="462">
        <f>IF(AND(AT10&lt;&gt;0,AJ10&lt;&gt;"PF"),LifeBY*W10,0)</f>
        <v>247.44720000000001</v>
      </c>
      <c r="BT10" s="462">
        <f>IF(AND(AT10&lt;&gt;0,AM10="Y"),UIBY*W10,0)</f>
        <v>0</v>
      </c>
      <c r="BU10" s="462">
        <f>IF(AND(AT10&lt;&gt;0,N10&lt;&gt;"NR"),DHRBY*W10,0)</f>
        <v>190.1328</v>
      </c>
      <c r="BV10" s="462">
        <f>IF(AT10&lt;&gt;0,WCBY*W10,0)</f>
        <v>58.343999999999994</v>
      </c>
      <c r="BW10" s="462">
        <f>IF(OR(AND(AT10&lt;&gt;0,AJ10&lt;&gt;"PF",AN10&lt;&gt;"NE",AG10&lt;&gt;"A"),AND(AL10="E",OR(AT10=1,AT10=3))),SickBY*W10,0)</f>
        <v>0</v>
      </c>
      <c r="BX10" s="462">
        <f t="shared" si="7"/>
        <v>7219.2120000000004</v>
      </c>
      <c r="BY10" s="462">
        <f t="shared" si="8"/>
        <v>0</v>
      </c>
      <c r="BZ10" s="462">
        <f t="shared" si="9"/>
        <v>0</v>
      </c>
      <c r="CA10" s="462">
        <f t="shared" si="10"/>
        <v>0</v>
      </c>
      <c r="CB10" s="462">
        <f t="shared" si="11"/>
        <v>0</v>
      </c>
      <c r="CC10" s="462">
        <f>IF(AT10&lt;&gt;0,SSHICHG*Y10,0)</f>
        <v>0</v>
      </c>
      <c r="CD10" s="462">
        <f>IF(AND(AT10&lt;&gt;0,AN10&lt;&gt;"NE"),VLOOKUP(AN10,Retirement_Rates,5,FALSE)*Y10,0)</f>
        <v>0</v>
      </c>
      <c r="CE10" s="462">
        <f>IF(AND(AT10&lt;&gt;0,AJ10&lt;&gt;"PF"),LifeCHG*Y10,0)</f>
        <v>0</v>
      </c>
      <c r="CF10" s="462">
        <f>IF(AND(AT10&lt;&gt;0,AM10="Y"),UICHG*Y10,0)</f>
        <v>-168.16800000000001</v>
      </c>
      <c r="CG10" s="462">
        <f>IF(AND(AT10&lt;&gt;0,N10&lt;&gt;"NR"),DHRCHG*Y10,0)</f>
        <v>0</v>
      </c>
      <c r="CH10" s="462">
        <f>IF(AT10&lt;&gt;0,WCCHG*Y10,0)</f>
        <v>-10.296000000000005</v>
      </c>
      <c r="CI10" s="462">
        <f>IF(OR(AND(AT10&lt;&gt;0,AJ10&lt;&gt;"PF",AN10&lt;&gt;"NE",AG10&lt;&gt;"A"),AND(AL10="E",OR(AT10=1,AT10=3))),SickCHG*Y10,0)</f>
        <v>0</v>
      </c>
      <c r="CJ10" s="462">
        <f t="shared" si="12"/>
        <v>-178.464</v>
      </c>
      <c r="CK10" s="462" t="str">
        <f t="shared" si="13"/>
        <v/>
      </c>
      <c r="CL10" s="462" t="str">
        <f t="shared" si="14"/>
        <v/>
      </c>
      <c r="CM10" s="462" t="str">
        <f t="shared" si="15"/>
        <v/>
      </c>
      <c r="CN10" s="462" t="str">
        <f t="shared" si="16"/>
        <v>0001-00</v>
      </c>
    </row>
    <row r="11" spans="1:92" ht="15" thickBot="1" x14ac:dyDescent="0.35">
      <c r="A11" s="376" t="s">
        <v>161</v>
      </c>
      <c r="B11" s="376" t="s">
        <v>162</v>
      </c>
      <c r="C11" s="376" t="s">
        <v>240</v>
      </c>
      <c r="D11" s="376" t="s">
        <v>218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241</v>
      </c>
      <c r="L11" s="376" t="s">
        <v>176</v>
      </c>
      <c r="M11" s="376" t="s">
        <v>171</v>
      </c>
      <c r="N11" s="376" t="s">
        <v>172</v>
      </c>
      <c r="O11" s="379">
        <v>1</v>
      </c>
      <c r="P11" s="460">
        <v>1</v>
      </c>
      <c r="Q11" s="460">
        <v>1</v>
      </c>
      <c r="R11" s="380">
        <v>80</v>
      </c>
      <c r="S11" s="460">
        <v>1</v>
      </c>
      <c r="T11" s="380">
        <v>48003.199999999997</v>
      </c>
      <c r="U11" s="380">
        <v>0</v>
      </c>
      <c r="V11" s="380">
        <v>21709.3</v>
      </c>
      <c r="W11" s="380">
        <v>50044.800000000003</v>
      </c>
      <c r="X11" s="380">
        <v>22437.1</v>
      </c>
      <c r="Y11" s="380">
        <v>50044.800000000003</v>
      </c>
      <c r="Z11" s="380">
        <v>22176.880000000001</v>
      </c>
      <c r="AA11" s="376" t="s">
        <v>242</v>
      </c>
      <c r="AB11" s="376" t="s">
        <v>243</v>
      </c>
      <c r="AC11" s="376" t="s">
        <v>244</v>
      </c>
      <c r="AD11" s="376" t="s">
        <v>245</v>
      </c>
      <c r="AE11" s="376" t="s">
        <v>241</v>
      </c>
      <c r="AF11" s="376" t="s">
        <v>190</v>
      </c>
      <c r="AG11" s="376" t="s">
        <v>178</v>
      </c>
      <c r="AH11" s="381">
        <v>24.06</v>
      </c>
      <c r="AI11" s="381">
        <v>41882.300000000003</v>
      </c>
      <c r="AJ11" s="376" t="s">
        <v>179</v>
      </c>
      <c r="AK11" s="376" t="s">
        <v>180</v>
      </c>
      <c r="AL11" s="376" t="s">
        <v>181</v>
      </c>
      <c r="AM11" s="376" t="s">
        <v>182</v>
      </c>
      <c r="AN11" s="376" t="s">
        <v>68</v>
      </c>
      <c r="AO11" s="379">
        <v>80</v>
      </c>
      <c r="AP11" s="460">
        <v>1</v>
      </c>
      <c r="AQ11" s="460">
        <v>1</v>
      </c>
      <c r="AR11" s="458" t="s">
        <v>183</v>
      </c>
      <c r="AS11" s="462">
        <f t="shared" si="0"/>
        <v>1</v>
      </c>
      <c r="AT11">
        <f t="shared" si="1"/>
        <v>1</v>
      </c>
      <c r="AU11" s="462">
        <f>IF(AT11=0,"",IF(AND(AT11=1,M11="F",SUMIF(C2:C170,C11,AS2:AS170)&lt;=1),SUMIF(C2:C170,C11,AS2:AS170),IF(AND(AT11=1,M11="F",SUMIF(C2:C170,C11,AS2:AS170)&gt;1),1,"")))</f>
        <v>1</v>
      </c>
      <c r="AV11" s="462" t="str">
        <f>IF(AT11=0,"",IF(AND(AT11=3,M11="F",SUMIF(C2:C170,C11,AS2:AS170)&lt;=1),SUMIF(C2:C170,C11,AS2:AS170),IF(AND(AT11=3,M11="F",SUMIF(C2:C170,C11,AS2:AS170)&gt;1),1,"")))</f>
        <v/>
      </c>
      <c r="AW11" s="462">
        <f>SUMIF(C2:C170,C11,O2:O170)</f>
        <v>1</v>
      </c>
      <c r="AX11" s="462">
        <f>IF(AND(M11="F",AS11&lt;&gt;0),SUMIF(C2:C170,C11,W2:W170),0)</f>
        <v>50044.800000000003</v>
      </c>
      <c r="AY11" s="462">
        <f t="shared" si="2"/>
        <v>50044.800000000003</v>
      </c>
      <c r="AZ11" s="462" t="str">
        <f t="shared" si="3"/>
        <v/>
      </c>
      <c r="BA11" s="462">
        <f t="shared" si="4"/>
        <v>0</v>
      </c>
      <c r="BB11" s="462">
        <f>IF(AND(AT11=1,AK11="E",AU11&gt;=0.75,AW11=1),Health,IF(AND(AT11=1,AK11="E",AU11&gt;=0.75),Health*P11,IF(AND(AT11=1,AK11="E",AU11&gt;=0.5,AW11=1),PTHealth,IF(AND(AT11=1,AK11="E",AU11&gt;=0.5),PTHealth*P11,0))))</f>
        <v>11650</v>
      </c>
      <c r="BC11" s="462">
        <f>IF(AND(AT11=3,AK11="E",AV11&gt;=0.75,AW11=1),Health,IF(AND(AT11=3,AK11="E",AV11&gt;=0.75),Health*P11,IF(AND(AT11=3,AK11="E",AV11&gt;=0.5,AW11=1),PTHealth,IF(AND(AT11=3,AK11="E",AV11&gt;=0.5),PTHealth*P11,0))))</f>
        <v>0</v>
      </c>
      <c r="BD11" s="462">
        <f>IF(AND(AT11&lt;&gt;0,AX11&gt;=MAXSSDI),SSDI*MAXSSDI*P11,IF(AT11&lt;&gt;0,SSDI*W11,0))</f>
        <v>3102.7776000000003</v>
      </c>
      <c r="BE11" s="462">
        <f>IF(AT11&lt;&gt;0,SSHI*W11,0)</f>
        <v>725.64960000000008</v>
      </c>
      <c r="BF11" s="462">
        <f>IF(AND(AT11&lt;&gt;0,AN11&lt;&gt;"NE"),VLOOKUP(AN11,Retirement_Rates,3,FALSE)*W11,0)</f>
        <v>5975.3491200000008</v>
      </c>
      <c r="BG11" s="462">
        <f>IF(AND(AT11&lt;&gt;0,AJ11&lt;&gt;"PF"),Life*W11,0)</f>
        <v>360.82300800000002</v>
      </c>
      <c r="BH11" s="462">
        <f>IF(AND(AT11&lt;&gt;0,AM11="Y"),UI*W11,0)</f>
        <v>245.21952000000002</v>
      </c>
      <c r="BI11" s="462">
        <f>IF(AND(AT11&lt;&gt;0,N11&lt;&gt;"NR"),DHR*W11,0)</f>
        <v>277.24819200000002</v>
      </c>
      <c r="BJ11" s="462">
        <f>IF(AT11&lt;&gt;0,WC*W11,0)</f>
        <v>100.0896</v>
      </c>
      <c r="BK11" s="462">
        <f>IF(OR(AND(AT11&lt;&gt;0,AJ11&lt;&gt;"PF",AN11&lt;&gt;"NE",AG11&lt;&gt;"A"),AND(AL11="E",OR(AT11=1,AT11=3))),Sick*W11,0)</f>
        <v>0</v>
      </c>
      <c r="BL11" s="462">
        <f t="shared" si="5"/>
        <v>10787.156640000001</v>
      </c>
      <c r="BM11" s="462">
        <f t="shared" si="6"/>
        <v>0</v>
      </c>
      <c r="BN11" s="462">
        <f>IF(AND(AT11=1,AK11="E",AU11&gt;=0.75,AW11=1),HealthBY,IF(AND(AT11=1,AK11="E",AU11&gt;=0.75),HealthBY*P11,IF(AND(AT11=1,AK11="E",AU11&gt;=0.5,AW11=1),PTHealthBY,IF(AND(AT11=1,AK11="E",AU11&gt;=0.5),PTHealthBY*P11,0))))</f>
        <v>11650</v>
      </c>
      <c r="BO11" s="462">
        <f>IF(AND(AT11=3,AK11="E",AV11&gt;=0.75,AW11=1),HealthBY,IF(AND(AT11=3,AK11="E",AV11&gt;=0.75),HealthBY*P11,IF(AND(AT11=3,AK11="E",AV11&gt;=0.5,AW11=1),PTHealthBY,IF(AND(AT11=3,AK11="E",AV11&gt;=0.5),PTHealthBY*P11,0))))</f>
        <v>0</v>
      </c>
      <c r="BP11" s="462">
        <f>IF(AND(AT11&lt;&gt;0,(AX11+BA11)&gt;=MAXSSDIBY),SSDIBY*MAXSSDIBY*P11,IF(AT11&lt;&gt;0,SSDIBY*W11,0))</f>
        <v>3102.7776000000003</v>
      </c>
      <c r="BQ11" s="462">
        <f>IF(AT11&lt;&gt;0,SSHIBY*W11,0)</f>
        <v>725.64960000000008</v>
      </c>
      <c r="BR11" s="462">
        <f>IF(AND(AT11&lt;&gt;0,AN11&lt;&gt;"NE"),VLOOKUP(AN11,Retirement_Rates,4,FALSE)*W11,0)</f>
        <v>5975.3491200000008</v>
      </c>
      <c r="BS11" s="462">
        <f>IF(AND(AT11&lt;&gt;0,AJ11&lt;&gt;"PF"),LifeBY*W11,0)</f>
        <v>360.82300800000002</v>
      </c>
      <c r="BT11" s="462">
        <f>IF(AND(AT11&lt;&gt;0,AM11="Y"),UIBY*W11,0)</f>
        <v>0</v>
      </c>
      <c r="BU11" s="462">
        <f>IF(AND(AT11&lt;&gt;0,N11&lt;&gt;"NR"),DHRBY*W11,0)</f>
        <v>277.24819200000002</v>
      </c>
      <c r="BV11" s="462">
        <f>IF(AT11&lt;&gt;0,WCBY*W11,0)</f>
        <v>85.076160000000002</v>
      </c>
      <c r="BW11" s="462">
        <f>IF(OR(AND(AT11&lt;&gt;0,AJ11&lt;&gt;"PF",AN11&lt;&gt;"NE",AG11&lt;&gt;"A"),AND(AL11="E",OR(AT11=1,AT11=3))),SickBY*W11,0)</f>
        <v>0</v>
      </c>
      <c r="BX11" s="462">
        <f t="shared" si="7"/>
        <v>10526.92368</v>
      </c>
      <c r="BY11" s="462">
        <f t="shared" si="8"/>
        <v>0</v>
      </c>
      <c r="BZ11" s="462">
        <f t="shared" si="9"/>
        <v>0</v>
      </c>
      <c r="CA11" s="462">
        <f t="shared" si="10"/>
        <v>0</v>
      </c>
      <c r="CB11" s="462">
        <f t="shared" si="11"/>
        <v>0</v>
      </c>
      <c r="CC11" s="462">
        <f>IF(AT11&lt;&gt;0,SSHICHG*Y11,0)</f>
        <v>0</v>
      </c>
      <c r="CD11" s="462">
        <f>IF(AND(AT11&lt;&gt;0,AN11&lt;&gt;"NE"),VLOOKUP(AN11,Retirement_Rates,5,FALSE)*Y11,0)</f>
        <v>0</v>
      </c>
      <c r="CE11" s="462">
        <f>IF(AND(AT11&lt;&gt;0,AJ11&lt;&gt;"PF"),LifeCHG*Y11,0)</f>
        <v>0</v>
      </c>
      <c r="CF11" s="462">
        <f>IF(AND(AT11&lt;&gt;0,AM11="Y"),UICHG*Y11,0)</f>
        <v>-245.21952000000002</v>
      </c>
      <c r="CG11" s="462">
        <f>IF(AND(AT11&lt;&gt;0,N11&lt;&gt;"NR"),DHRCHG*Y11,0)</f>
        <v>0</v>
      </c>
      <c r="CH11" s="462">
        <f>IF(AT11&lt;&gt;0,WCCHG*Y11,0)</f>
        <v>-15.013440000000008</v>
      </c>
      <c r="CI11" s="462">
        <f>IF(OR(AND(AT11&lt;&gt;0,AJ11&lt;&gt;"PF",AN11&lt;&gt;"NE",AG11&lt;&gt;"A"),AND(AL11="E",OR(AT11=1,AT11=3))),SickCHG*Y11,0)</f>
        <v>0</v>
      </c>
      <c r="CJ11" s="462">
        <f t="shared" si="12"/>
        <v>-260.23296000000005</v>
      </c>
      <c r="CK11" s="462" t="str">
        <f t="shared" si="13"/>
        <v/>
      </c>
      <c r="CL11" s="462" t="str">
        <f t="shared" si="14"/>
        <v/>
      </c>
      <c r="CM11" s="462" t="str">
        <f t="shared" si="15"/>
        <v/>
      </c>
      <c r="CN11" s="462" t="str">
        <f t="shared" si="16"/>
        <v>0001-00</v>
      </c>
    </row>
    <row r="12" spans="1:92" ht="15" thickBot="1" x14ac:dyDescent="0.35">
      <c r="A12" s="376" t="s">
        <v>161</v>
      </c>
      <c r="B12" s="376" t="s">
        <v>162</v>
      </c>
      <c r="C12" s="376" t="s">
        <v>246</v>
      </c>
      <c r="D12" s="376" t="s">
        <v>247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248</v>
      </c>
      <c r="L12" s="376" t="s">
        <v>176</v>
      </c>
      <c r="M12" s="376" t="s">
        <v>171</v>
      </c>
      <c r="N12" s="376" t="s">
        <v>172</v>
      </c>
      <c r="O12" s="379">
        <v>1</v>
      </c>
      <c r="P12" s="460">
        <v>1</v>
      </c>
      <c r="Q12" s="460">
        <v>1</v>
      </c>
      <c r="R12" s="380">
        <v>80</v>
      </c>
      <c r="S12" s="460">
        <v>1</v>
      </c>
      <c r="T12" s="380">
        <v>47377.69</v>
      </c>
      <c r="U12" s="380">
        <v>0</v>
      </c>
      <c r="V12" s="380">
        <v>21529</v>
      </c>
      <c r="W12" s="380">
        <v>49982.400000000001</v>
      </c>
      <c r="X12" s="380">
        <v>22423.67</v>
      </c>
      <c r="Y12" s="380">
        <v>49982.400000000001</v>
      </c>
      <c r="Z12" s="380">
        <v>22163.77</v>
      </c>
      <c r="AA12" s="376" t="s">
        <v>249</v>
      </c>
      <c r="AB12" s="376" t="s">
        <v>250</v>
      </c>
      <c r="AC12" s="376" t="s">
        <v>251</v>
      </c>
      <c r="AD12" s="376" t="s">
        <v>252</v>
      </c>
      <c r="AE12" s="376" t="s">
        <v>248</v>
      </c>
      <c r="AF12" s="376" t="s">
        <v>190</v>
      </c>
      <c r="AG12" s="376" t="s">
        <v>178</v>
      </c>
      <c r="AH12" s="381">
        <v>24.03</v>
      </c>
      <c r="AI12" s="381">
        <v>5728.1</v>
      </c>
      <c r="AJ12" s="376" t="s">
        <v>179</v>
      </c>
      <c r="AK12" s="376" t="s">
        <v>180</v>
      </c>
      <c r="AL12" s="376" t="s">
        <v>181</v>
      </c>
      <c r="AM12" s="376" t="s">
        <v>182</v>
      </c>
      <c r="AN12" s="376" t="s">
        <v>68</v>
      </c>
      <c r="AO12" s="379">
        <v>80</v>
      </c>
      <c r="AP12" s="460">
        <v>1</v>
      </c>
      <c r="AQ12" s="460">
        <v>1</v>
      </c>
      <c r="AR12" s="458" t="s">
        <v>183</v>
      </c>
      <c r="AS12" s="462">
        <f t="shared" si="0"/>
        <v>1</v>
      </c>
      <c r="AT12">
        <f t="shared" si="1"/>
        <v>1</v>
      </c>
      <c r="AU12" s="462">
        <f>IF(AT12=0,"",IF(AND(AT12=1,M12="F",SUMIF(C2:C170,C12,AS2:AS170)&lt;=1),SUMIF(C2:C170,C12,AS2:AS170),IF(AND(AT12=1,M12="F",SUMIF(C2:C170,C12,AS2:AS170)&gt;1),1,"")))</f>
        <v>1</v>
      </c>
      <c r="AV12" s="462" t="str">
        <f>IF(AT12=0,"",IF(AND(AT12=3,M12="F",SUMIF(C2:C170,C12,AS2:AS170)&lt;=1),SUMIF(C2:C170,C12,AS2:AS170),IF(AND(AT12=3,M12="F",SUMIF(C2:C170,C12,AS2:AS170)&gt;1),1,"")))</f>
        <v/>
      </c>
      <c r="AW12" s="462">
        <f>SUMIF(C2:C170,C12,O2:O170)</f>
        <v>1</v>
      </c>
      <c r="AX12" s="462">
        <f>IF(AND(M12="F",AS12&lt;&gt;0),SUMIF(C2:C170,C12,W2:W170),0)</f>
        <v>49982.400000000001</v>
      </c>
      <c r="AY12" s="462">
        <f t="shared" si="2"/>
        <v>49982.400000000001</v>
      </c>
      <c r="AZ12" s="462" t="str">
        <f t="shared" si="3"/>
        <v/>
      </c>
      <c r="BA12" s="462">
        <f t="shared" si="4"/>
        <v>0</v>
      </c>
      <c r="BB12" s="462">
        <f>IF(AND(AT12=1,AK12="E",AU12&gt;=0.75,AW12=1),Health,IF(AND(AT12=1,AK12="E",AU12&gt;=0.75),Health*P12,IF(AND(AT12=1,AK12="E",AU12&gt;=0.5,AW12=1),PTHealth,IF(AND(AT12=1,AK12="E",AU12&gt;=0.5),PTHealth*P12,0))))</f>
        <v>11650</v>
      </c>
      <c r="BC12" s="462">
        <f>IF(AND(AT12=3,AK12="E",AV12&gt;=0.75,AW12=1),Health,IF(AND(AT12=3,AK12="E",AV12&gt;=0.75),Health*P12,IF(AND(AT12=3,AK12="E",AV12&gt;=0.5,AW12=1),PTHealth,IF(AND(AT12=3,AK12="E",AV12&gt;=0.5),PTHealth*P12,0))))</f>
        <v>0</v>
      </c>
      <c r="BD12" s="462">
        <f>IF(AND(AT12&lt;&gt;0,AX12&gt;=MAXSSDI),SSDI*MAXSSDI*P12,IF(AT12&lt;&gt;0,SSDI*W12,0))</f>
        <v>3098.9088000000002</v>
      </c>
      <c r="BE12" s="462">
        <f>IF(AT12&lt;&gt;0,SSHI*W12,0)</f>
        <v>724.74480000000005</v>
      </c>
      <c r="BF12" s="462">
        <f>IF(AND(AT12&lt;&gt;0,AN12&lt;&gt;"NE"),VLOOKUP(AN12,Retirement_Rates,3,FALSE)*W12,0)</f>
        <v>5967.8985600000005</v>
      </c>
      <c r="BG12" s="462">
        <f>IF(AND(AT12&lt;&gt;0,AJ12&lt;&gt;"PF"),Life*W12,0)</f>
        <v>360.37310400000001</v>
      </c>
      <c r="BH12" s="462">
        <f>IF(AND(AT12&lt;&gt;0,AM12="Y"),UI*W12,0)</f>
        <v>244.91376</v>
      </c>
      <c r="BI12" s="462">
        <f>IF(AND(AT12&lt;&gt;0,N12&lt;&gt;"NR"),DHR*W12,0)</f>
        <v>276.90249599999999</v>
      </c>
      <c r="BJ12" s="462">
        <f>IF(AT12&lt;&gt;0,WC*W12,0)</f>
        <v>99.964800000000011</v>
      </c>
      <c r="BK12" s="462">
        <f>IF(OR(AND(AT12&lt;&gt;0,AJ12&lt;&gt;"PF",AN12&lt;&gt;"NE",AG12&lt;&gt;"A"),AND(AL12="E",OR(AT12=1,AT12=3))),Sick*W12,0)</f>
        <v>0</v>
      </c>
      <c r="BL12" s="462">
        <f t="shared" si="5"/>
        <v>10773.706320000001</v>
      </c>
      <c r="BM12" s="462">
        <f t="shared" si="6"/>
        <v>0</v>
      </c>
      <c r="BN12" s="462">
        <f>IF(AND(AT12=1,AK12="E",AU12&gt;=0.75,AW12=1),HealthBY,IF(AND(AT12=1,AK12="E",AU12&gt;=0.75),HealthBY*P12,IF(AND(AT12=1,AK12="E",AU12&gt;=0.5,AW12=1),PTHealthBY,IF(AND(AT12=1,AK12="E",AU12&gt;=0.5),PTHealthBY*P12,0))))</f>
        <v>11650</v>
      </c>
      <c r="BO12" s="462">
        <f>IF(AND(AT12=3,AK12="E",AV12&gt;=0.75,AW12=1),HealthBY,IF(AND(AT12=3,AK12="E",AV12&gt;=0.75),HealthBY*P12,IF(AND(AT12=3,AK12="E",AV12&gt;=0.5,AW12=1),PTHealthBY,IF(AND(AT12=3,AK12="E",AV12&gt;=0.5),PTHealthBY*P12,0))))</f>
        <v>0</v>
      </c>
      <c r="BP12" s="462">
        <f>IF(AND(AT12&lt;&gt;0,(AX12+BA12)&gt;=MAXSSDIBY),SSDIBY*MAXSSDIBY*P12,IF(AT12&lt;&gt;0,SSDIBY*W12,0))</f>
        <v>3098.9088000000002</v>
      </c>
      <c r="BQ12" s="462">
        <f>IF(AT12&lt;&gt;0,SSHIBY*W12,0)</f>
        <v>724.74480000000005</v>
      </c>
      <c r="BR12" s="462">
        <f>IF(AND(AT12&lt;&gt;0,AN12&lt;&gt;"NE"),VLOOKUP(AN12,Retirement_Rates,4,FALSE)*W12,0)</f>
        <v>5967.8985600000005</v>
      </c>
      <c r="BS12" s="462">
        <f>IF(AND(AT12&lt;&gt;0,AJ12&lt;&gt;"PF"),LifeBY*W12,0)</f>
        <v>360.37310400000001</v>
      </c>
      <c r="BT12" s="462">
        <f>IF(AND(AT12&lt;&gt;0,AM12="Y"),UIBY*W12,0)</f>
        <v>0</v>
      </c>
      <c r="BU12" s="462">
        <f>IF(AND(AT12&lt;&gt;0,N12&lt;&gt;"NR"),DHRBY*W12,0)</f>
        <v>276.90249599999999</v>
      </c>
      <c r="BV12" s="462">
        <f>IF(AT12&lt;&gt;0,WCBY*W12,0)</f>
        <v>84.970079999999996</v>
      </c>
      <c r="BW12" s="462">
        <f>IF(OR(AND(AT12&lt;&gt;0,AJ12&lt;&gt;"PF",AN12&lt;&gt;"NE",AG12&lt;&gt;"A"),AND(AL12="E",OR(AT12=1,AT12=3))),SickBY*W12,0)</f>
        <v>0</v>
      </c>
      <c r="BX12" s="462">
        <f t="shared" si="7"/>
        <v>10513.797840000001</v>
      </c>
      <c r="BY12" s="462">
        <f t="shared" si="8"/>
        <v>0</v>
      </c>
      <c r="BZ12" s="462">
        <f t="shared" si="9"/>
        <v>0</v>
      </c>
      <c r="CA12" s="462">
        <f t="shared" si="10"/>
        <v>0</v>
      </c>
      <c r="CB12" s="462">
        <f t="shared" si="11"/>
        <v>0</v>
      </c>
      <c r="CC12" s="462">
        <f>IF(AT12&lt;&gt;0,SSHICHG*Y12,0)</f>
        <v>0</v>
      </c>
      <c r="CD12" s="462">
        <f>IF(AND(AT12&lt;&gt;0,AN12&lt;&gt;"NE"),VLOOKUP(AN12,Retirement_Rates,5,FALSE)*Y12,0)</f>
        <v>0</v>
      </c>
      <c r="CE12" s="462">
        <f>IF(AND(AT12&lt;&gt;0,AJ12&lt;&gt;"PF"),LifeCHG*Y12,0)</f>
        <v>0</v>
      </c>
      <c r="CF12" s="462">
        <f>IF(AND(AT12&lt;&gt;0,AM12="Y"),UICHG*Y12,0)</f>
        <v>-244.91376</v>
      </c>
      <c r="CG12" s="462">
        <f>IF(AND(AT12&lt;&gt;0,N12&lt;&gt;"NR"),DHRCHG*Y12,0)</f>
        <v>0</v>
      </c>
      <c r="CH12" s="462">
        <f>IF(AT12&lt;&gt;0,WCCHG*Y12,0)</f>
        <v>-14.994720000000008</v>
      </c>
      <c r="CI12" s="462">
        <f>IF(OR(AND(AT12&lt;&gt;0,AJ12&lt;&gt;"PF",AN12&lt;&gt;"NE",AG12&lt;&gt;"A"),AND(AL12="E",OR(AT12=1,AT12=3))),SickCHG*Y12,0)</f>
        <v>0</v>
      </c>
      <c r="CJ12" s="462">
        <f t="shared" si="12"/>
        <v>-259.90848</v>
      </c>
      <c r="CK12" s="462" t="str">
        <f t="shared" si="13"/>
        <v/>
      </c>
      <c r="CL12" s="462" t="str">
        <f t="shared" si="14"/>
        <v/>
      </c>
      <c r="CM12" s="462" t="str">
        <f t="shared" si="15"/>
        <v/>
      </c>
      <c r="CN12" s="462" t="str">
        <f t="shared" si="16"/>
        <v>0001-00</v>
      </c>
    </row>
    <row r="13" spans="1:92" ht="15" thickBot="1" x14ac:dyDescent="0.35">
      <c r="A13" s="376" t="s">
        <v>161</v>
      </c>
      <c r="B13" s="376" t="s">
        <v>162</v>
      </c>
      <c r="C13" s="376" t="s">
        <v>253</v>
      </c>
      <c r="D13" s="376" t="s">
        <v>254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255</v>
      </c>
      <c r="L13" s="376" t="s">
        <v>166</v>
      </c>
      <c r="M13" s="376" t="s">
        <v>171</v>
      </c>
      <c r="N13" s="376" t="s">
        <v>256</v>
      </c>
      <c r="O13" s="379">
        <v>1</v>
      </c>
      <c r="P13" s="460">
        <v>1</v>
      </c>
      <c r="Q13" s="460">
        <v>1</v>
      </c>
      <c r="R13" s="380">
        <v>80</v>
      </c>
      <c r="S13" s="460">
        <v>1</v>
      </c>
      <c r="T13" s="380">
        <v>122247.2</v>
      </c>
      <c r="U13" s="380">
        <v>0</v>
      </c>
      <c r="V13" s="380">
        <v>36720.82</v>
      </c>
      <c r="W13" s="380">
        <v>128107.2</v>
      </c>
      <c r="X13" s="380">
        <v>37926.04</v>
      </c>
      <c r="Y13" s="380">
        <v>128107.2</v>
      </c>
      <c r="Z13" s="380">
        <v>37887.61</v>
      </c>
      <c r="AA13" s="376" t="s">
        <v>257</v>
      </c>
      <c r="AB13" s="376" t="s">
        <v>258</v>
      </c>
      <c r="AC13" s="376" t="s">
        <v>259</v>
      </c>
      <c r="AD13" s="376" t="s">
        <v>260</v>
      </c>
      <c r="AE13" s="376" t="s">
        <v>255</v>
      </c>
      <c r="AF13" s="376" t="s">
        <v>261</v>
      </c>
      <c r="AG13" s="376" t="s">
        <v>178</v>
      </c>
      <c r="AH13" s="381">
        <v>61.59</v>
      </c>
      <c r="AI13" s="379">
        <v>8152</v>
      </c>
      <c r="AJ13" s="376" t="s">
        <v>179</v>
      </c>
      <c r="AK13" s="376" t="s">
        <v>180</v>
      </c>
      <c r="AL13" s="376" t="s">
        <v>181</v>
      </c>
      <c r="AM13" s="376" t="s">
        <v>181</v>
      </c>
      <c r="AN13" s="376" t="s">
        <v>68</v>
      </c>
      <c r="AO13" s="379">
        <v>80</v>
      </c>
      <c r="AP13" s="460">
        <v>1</v>
      </c>
      <c r="AQ13" s="460">
        <v>1</v>
      </c>
      <c r="AR13" s="458" t="s">
        <v>183</v>
      </c>
      <c r="AS13" s="462">
        <f t="shared" si="0"/>
        <v>1</v>
      </c>
      <c r="AT13">
        <f t="shared" si="1"/>
        <v>1</v>
      </c>
      <c r="AU13" s="462">
        <f>IF(AT13=0,"",IF(AND(AT13=1,M13="F",SUMIF(C2:C170,C13,AS2:AS170)&lt;=1),SUMIF(C2:C170,C13,AS2:AS170),IF(AND(AT13=1,M13="F",SUMIF(C2:C170,C13,AS2:AS170)&gt;1),1,"")))</f>
        <v>1</v>
      </c>
      <c r="AV13" s="462" t="str">
        <f>IF(AT13=0,"",IF(AND(AT13=3,M13="F",SUMIF(C2:C170,C13,AS2:AS170)&lt;=1),SUMIF(C2:C170,C13,AS2:AS170),IF(AND(AT13=3,M13="F",SUMIF(C2:C170,C13,AS2:AS170)&gt;1),1,"")))</f>
        <v/>
      </c>
      <c r="AW13" s="462">
        <f>SUMIF(C2:C170,C13,O2:O170)</f>
        <v>1</v>
      </c>
      <c r="AX13" s="462">
        <f>IF(AND(M13="F",AS13&lt;&gt;0),SUMIF(C2:C170,C13,W2:W170),0)</f>
        <v>128107.2</v>
      </c>
      <c r="AY13" s="462">
        <f t="shared" si="2"/>
        <v>128107.2</v>
      </c>
      <c r="AZ13" s="462" t="str">
        <f t="shared" si="3"/>
        <v/>
      </c>
      <c r="BA13" s="462">
        <f t="shared" si="4"/>
        <v>0</v>
      </c>
      <c r="BB13" s="462">
        <f>IF(AND(AT13=1,AK13="E",AU13&gt;=0.75,AW13=1),Health,IF(AND(AT13=1,AK13="E",AU13&gt;=0.75),Health*P13,IF(AND(AT13=1,AK13="E",AU13&gt;=0.5,AW13=1),PTHealth,IF(AND(AT13=1,AK13="E",AU13&gt;=0.5),PTHealth*P13,0))))</f>
        <v>11650</v>
      </c>
      <c r="BC13" s="462">
        <f>IF(AND(AT13=3,AK13="E",AV13&gt;=0.75,AW13=1),Health,IF(AND(AT13=3,AK13="E",AV13&gt;=0.75),Health*P13,IF(AND(AT13=3,AK13="E",AV13&gt;=0.5,AW13=1),PTHealth,IF(AND(AT13=3,AK13="E",AV13&gt;=0.5),PTHealth*P13,0))))</f>
        <v>0</v>
      </c>
      <c r="BD13" s="462">
        <f>IF(AND(AT13&lt;&gt;0,AX13&gt;=MAXSSDI),SSDI*MAXSSDI*P13,IF(AT13&lt;&gt;0,SSDI*W13,0))</f>
        <v>7942.6463999999996</v>
      </c>
      <c r="BE13" s="462">
        <f>IF(AT13&lt;&gt;0,SSHI*W13,0)</f>
        <v>1857.5544</v>
      </c>
      <c r="BF13" s="462">
        <f>IF(AND(AT13&lt;&gt;0,AN13&lt;&gt;"NE"),VLOOKUP(AN13,Retirement_Rates,3,FALSE)*W13,0)</f>
        <v>15295.999680000001</v>
      </c>
      <c r="BG13" s="462">
        <f>IF(AND(AT13&lt;&gt;0,AJ13&lt;&gt;"PF"),Life*W13,0)</f>
        <v>923.65291200000001</v>
      </c>
      <c r="BH13" s="462">
        <f>IF(AND(AT13&lt;&gt;0,AM13="Y"),UI*W13,0)</f>
        <v>0</v>
      </c>
      <c r="BI13" s="462">
        <f>IF(AND(AT13&lt;&gt;0,N13&lt;&gt;"NR"),DHR*W13,0)</f>
        <v>0</v>
      </c>
      <c r="BJ13" s="462">
        <f>IF(AT13&lt;&gt;0,WC*W13,0)</f>
        <v>256.21440000000001</v>
      </c>
      <c r="BK13" s="462">
        <f>IF(OR(AND(AT13&lt;&gt;0,AJ13&lt;&gt;"PF",AN13&lt;&gt;"NE",AG13&lt;&gt;"A"),AND(AL13="E",OR(AT13=1,AT13=3))),Sick*W13,0)</f>
        <v>0</v>
      </c>
      <c r="BL13" s="462">
        <f t="shared" si="5"/>
        <v>26276.067792000002</v>
      </c>
      <c r="BM13" s="462">
        <f t="shared" si="6"/>
        <v>0</v>
      </c>
      <c r="BN13" s="462">
        <f>IF(AND(AT13=1,AK13="E",AU13&gt;=0.75,AW13=1),HealthBY,IF(AND(AT13=1,AK13="E",AU13&gt;=0.75),HealthBY*P13,IF(AND(AT13=1,AK13="E",AU13&gt;=0.5,AW13=1),PTHealthBY,IF(AND(AT13=1,AK13="E",AU13&gt;=0.5),PTHealthBY*P13,0))))</f>
        <v>11650</v>
      </c>
      <c r="BO13" s="462">
        <f>IF(AND(AT13=3,AK13="E",AV13&gt;=0.75,AW13=1),HealthBY,IF(AND(AT13=3,AK13="E",AV13&gt;=0.75),HealthBY*P13,IF(AND(AT13=3,AK13="E",AV13&gt;=0.5,AW13=1),PTHealthBY,IF(AND(AT13=3,AK13="E",AV13&gt;=0.5),PTHealthBY*P13,0))))</f>
        <v>0</v>
      </c>
      <c r="BP13" s="462">
        <f>IF(AND(AT13&lt;&gt;0,(AX13+BA13)&gt;=MAXSSDIBY),SSDIBY*MAXSSDIBY*P13,IF(AT13&lt;&gt;0,SSDIBY*W13,0))</f>
        <v>7942.6463999999996</v>
      </c>
      <c r="BQ13" s="462">
        <f>IF(AT13&lt;&gt;0,SSHIBY*W13,0)</f>
        <v>1857.5544</v>
      </c>
      <c r="BR13" s="462">
        <f>IF(AND(AT13&lt;&gt;0,AN13&lt;&gt;"NE"),VLOOKUP(AN13,Retirement_Rates,4,FALSE)*W13,0)</f>
        <v>15295.999680000001</v>
      </c>
      <c r="BS13" s="462">
        <f>IF(AND(AT13&lt;&gt;0,AJ13&lt;&gt;"PF"),LifeBY*W13,0)</f>
        <v>923.65291200000001</v>
      </c>
      <c r="BT13" s="462">
        <f>IF(AND(AT13&lt;&gt;0,AM13="Y"),UIBY*W13,0)</f>
        <v>0</v>
      </c>
      <c r="BU13" s="462">
        <f>IF(AND(AT13&lt;&gt;0,N13&lt;&gt;"NR"),DHRBY*W13,0)</f>
        <v>0</v>
      </c>
      <c r="BV13" s="462">
        <f>IF(AT13&lt;&gt;0,WCBY*W13,0)</f>
        <v>217.78223999999997</v>
      </c>
      <c r="BW13" s="462">
        <f>IF(OR(AND(AT13&lt;&gt;0,AJ13&lt;&gt;"PF",AN13&lt;&gt;"NE",AG13&lt;&gt;"A"),AND(AL13="E",OR(AT13=1,AT13=3))),SickBY*W13,0)</f>
        <v>0</v>
      </c>
      <c r="BX13" s="462">
        <f t="shared" si="7"/>
        <v>26237.635632000001</v>
      </c>
      <c r="BY13" s="462">
        <f t="shared" si="8"/>
        <v>0</v>
      </c>
      <c r="BZ13" s="462">
        <f t="shared" si="9"/>
        <v>0</v>
      </c>
      <c r="CA13" s="462">
        <f t="shared" si="10"/>
        <v>0</v>
      </c>
      <c r="CB13" s="462">
        <f t="shared" si="11"/>
        <v>0</v>
      </c>
      <c r="CC13" s="462">
        <f>IF(AT13&lt;&gt;0,SSHICHG*Y13,0)</f>
        <v>0</v>
      </c>
      <c r="CD13" s="462">
        <f>IF(AND(AT13&lt;&gt;0,AN13&lt;&gt;"NE"),VLOOKUP(AN13,Retirement_Rates,5,FALSE)*Y13,0)</f>
        <v>0</v>
      </c>
      <c r="CE13" s="462">
        <f>IF(AND(AT13&lt;&gt;0,AJ13&lt;&gt;"PF"),LifeCHG*Y13,0)</f>
        <v>0</v>
      </c>
      <c r="CF13" s="462">
        <f>IF(AND(AT13&lt;&gt;0,AM13="Y"),UICHG*Y13,0)</f>
        <v>0</v>
      </c>
      <c r="CG13" s="462">
        <f>IF(AND(AT13&lt;&gt;0,N13&lt;&gt;"NR"),DHRCHG*Y13,0)</f>
        <v>0</v>
      </c>
      <c r="CH13" s="462">
        <f>IF(AT13&lt;&gt;0,WCCHG*Y13,0)</f>
        <v>-38.432160000000017</v>
      </c>
      <c r="CI13" s="462">
        <f>IF(OR(AND(AT13&lt;&gt;0,AJ13&lt;&gt;"PF",AN13&lt;&gt;"NE",AG13&lt;&gt;"A"),AND(AL13="E",OR(AT13=1,AT13=3))),SickCHG*Y13,0)</f>
        <v>0</v>
      </c>
      <c r="CJ13" s="462">
        <f t="shared" si="12"/>
        <v>-38.432160000000017</v>
      </c>
      <c r="CK13" s="462" t="str">
        <f t="shared" si="13"/>
        <v/>
      </c>
      <c r="CL13" s="462" t="str">
        <f t="shared" si="14"/>
        <v/>
      </c>
      <c r="CM13" s="462" t="str">
        <f t="shared" si="15"/>
        <v/>
      </c>
      <c r="CN13" s="462" t="str">
        <f t="shared" si="16"/>
        <v>0001-00</v>
      </c>
    </row>
    <row r="14" spans="1:92" ht="15" thickBot="1" x14ac:dyDescent="0.35">
      <c r="A14" s="376" t="s">
        <v>161</v>
      </c>
      <c r="B14" s="376" t="s">
        <v>162</v>
      </c>
      <c r="C14" s="376" t="s">
        <v>262</v>
      </c>
      <c r="D14" s="376" t="s">
        <v>263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264</v>
      </c>
      <c r="L14" s="376" t="s">
        <v>181</v>
      </c>
      <c r="M14" s="376" t="s">
        <v>265</v>
      </c>
      <c r="N14" s="376" t="s">
        <v>172</v>
      </c>
      <c r="O14" s="379">
        <v>0</v>
      </c>
      <c r="P14" s="460">
        <v>0</v>
      </c>
      <c r="Q14" s="460">
        <v>0</v>
      </c>
      <c r="R14" s="380">
        <v>80</v>
      </c>
      <c r="S14" s="460">
        <v>0</v>
      </c>
      <c r="T14" s="380">
        <v>65120</v>
      </c>
      <c r="U14" s="380">
        <v>0</v>
      </c>
      <c r="V14" s="380">
        <v>23123.599999999999</v>
      </c>
      <c r="W14" s="380">
        <v>0</v>
      </c>
      <c r="X14" s="380">
        <v>0</v>
      </c>
      <c r="Y14" s="380">
        <v>0</v>
      </c>
      <c r="Z14" s="380">
        <v>0</v>
      </c>
      <c r="AA14" s="378"/>
      <c r="AB14" s="378"/>
      <c r="AC14" s="378"/>
      <c r="AD14" s="378"/>
      <c r="AE14" s="378"/>
      <c r="AF14" s="378"/>
      <c r="AG14" s="378"/>
      <c r="AH14" s="379">
        <v>0</v>
      </c>
      <c r="AI14" s="379">
        <v>0</v>
      </c>
      <c r="AJ14" s="378"/>
      <c r="AK14" s="378"/>
      <c r="AL14" s="376" t="s">
        <v>181</v>
      </c>
      <c r="AM14" s="378"/>
      <c r="AN14" s="378"/>
      <c r="AO14" s="379">
        <v>0</v>
      </c>
      <c r="AP14" s="460">
        <v>0</v>
      </c>
      <c r="AQ14" s="460">
        <v>0</v>
      </c>
      <c r="AR14" s="459"/>
      <c r="AS14" s="462">
        <f t="shared" si="0"/>
        <v>0</v>
      </c>
      <c r="AT14">
        <f t="shared" si="1"/>
        <v>0</v>
      </c>
      <c r="AU14" s="462" t="str">
        <f>IF(AT14=0,"",IF(AND(AT14=1,M14="F",SUMIF(C2:C170,C14,AS2:AS170)&lt;=1),SUMIF(C2:C170,C14,AS2:AS170),IF(AND(AT14=1,M14="F",SUMIF(C2:C170,C14,AS2:AS170)&gt;1),1,"")))</f>
        <v/>
      </c>
      <c r="AV14" s="462" t="str">
        <f>IF(AT14=0,"",IF(AND(AT14=3,M14="F",SUMIF(C2:C170,C14,AS2:AS170)&lt;=1),SUMIF(C2:C170,C14,AS2:AS170),IF(AND(AT14=3,M14="F",SUMIF(C2:C170,C14,AS2:AS170)&gt;1),1,"")))</f>
        <v/>
      </c>
      <c r="AW14" s="462">
        <f>SUMIF(C2:C170,C14,O2:O170)</f>
        <v>0</v>
      </c>
      <c r="AX14" s="462">
        <f>IF(AND(M14="F",AS14&lt;&gt;0),SUMIF(C2:C170,C14,W2:W170),0)</f>
        <v>0</v>
      </c>
      <c r="AY14" s="462" t="str">
        <f t="shared" si="2"/>
        <v/>
      </c>
      <c r="AZ14" s="462" t="str">
        <f t="shared" si="3"/>
        <v/>
      </c>
      <c r="BA14" s="462">
        <f t="shared" si="4"/>
        <v>0</v>
      </c>
      <c r="BB14" s="462">
        <f>IF(AND(AT14=1,AK14="E",AU14&gt;=0.75,AW14=1),Health,IF(AND(AT14=1,AK14="E",AU14&gt;=0.75),Health*P14,IF(AND(AT14=1,AK14="E",AU14&gt;=0.5,AW14=1),PTHealth,IF(AND(AT14=1,AK14="E",AU14&gt;=0.5),PTHealth*P14,0))))</f>
        <v>0</v>
      </c>
      <c r="BC14" s="462">
        <f>IF(AND(AT14=3,AK14="E",AV14&gt;=0.75,AW14=1),Health,IF(AND(AT14=3,AK14="E",AV14&gt;=0.75),Health*P14,IF(AND(AT14=3,AK14="E",AV14&gt;=0.5,AW14=1),PTHealth,IF(AND(AT14=3,AK14="E",AV14&gt;=0.5),PTHealth*P14,0))))</f>
        <v>0</v>
      </c>
      <c r="BD14" s="462">
        <f>IF(AND(AT14&lt;&gt;0,AX14&gt;=MAXSSDI),SSDI*MAXSSDI*P14,IF(AT14&lt;&gt;0,SSDI*W14,0))</f>
        <v>0</v>
      </c>
      <c r="BE14" s="462">
        <f>IF(AT14&lt;&gt;0,SSHI*W14,0)</f>
        <v>0</v>
      </c>
      <c r="BF14" s="462">
        <f>IF(AND(AT14&lt;&gt;0,AN14&lt;&gt;"NE"),VLOOKUP(AN14,Retirement_Rates,3,FALSE)*W14,0)</f>
        <v>0</v>
      </c>
      <c r="BG14" s="462">
        <f>IF(AND(AT14&lt;&gt;0,AJ14&lt;&gt;"PF"),Life*W14,0)</f>
        <v>0</v>
      </c>
      <c r="BH14" s="462">
        <f>IF(AND(AT14&lt;&gt;0,AM14="Y"),UI*W14,0)</f>
        <v>0</v>
      </c>
      <c r="BI14" s="462">
        <f>IF(AND(AT14&lt;&gt;0,N14&lt;&gt;"NR"),DHR*W14,0)</f>
        <v>0</v>
      </c>
      <c r="BJ14" s="462">
        <f>IF(AT14&lt;&gt;0,WC*W14,0)</f>
        <v>0</v>
      </c>
      <c r="BK14" s="462">
        <f>IF(OR(AND(AT14&lt;&gt;0,AJ14&lt;&gt;"PF",AN14&lt;&gt;"NE",AG14&lt;&gt;"A"),AND(AL14="E",OR(AT14=1,AT14=3))),Sick*W14,0)</f>
        <v>0</v>
      </c>
      <c r="BL14" s="462">
        <f t="shared" si="5"/>
        <v>0</v>
      </c>
      <c r="BM14" s="462">
        <f t="shared" si="6"/>
        <v>0</v>
      </c>
      <c r="BN14" s="462">
        <f>IF(AND(AT14=1,AK14="E",AU14&gt;=0.75,AW14=1),HealthBY,IF(AND(AT14=1,AK14="E",AU14&gt;=0.75),HealthBY*P14,IF(AND(AT14=1,AK14="E",AU14&gt;=0.5,AW14=1),PTHealthBY,IF(AND(AT14=1,AK14="E",AU14&gt;=0.5),PTHealthBY*P14,0))))</f>
        <v>0</v>
      </c>
      <c r="BO14" s="462">
        <f>IF(AND(AT14=3,AK14="E",AV14&gt;=0.75,AW14=1),HealthBY,IF(AND(AT14=3,AK14="E",AV14&gt;=0.75),HealthBY*P14,IF(AND(AT14=3,AK14="E",AV14&gt;=0.5,AW14=1),PTHealthBY,IF(AND(AT14=3,AK14="E",AV14&gt;=0.5),PTHealthBY*P14,0))))</f>
        <v>0</v>
      </c>
      <c r="BP14" s="462">
        <f>IF(AND(AT14&lt;&gt;0,(AX14+BA14)&gt;=MAXSSDIBY),SSDIBY*MAXSSDIBY*P14,IF(AT14&lt;&gt;0,SSDIBY*W14,0))</f>
        <v>0</v>
      </c>
      <c r="BQ14" s="462">
        <f>IF(AT14&lt;&gt;0,SSHIBY*W14,0)</f>
        <v>0</v>
      </c>
      <c r="BR14" s="462">
        <f>IF(AND(AT14&lt;&gt;0,AN14&lt;&gt;"NE"),VLOOKUP(AN14,Retirement_Rates,4,FALSE)*W14,0)</f>
        <v>0</v>
      </c>
      <c r="BS14" s="462">
        <f>IF(AND(AT14&lt;&gt;0,AJ14&lt;&gt;"PF"),LifeBY*W14,0)</f>
        <v>0</v>
      </c>
      <c r="BT14" s="462">
        <f>IF(AND(AT14&lt;&gt;0,AM14="Y"),UIBY*W14,0)</f>
        <v>0</v>
      </c>
      <c r="BU14" s="462">
        <f>IF(AND(AT14&lt;&gt;0,N14&lt;&gt;"NR"),DHRBY*W14,0)</f>
        <v>0</v>
      </c>
      <c r="BV14" s="462">
        <f>IF(AT14&lt;&gt;0,WCBY*W14,0)</f>
        <v>0</v>
      </c>
      <c r="BW14" s="462">
        <f>IF(OR(AND(AT14&lt;&gt;0,AJ14&lt;&gt;"PF",AN14&lt;&gt;"NE",AG14&lt;&gt;"A"),AND(AL14="E",OR(AT14=1,AT14=3))),SickBY*W14,0)</f>
        <v>0</v>
      </c>
      <c r="BX14" s="462">
        <f t="shared" si="7"/>
        <v>0</v>
      </c>
      <c r="BY14" s="462">
        <f t="shared" si="8"/>
        <v>0</v>
      </c>
      <c r="BZ14" s="462">
        <f t="shared" si="9"/>
        <v>0</v>
      </c>
      <c r="CA14" s="462">
        <f t="shared" si="10"/>
        <v>0</v>
      </c>
      <c r="CB14" s="462">
        <f t="shared" si="11"/>
        <v>0</v>
      </c>
      <c r="CC14" s="462">
        <f>IF(AT14&lt;&gt;0,SSHICHG*Y14,0)</f>
        <v>0</v>
      </c>
      <c r="CD14" s="462">
        <f>IF(AND(AT14&lt;&gt;0,AN14&lt;&gt;"NE"),VLOOKUP(AN14,Retirement_Rates,5,FALSE)*Y14,0)</f>
        <v>0</v>
      </c>
      <c r="CE14" s="462">
        <f>IF(AND(AT14&lt;&gt;0,AJ14&lt;&gt;"PF"),LifeCHG*Y14,0)</f>
        <v>0</v>
      </c>
      <c r="CF14" s="462">
        <f>IF(AND(AT14&lt;&gt;0,AM14="Y"),UICHG*Y14,0)</f>
        <v>0</v>
      </c>
      <c r="CG14" s="462">
        <f>IF(AND(AT14&lt;&gt;0,N14&lt;&gt;"NR"),DHRCHG*Y14,0)</f>
        <v>0</v>
      </c>
      <c r="CH14" s="462">
        <f>IF(AT14&lt;&gt;0,WCCHG*Y14,0)</f>
        <v>0</v>
      </c>
      <c r="CI14" s="462">
        <f>IF(OR(AND(AT14&lt;&gt;0,AJ14&lt;&gt;"PF",AN14&lt;&gt;"NE",AG14&lt;&gt;"A"),AND(AL14="E",OR(AT14=1,AT14=3))),SickCHG*Y14,0)</f>
        <v>0</v>
      </c>
      <c r="CJ14" s="462">
        <f t="shared" si="12"/>
        <v>0</v>
      </c>
      <c r="CK14" s="462" t="str">
        <f t="shared" si="13"/>
        <v/>
      </c>
      <c r="CL14" s="462" t="str">
        <f t="shared" si="14"/>
        <v/>
      </c>
      <c r="CM14" s="462" t="str">
        <f t="shared" si="15"/>
        <v/>
      </c>
      <c r="CN14" s="462" t="str">
        <f t="shared" si="16"/>
        <v>0001-00</v>
      </c>
    </row>
    <row r="15" spans="1:92" ht="15" thickBot="1" x14ac:dyDescent="0.35">
      <c r="A15" s="376" t="s">
        <v>161</v>
      </c>
      <c r="B15" s="376" t="s">
        <v>162</v>
      </c>
      <c r="C15" s="376" t="s">
        <v>266</v>
      </c>
      <c r="D15" s="376" t="s">
        <v>211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212</v>
      </c>
      <c r="L15" s="376" t="s">
        <v>170</v>
      </c>
      <c r="M15" s="376" t="s">
        <v>171</v>
      </c>
      <c r="N15" s="376" t="s">
        <v>172</v>
      </c>
      <c r="O15" s="379">
        <v>1</v>
      </c>
      <c r="P15" s="460">
        <v>0</v>
      </c>
      <c r="Q15" s="460">
        <v>0</v>
      </c>
      <c r="R15" s="380">
        <v>80</v>
      </c>
      <c r="S15" s="460">
        <v>0</v>
      </c>
      <c r="T15" s="380">
        <v>14384</v>
      </c>
      <c r="U15" s="380">
        <v>0</v>
      </c>
      <c r="V15" s="380">
        <v>4969.24</v>
      </c>
      <c r="W15" s="380">
        <v>0</v>
      </c>
      <c r="X15" s="380">
        <v>0</v>
      </c>
      <c r="Y15" s="380">
        <v>0</v>
      </c>
      <c r="Z15" s="380">
        <v>0</v>
      </c>
      <c r="AA15" s="376" t="s">
        <v>267</v>
      </c>
      <c r="AB15" s="376" t="s">
        <v>268</v>
      </c>
      <c r="AC15" s="376" t="s">
        <v>269</v>
      </c>
      <c r="AD15" s="376" t="s">
        <v>270</v>
      </c>
      <c r="AE15" s="376" t="s">
        <v>212</v>
      </c>
      <c r="AF15" s="376" t="s">
        <v>177</v>
      </c>
      <c r="AG15" s="376" t="s">
        <v>178</v>
      </c>
      <c r="AH15" s="381">
        <v>44.95</v>
      </c>
      <c r="AI15" s="381">
        <v>2059.1</v>
      </c>
      <c r="AJ15" s="376" t="s">
        <v>179</v>
      </c>
      <c r="AK15" s="376" t="s">
        <v>180</v>
      </c>
      <c r="AL15" s="376" t="s">
        <v>181</v>
      </c>
      <c r="AM15" s="376" t="s">
        <v>182</v>
      </c>
      <c r="AN15" s="376" t="s">
        <v>68</v>
      </c>
      <c r="AO15" s="379">
        <v>80</v>
      </c>
      <c r="AP15" s="460">
        <v>1</v>
      </c>
      <c r="AQ15" s="460">
        <v>0</v>
      </c>
      <c r="AR15" s="458" t="s">
        <v>183</v>
      </c>
      <c r="AS15" s="462">
        <f t="shared" si="0"/>
        <v>0</v>
      </c>
      <c r="AT15">
        <f t="shared" si="1"/>
        <v>0</v>
      </c>
      <c r="AU15" s="462" t="str">
        <f>IF(AT15=0,"",IF(AND(AT15=1,M15="F",SUMIF(C2:C170,C15,AS2:AS170)&lt;=1),SUMIF(C2:C170,C15,AS2:AS170),IF(AND(AT15=1,M15="F",SUMIF(C2:C170,C15,AS2:AS170)&gt;1),1,"")))</f>
        <v/>
      </c>
      <c r="AV15" s="462" t="str">
        <f>IF(AT15=0,"",IF(AND(AT15=3,M15="F",SUMIF(C2:C170,C15,AS2:AS170)&lt;=1),SUMIF(C2:C170,C15,AS2:AS170),IF(AND(AT15=3,M15="F",SUMIF(C2:C170,C15,AS2:AS170)&gt;1),1,"")))</f>
        <v/>
      </c>
      <c r="AW15" s="462">
        <f>SUMIF(C2:C170,C15,O2:O170)</f>
        <v>3</v>
      </c>
      <c r="AX15" s="462">
        <f>IF(AND(M15="F",AS15&lt;&gt;0),SUMIF(C2:C170,C15,W2:W170),0)</f>
        <v>0</v>
      </c>
      <c r="AY15" s="462" t="str">
        <f t="shared" si="2"/>
        <v/>
      </c>
      <c r="AZ15" s="462" t="str">
        <f t="shared" si="3"/>
        <v/>
      </c>
      <c r="BA15" s="462">
        <f t="shared" si="4"/>
        <v>0</v>
      </c>
      <c r="BB15" s="462">
        <f>IF(AND(AT15=1,AK15="E",AU15&gt;=0.75,AW15=1),Health,IF(AND(AT15=1,AK15="E",AU15&gt;=0.75),Health*P15,IF(AND(AT15=1,AK15="E",AU15&gt;=0.5,AW15=1),PTHealth,IF(AND(AT15=1,AK15="E",AU15&gt;=0.5),PTHealth*P15,0))))</f>
        <v>0</v>
      </c>
      <c r="BC15" s="462">
        <f>IF(AND(AT15=3,AK15="E",AV15&gt;=0.75,AW15=1),Health,IF(AND(AT15=3,AK15="E",AV15&gt;=0.75),Health*P15,IF(AND(AT15=3,AK15="E",AV15&gt;=0.5,AW15=1),PTHealth,IF(AND(AT15=3,AK15="E",AV15&gt;=0.5),PTHealth*P15,0))))</f>
        <v>0</v>
      </c>
      <c r="BD15" s="462">
        <f>IF(AND(AT15&lt;&gt;0,AX15&gt;=MAXSSDI),SSDI*MAXSSDI*P15,IF(AT15&lt;&gt;0,SSDI*W15,0))</f>
        <v>0</v>
      </c>
      <c r="BE15" s="462">
        <f>IF(AT15&lt;&gt;0,SSHI*W15,0)</f>
        <v>0</v>
      </c>
      <c r="BF15" s="462">
        <f>IF(AND(AT15&lt;&gt;0,AN15&lt;&gt;"NE"),VLOOKUP(AN15,Retirement_Rates,3,FALSE)*W15,0)</f>
        <v>0</v>
      </c>
      <c r="BG15" s="462">
        <f>IF(AND(AT15&lt;&gt;0,AJ15&lt;&gt;"PF"),Life*W15,0)</f>
        <v>0</v>
      </c>
      <c r="BH15" s="462">
        <f>IF(AND(AT15&lt;&gt;0,AM15="Y"),UI*W15,0)</f>
        <v>0</v>
      </c>
      <c r="BI15" s="462">
        <f>IF(AND(AT15&lt;&gt;0,N15&lt;&gt;"NR"),DHR*W15,0)</f>
        <v>0</v>
      </c>
      <c r="BJ15" s="462">
        <f>IF(AT15&lt;&gt;0,WC*W15,0)</f>
        <v>0</v>
      </c>
      <c r="BK15" s="462">
        <f>IF(OR(AND(AT15&lt;&gt;0,AJ15&lt;&gt;"PF",AN15&lt;&gt;"NE",AG15&lt;&gt;"A"),AND(AL15="E",OR(AT15=1,AT15=3))),Sick*W15,0)</f>
        <v>0</v>
      </c>
      <c r="BL15" s="462">
        <f t="shared" si="5"/>
        <v>0</v>
      </c>
      <c r="BM15" s="462">
        <f t="shared" si="6"/>
        <v>0</v>
      </c>
      <c r="BN15" s="462">
        <f>IF(AND(AT15=1,AK15="E",AU15&gt;=0.75,AW15=1),HealthBY,IF(AND(AT15=1,AK15="E",AU15&gt;=0.75),HealthBY*P15,IF(AND(AT15=1,AK15="E",AU15&gt;=0.5,AW15=1),PTHealthBY,IF(AND(AT15=1,AK15="E",AU15&gt;=0.5),PTHealthBY*P15,0))))</f>
        <v>0</v>
      </c>
      <c r="BO15" s="462">
        <f>IF(AND(AT15=3,AK15="E",AV15&gt;=0.75,AW15=1),HealthBY,IF(AND(AT15=3,AK15="E",AV15&gt;=0.75),HealthBY*P15,IF(AND(AT15=3,AK15="E",AV15&gt;=0.5,AW15=1),PTHealthBY,IF(AND(AT15=3,AK15="E",AV15&gt;=0.5),PTHealthBY*P15,0))))</f>
        <v>0</v>
      </c>
      <c r="BP15" s="462">
        <f>IF(AND(AT15&lt;&gt;0,(AX15+BA15)&gt;=MAXSSDIBY),SSDIBY*MAXSSDIBY*P15,IF(AT15&lt;&gt;0,SSDIBY*W15,0))</f>
        <v>0</v>
      </c>
      <c r="BQ15" s="462">
        <f>IF(AT15&lt;&gt;0,SSHIBY*W15,0)</f>
        <v>0</v>
      </c>
      <c r="BR15" s="462">
        <f>IF(AND(AT15&lt;&gt;0,AN15&lt;&gt;"NE"),VLOOKUP(AN15,Retirement_Rates,4,FALSE)*W15,0)</f>
        <v>0</v>
      </c>
      <c r="BS15" s="462">
        <f>IF(AND(AT15&lt;&gt;0,AJ15&lt;&gt;"PF"),LifeBY*W15,0)</f>
        <v>0</v>
      </c>
      <c r="BT15" s="462">
        <f>IF(AND(AT15&lt;&gt;0,AM15="Y"),UIBY*W15,0)</f>
        <v>0</v>
      </c>
      <c r="BU15" s="462">
        <f>IF(AND(AT15&lt;&gt;0,N15&lt;&gt;"NR"),DHRBY*W15,0)</f>
        <v>0</v>
      </c>
      <c r="BV15" s="462">
        <f>IF(AT15&lt;&gt;0,WCBY*W15,0)</f>
        <v>0</v>
      </c>
      <c r="BW15" s="462">
        <f>IF(OR(AND(AT15&lt;&gt;0,AJ15&lt;&gt;"PF",AN15&lt;&gt;"NE",AG15&lt;&gt;"A"),AND(AL15="E",OR(AT15=1,AT15=3))),SickBY*W15,0)</f>
        <v>0</v>
      </c>
      <c r="BX15" s="462">
        <f t="shared" si="7"/>
        <v>0</v>
      </c>
      <c r="BY15" s="462">
        <f t="shared" si="8"/>
        <v>0</v>
      </c>
      <c r="BZ15" s="462">
        <f t="shared" si="9"/>
        <v>0</v>
      </c>
      <c r="CA15" s="462">
        <f t="shared" si="10"/>
        <v>0</v>
      </c>
      <c r="CB15" s="462">
        <f t="shared" si="11"/>
        <v>0</v>
      </c>
      <c r="CC15" s="462">
        <f>IF(AT15&lt;&gt;0,SSHICHG*Y15,0)</f>
        <v>0</v>
      </c>
      <c r="CD15" s="462">
        <f>IF(AND(AT15&lt;&gt;0,AN15&lt;&gt;"NE"),VLOOKUP(AN15,Retirement_Rates,5,FALSE)*Y15,0)</f>
        <v>0</v>
      </c>
      <c r="CE15" s="462">
        <f>IF(AND(AT15&lt;&gt;0,AJ15&lt;&gt;"PF"),LifeCHG*Y15,0)</f>
        <v>0</v>
      </c>
      <c r="CF15" s="462">
        <f>IF(AND(AT15&lt;&gt;0,AM15="Y"),UICHG*Y15,0)</f>
        <v>0</v>
      </c>
      <c r="CG15" s="462">
        <f>IF(AND(AT15&lt;&gt;0,N15&lt;&gt;"NR"),DHRCHG*Y15,0)</f>
        <v>0</v>
      </c>
      <c r="CH15" s="462">
        <f>IF(AT15&lt;&gt;0,WCCHG*Y15,0)</f>
        <v>0</v>
      </c>
      <c r="CI15" s="462">
        <f>IF(OR(AND(AT15&lt;&gt;0,AJ15&lt;&gt;"PF",AN15&lt;&gt;"NE",AG15&lt;&gt;"A"),AND(AL15="E",OR(AT15=1,AT15=3))),SickCHG*Y15,0)</f>
        <v>0</v>
      </c>
      <c r="CJ15" s="462">
        <f t="shared" si="12"/>
        <v>0</v>
      </c>
      <c r="CK15" s="462" t="str">
        <f t="shared" si="13"/>
        <v/>
      </c>
      <c r="CL15" s="462" t="str">
        <f t="shared" si="14"/>
        <v/>
      </c>
      <c r="CM15" s="462" t="str">
        <f t="shared" si="15"/>
        <v/>
      </c>
      <c r="CN15" s="462" t="str">
        <f t="shared" si="16"/>
        <v>0001-00</v>
      </c>
    </row>
    <row r="16" spans="1:92" ht="15" thickBot="1" x14ac:dyDescent="0.35">
      <c r="A16" s="376" t="s">
        <v>161</v>
      </c>
      <c r="B16" s="376" t="s">
        <v>162</v>
      </c>
      <c r="C16" s="376" t="s">
        <v>271</v>
      </c>
      <c r="D16" s="376" t="s">
        <v>263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168</v>
      </c>
      <c r="K16" s="376" t="s">
        <v>272</v>
      </c>
      <c r="L16" s="376" t="s">
        <v>170</v>
      </c>
      <c r="M16" s="376" t="s">
        <v>171</v>
      </c>
      <c r="N16" s="376" t="s">
        <v>172</v>
      </c>
      <c r="O16" s="379">
        <v>1</v>
      </c>
      <c r="P16" s="460">
        <v>0</v>
      </c>
      <c r="Q16" s="460">
        <v>0</v>
      </c>
      <c r="R16" s="380">
        <v>80</v>
      </c>
      <c r="S16" s="460">
        <v>0</v>
      </c>
      <c r="T16" s="380">
        <v>14557.5</v>
      </c>
      <c r="U16" s="380">
        <v>0</v>
      </c>
      <c r="V16" s="380">
        <v>4983.79</v>
      </c>
      <c r="W16" s="380">
        <v>0</v>
      </c>
      <c r="X16" s="380">
        <v>0</v>
      </c>
      <c r="Y16" s="380">
        <v>0</v>
      </c>
      <c r="Z16" s="380">
        <v>0</v>
      </c>
      <c r="AA16" s="376" t="s">
        <v>273</v>
      </c>
      <c r="AB16" s="376" t="s">
        <v>274</v>
      </c>
      <c r="AC16" s="376" t="s">
        <v>275</v>
      </c>
      <c r="AD16" s="376" t="s">
        <v>276</v>
      </c>
      <c r="AE16" s="376" t="s">
        <v>272</v>
      </c>
      <c r="AF16" s="376" t="s">
        <v>177</v>
      </c>
      <c r="AG16" s="376" t="s">
        <v>178</v>
      </c>
      <c r="AH16" s="379">
        <v>45</v>
      </c>
      <c r="AI16" s="381">
        <v>2397.5</v>
      </c>
      <c r="AJ16" s="376" t="s">
        <v>179</v>
      </c>
      <c r="AK16" s="376" t="s">
        <v>180</v>
      </c>
      <c r="AL16" s="376" t="s">
        <v>181</v>
      </c>
      <c r="AM16" s="376" t="s">
        <v>182</v>
      </c>
      <c r="AN16" s="376" t="s">
        <v>68</v>
      </c>
      <c r="AO16" s="379">
        <v>80</v>
      </c>
      <c r="AP16" s="460">
        <v>1</v>
      </c>
      <c r="AQ16" s="460">
        <v>0</v>
      </c>
      <c r="AR16" s="458" t="s">
        <v>183</v>
      </c>
      <c r="AS16" s="462">
        <f t="shared" si="0"/>
        <v>0</v>
      </c>
      <c r="AT16">
        <f t="shared" si="1"/>
        <v>0</v>
      </c>
      <c r="AU16" s="462" t="str">
        <f>IF(AT16=0,"",IF(AND(AT16=1,M16="F",SUMIF(C2:C170,C16,AS2:AS170)&lt;=1),SUMIF(C2:C170,C16,AS2:AS170),IF(AND(AT16=1,M16="F",SUMIF(C2:C170,C16,AS2:AS170)&gt;1),1,"")))</f>
        <v/>
      </c>
      <c r="AV16" s="462" t="str">
        <f>IF(AT16=0,"",IF(AND(AT16=3,M16="F",SUMIF(C2:C170,C16,AS2:AS170)&lt;=1),SUMIF(C2:C170,C16,AS2:AS170),IF(AND(AT16=3,M16="F",SUMIF(C2:C170,C16,AS2:AS170)&gt;1),1,"")))</f>
        <v/>
      </c>
      <c r="AW16" s="462">
        <f>SUMIF(C2:C170,C16,O2:O170)</f>
        <v>3</v>
      </c>
      <c r="AX16" s="462">
        <f>IF(AND(M16="F",AS16&lt;&gt;0),SUMIF(C2:C170,C16,W2:W170),0)</f>
        <v>0</v>
      </c>
      <c r="AY16" s="462" t="str">
        <f t="shared" si="2"/>
        <v/>
      </c>
      <c r="AZ16" s="462" t="str">
        <f t="shared" si="3"/>
        <v/>
      </c>
      <c r="BA16" s="462">
        <f t="shared" si="4"/>
        <v>0</v>
      </c>
      <c r="BB16" s="462">
        <f>IF(AND(AT16=1,AK16="E",AU16&gt;=0.75,AW16=1),Health,IF(AND(AT16=1,AK16="E",AU16&gt;=0.75),Health*P16,IF(AND(AT16=1,AK16="E",AU16&gt;=0.5,AW16=1),PTHealth,IF(AND(AT16=1,AK16="E",AU16&gt;=0.5),PTHealth*P16,0))))</f>
        <v>0</v>
      </c>
      <c r="BC16" s="462">
        <f>IF(AND(AT16=3,AK16="E",AV16&gt;=0.75,AW16=1),Health,IF(AND(AT16=3,AK16="E",AV16&gt;=0.75),Health*P16,IF(AND(AT16=3,AK16="E",AV16&gt;=0.5,AW16=1),PTHealth,IF(AND(AT16=3,AK16="E",AV16&gt;=0.5),PTHealth*P16,0))))</f>
        <v>0</v>
      </c>
      <c r="BD16" s="462">
        <f>IF(AND(AT16&lt;&gt;0,AX16&gt;=MAXSSDI),SSDI*MAXSSDI*P16,IF(AT16&lt;&gt;0,SSDI*W16,0))</f>
        <v>0</v>
      </c>
      <c r="BE16" s="462">
        <f>IF(AT16&lt;&gt;0,SSHI*W16,0)</f>
        <v>0</v>
      </c>
      <c r="BF16" s="462">
        <f>IF(AND(AT16&lt;&gt;0,AN16&lt;&gt;"NE"),VLOOKUP(AN16,Retirement_Rates,3,FALSE)*W16,0)</f>
        <v>0</v>
      </c>
      <c r="BG16" s="462">
        <f>IF(AND(AT16&lt;&gt;0,AJ16&lt;&gt;"PF"),Life*W16,0)</f>
        <v>0</v>
      </c>
      <c r="BH16" s="462">
        <f>IF(AND(AT16&lt;&gt;0,AM16="Y"),UI*W16,0)</f>
        <v>0</v>
      </c>
      <c r="BI16" s="462">
        <f>IF(AND(AT16&lt;&gt;0,N16&lt;&gt;"NR"),DHR*W16,0)</f>
        <v>0</v>
      </c>
      <c r="BJ16" s="462">
        <f>IF(AT16&lt;&gt;0,WC*W16,0)</f>
        <v>0</v>
      </c>
      <c r="BK16" s="462">
        <f>IF(OR(AND(AT16&lt;&gt;0,AJ16&lt;&gt;"PF",AN16&lt;&gt;"NE",AG16&lt;&gt;"A"),AND(AL16="E",OR(AT16=1,AT16=3))),Sick*W16,0)</f>
        <v>0</v>
      </c>
      <c r="BL16" s="462">
        <f t="shared" si="5"/>
        <v>0</v>
      </c>
      <c r="BM16" s="462">
        <f t="shared" si="6"/>
        <v>0</v>
      </c>
      <c r="BN16" s="462">
        <f>IF(AND(AT16=1,AK16="E",AU16&gt;=0.75,AW16=1),HealthBY,IF(AND(AT16=1,AK16="E",AU16&gt;=0.75),HealthBY*P16,IF(AND(AT16=1,AK16="E",AU16&gt;=0.5,AW16=1),PTHealthBY,IF(AND(AT16=1,AK16="E",AU16&gt;=0.5),PTHealthBY*P16,0))))</f>
        <v>0</v>
      </c>
      <c r="BO16" s="462">
        <f>IF(AND(AT16=3,AK16="E",AV16&gt;=0.75,AW16=1),HealthBY,IF(AND(AT16=3,AK16="E",AV16&gt;=0.75),HealthBY*P16,IF(AND(AT16=3,AK16="E",AV16&gt;=0.5,AW16=1),PTHealthBY,IF(AND(AT16=3,AK16="E",AV16&gt;=0.5),PTHealthBY*P16,0))))</f>
        <v>0</v>
      </c>
      <c r="BP16" s="462">
        <f>IF(AND(AT16&lt;&gt;0,(AX16+BA16)&gt;=MAXSSDIBY),SSDIBY*MAXSSDIBY*P16,IF(AT16&lt;&gt;0,SSDIBY*W16,0))</f>
        <v>0</v>
      </c>
      <c r="BQ16" s="462">
        <f>IF(AT16&lt;&gt;0,SSHIBY*W16,0)</f>
        <v>0</v>
      </c>
      <c r="BR16" s="462">
        <f>IF(AND(AT16&lt;&gt;0,AN16&lt;&gt;"NE"),VLOOKUP(AN16,Retirement_Rates,4,FALSE)*W16,0)</f>
        <v>0</v>
      </c>
      <c r="BS16" s="462">
        <f>IF(AND(AT16&lt;&gt;0,AJ16&lt;&gt;"PF"),LifeBY*W16,0)</f>
        <v>0</v>
      </c>
      <c r="BT16" s="462">
        <f>IF(AND(AT16&lt;&gt;0,AM16="Y"),UIBY*W16,0)</f>
        <v>0</v>
      </c>
      <c r="BU16" s="462">
        <f>IF(AND(AT16&lt;&gt;0,N16&lt;&gt;"NR"),DHRBY*W16,0)</f>
        <v>0</v>
      </c>
      <c r="BV16" s="462">
        <f>IF(AT16&lt;&gt;0,WCBY*W16,0)</f>
        <v>0</v>
      </c>
      <c r="BW16" s="462">
        <f>IF(OR(AND(AT16&lt;&gt;0,AJ16&lt;&gt;"PF",AN16&lt;&gt;"NE",AG16&lt;&gt;"A"),AND(AL16="E",OR(AT16=1,AT16=3))),SickBY*W16,0)</f>
        <v>0</v>
      </c>
      <c r="BX16" s="462">
        <f t="shared" si="7"/>
        <v>0</v>
      </c>
      <c r="BY16" s="462">
        <f t="shared" si="8"/>
        <v>0</v>
      </c>
      <c r="BZ16" s="462">
        <f t="shared" si="9"/>
        <v>0</v>
      </c>
      <c r="CA16" s="462">
        <f t="shared" si="10"/>
        <v>0</v>
      </c>
      <c r="CB16" s="462">
        <f t="shared" si="11"/>
        <v>0</v>
      </c>
      <c r="CC16" s="462">
        <f>IF(AT16&lt;&gt;0,SSHICHG*Y16,0)</f>
        <v>0</v>
      </c>
      <c r="CD16" s="462">
        <f>IF(AND(AT16&lt;&gt;0,AN16&lt;&gt;"NE"),VLOOKUP(AN16,Retirement_Rates,5,FALSE)*Y16,0)</f>
        <v>0</v>
      </c>
      <c r="CE16" s="462">
        <f>IF(AND(AT16&lt;&gt;0,AJ16&lt;&gt;"PF"),LifeCHG*Y16,0)</f>
        <v>0</v>
      </c>
      <c r="CF16" s="462">
        <f>IF(AND(AT16&lt;&gt;0,AM16="Y"),UICHG*Y16,0)</f>
        <v>0</v>
      </c>
      <c r="CG16" s="462">
        <f>IF(AND(AT16&lt;&gt;0,N16&lt;&gt;"NR"),DHRCHG*Y16,0)</f>
        <v>0</v>
      </c>
      <c r="CH16" s="462">
        <f>IF(AT16&lt;&gt;0,WCCHG*Y16,0)</f>
        <v>0</v>
      </c>
      <c r="CI16" s="462">
        <f>IF(OR(AND(AT16&lt;&gt;0,AJ16&lt;&gt;"PF",AN16&lt;&gt;"NE",AG16&lt;&gt;"A"),AND(AL16="E",OR(AT16=1,AT16=3))),SickCHG*Y16,0)</f>
        <v>0</v>
      </c>
      <c r="CJ16" s="462">
        <f t="shared" si="12"/>
        <v>0</v>
      </c>
      <c r="CK16" s="462" t="str">
        <f t="shared" si="13"/>
        <v/>
      </c>
      <c r="CL16" s="462" t="str">
        <f t="shared" si="14"/>
        <v/>
      </c>
      <c r="CM16" s="462" t="str">
        <f t="shared" si="15"/>
        <v/>
      </c>
      <c r="CN16" s="462" t="str">
        <f t="shared" si="16"/>
        <v>0001-00</v>
      </c>
    </row>
    <row r="17" spans="1:92" ht="15" thickBot="1" x14ac:dyDescent="0.35">
      <c r="A17" s="376" t="s">
        <v>161</v>
      </c>
      <c r="B17" s="376" t="s">
        <v>162</v>
      </c>
      <c r="C17" s="376" t="s">
        <v>277</v>
      </c>
      <c r="D17" s="376" t="s">
        <v>278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279</v>
      </c>
      <c r="L17" s="376" t="s">
        <v>166</v>
      </c>
      <c r="M17" s="376" t="s">
        <v>171</v>
      </c>
      <c r="N17" s="376" t="s">
        <v>256</v>
      </c>
      <c r="O17" s="379">
        <v>1</v>
      </c>
      <c r="P17" s="460">
        <v>1</v>
      </c>
      <c r="Q17" s="460">
        <v>1</v>
      </c>
      <c r="R17" s="380">
        <v>80</v>
      </c>
      <c r="S17" s="460">
        <v>1</v>
      </c>
      <c r="T17" s="380">
        <v>113260.8</v>
      </c>
      <c r="U17" s="380">
        <v>0</v>
      </c>
      <c r="V17" s="380">
        <v>34692.71</v>
      </c>
      <c r="W17" s="380">
        <v>117062.39999999999</v>
      </c>
      <c r="X17" s="380">
        <v>36234.239999999998</v>
      </c>
      <c r="Y17" s="380">
        <v>117062.39999999999</v>
      </c>
      <c r="Z17" s="380">
        <v>35625.519999999997</v>
      </c>
      <c r="AA17" s="376" t="s">
        <v>280</v>
      </c>
      <c r="AB17" s="376" t="s">
        <v>281</v>
      </c>
      <c r="AC17" s="376" t="s">
        <v>282</v>
      </c>
      <c r="AD17" s="376" t="s">
        <v>276</v>
      </c>
      <c r="AE17" s="376" t="s">
        <v>279</v>
      </c>
      <c r="AF17" s="376" t="s">
        <v>261</v>
      </c>
      <c r="AG17" s="376" t="s">
        <v>178</v>
      </c>
      <c r="AH17" s="381">
        <v>56.28</v>
      </c>
      <c r="AI17" s="379">
        <v>35416</v>
      </c>
      <c r="AJ17" s="376" t="s">
        <v>179</v>
      </c>
      <c r="AK17" s="376" t="s">
        <v>180</v>
      </c>
      <c r="AL17" s="376" t="s">
        <v>181</v>
      </c>
      <c r="AM17" s="376" t="s">
        <v>182</v>
      </c>
      <c r="AN17" s="376" t="s">
        <v>68</v>
      </c>
      <c r="AO17" s="379">
        <v>80</v>
      </c>
      <c r="AP17" s="460">
        <v>1</v>
      </c>
      <c r="AQ17" s="460">
        <v>1</v>
      </c>
      <c r="AR17" s="458" t="s">
        <v>183</v>
      </c>
      <c r="AS17" s="462">
        <f t="shared" si="0"/>
        <v>1</v>
      </c>
      <c r="AT17">
        <f t="shared" si="1"/>
        <v>1</v>
      </c>
      <c r="AU17" s="462">
        <f>IF(AT17=0,"",IF(AND(AT17=1,M17="F",SUMIF(C2:C170,C17,AS2:AS170)&lt;=1),SUMIF(C2:C170,C17,AS2:AS170),IF(AND(AT17=1,M17="F",SUMIF(C2:C170,C17,AS2:AS170)&gt;1),1,"")))</f>
        <v>1</v>
      </c>
      <c r="AV17" s="462" t="str">
        <f>IF(AT17=0,"",IF(AND(AT17=3,M17="F",SUMIF(C2:C170,C17,AS2:AS170)&lt;=1),SUMIF(C2:C170,C17,AS2:AS170),IF(AND(AT17=3,M17="F",SUMIF(C2:C170,C17,AS2:AS170)&gt;1),1,"")))</f>
        <v/>
      </c>
      <c r="AW17" s="462">
        <f>SUMIF(C2:C170,C17,O2:O170)</f>
        <v>1</v>
      </c>
      <c r="AX17" s="462">
        <f>IF(AND(M17="F",AS17&lt;&gt;0),SUMIF(C2:C170,C17,W2:W170),0)</f>
        <v>117062.39999999999</v>
      </c>
      <c r="AY17" s="462">
        <f t="shared" si="2"/>
        <v>117062.39999999999</v>
      </c>
      <c r="AZ17" s="462" t="str">
        <f t="shared" si="3"/>
        <v/>
      </c>
      <c r="BA17" s="462">
        <f t="shared" si="4"/>
        <v>0</v>
      </c>
      <c r="BB17" s="462">
        <f>IF(AND(AT17=1,AK17="E",AU17&gt;=0.75,AW17=1),Health,IF(AND(AT17=1,AK17="E",AU17&gt;=0.75),Health*P17,IF(AND(AT17=1,AK17="E",AU17&gt;=0.5,AW17=1),PTHealth,IF(AND(AT17=1,AK17="E",AU17&gt;=0.5),PTHealth*P17,0))))</f>
        <v>11650</v>
      </c>
      <c r="BC17" s="462">
        <f>IF(AND(AT17=3,AK17="E",AV17&gt;=0.75,AW17=1),Health,IF(AND(AT17=3,AK17="E",AV17&gt;=0.75),Health*P17,IF(AND(AT17=3,AK17="E",AV17&gt;=0.5,AW17=1),PTHealth,IF(AND(AT17=3,AK17="E",AV17&gt;=0.5),PTHealth*P17,0))))</f>
        <v>0</v>
      </c>
      <c r="BD17" s="462">
        <f>IF(AND(AT17&lt;&gt;0,AX17&gt;=MAXSSDI),SSDI*MAXSSDI*P17,IF(AT17&lt;&gt;0,SSDI*W17,0))</f>
        <v>7257.8687999999993</v>
      </c>
      <c r="BE17" s="462">
        <f>IF(AT17&lt;&gt;0,SSHI*W17,0)</f>
        <v>1697.4048</v>
      </c>
      <c r="BF17" s="462">
        <f>IF(AND(AT17&lt;&gt;0,AN17&lt;&gt;"NE"),VLOOKUP(AN17,Retirement_Rates,3,FALSE)*W17,0)</f>
        <v>13977.25056</v>
      </c>
      <c r="BG17" s="462">
        <f>IF(AND(AT17&lt;&gt;0,AJ17&lt;&gt;"PF"),Life*W17,0)</f>
        <v>844.019904</v>
      </c>
      <c r="BH17" s="462">
        <f>IF(AND(AT17&lt;&gt;0,AM17="Y"),UI*W17,0)</f>
        <v>573.60575999999992</v>
      </c>
      <c r="BI17" s="462">
        <f>IF(AND(AT17&lt;&gt;0,N17&lt;&gt;"NR"),DHR*W17,0)</f>
        <v>0</v>
      </c>
      <c r="BJ17" s="462">
        <f>IF(AT17&lt;&gt;0,WC*W17,0)</f>
        <v>234.12479999999999</v>
      </c>
      <c r="BK17" s="462">
        <f>IF(OR(AND(AT17&lt;&gt;0,AJ17&lt;&gt;"PF",AN17&lt;&gt;"NE",AG17&lt;&gt;"A"),AND(AL17="E",OR(AT17=1,AT17=3))),Sick*W17,0)</f>
        <v>0</v>
      </c>
      <c r="BL17" s="462">
        <f t="shared" si="5"/>
        <v>24584.274624000001</v>
      </c>
      <c r="BM17" s="462">
        <f t="shared" si="6"/>
        <v>0</v>
      </c>
      <c r="BN17" s="462">
        <f>IF(AND(AT17=1,AK17="E",AU17&gt;=0.75,AW17=1),HealthBY,IF(AND(AT17=1,AK17="E",AU17&gt;=0.75),HealthBY*P17,IF(AND(AT17=1,AK17="E",AU17&gt;=0.5,AW17=1),PTHealthBY,IF(AND(AT17=1,AK17="E",AU17&gt;=0.5),PTHealthBY*P17,0))))</f>
        <v>11650</v>
      </c>
      <c r="BO17" s="462">
        <f>IF(AND(AT17=3,AK17="E",AV17&gt;=0.75,AW17=1),HealthBY,IF(AND(AT17=3,AK17="E",AV17&gt;=0.75),HealthBY*P17,IF(AND(AT17=3,AK17="E",AV17&gt;=0.5,AW17=1),PTHealthBY,IF(AND(AT17=3,AK17="E",AV17&gt;=0.5),PTHealthBY*P17,0))))</f>
        <v>0</v>
      </c>
      <c r="BP17" s="462">
        <f>IF(AND(AT17&lt;&gt;0,(AX17+BA17)&gt;=MAXSSDIBY),SSDIBY*MAXSSDIBY*P17,IF(AT17&lt;&gt;0,SSDIBY*W17,0))</f>
        <v>7257.8687999999993</v>
      </c>
      <c r="BQ17" s="462">
        <f>IF(AT17&lt;&gt;0,SSHIBY*W17,0)</f>
        <v>1697.4048</v>
      </c>
      <c r="BR17" s="462">
        <f>IF(AND(AT17&lt;&gt;0,AN17&lt;&gt;"NE"),VLOOKUP(AN17,Retirement_Rates,4,FALSE)*W17,0)</f>
        <v>13977.25056</v>
      </c>
      <c r="BS17" s="462">
        <f>IF(AND(AT17&lt;&gt;0,AJ17&lt;&gt;"PF"),LifeBY*W17,0)</f>
        <v>844.019904</v>
      </c>
      <c r="BT17" s="462">
        <f>IF(AND(AT17&lt;&gt;0,AM17="Y"),UIBY*W17,0)</f>
        <v>0</v>
      </c>
      <c r="BU17" s="462">
        <f>IF(AND(AT17&lt;&gt;0,N17&lt;&gt;"NR"),DHRBY*W17,0)</f>
        <v>0</v>
      </c>
      <c r="BV17" s="462">
        <f>IF(AT17&lt;&gt;0,WCBY*W17,0)</f>
        <v>199.00607999999997</v>
      </c>
      <c r="BW17" s="462">
        <f>IF(OR(AND(AT17&lt;&gt;0,AJ17&lt;&gt;"PF",AN17&lt;&gt;"NE",AG17&lt;&gt;"A"),AND(AL17="E",OR(AT17=1,AT17=3))),SickBY*W17,0)</f>
        <v>0</v>
      </c>
      <c r="BX17" s="462">
        <f t="shared" si="7"/>
        <v>23975.550144000001</v>
      </c>
      <c r="BY17" s="462">
        <f t="shared" si="8"/>
        <v>0</v>
      </c>
      <c r="BZ17" s="462">
        <f t="shared" si="9"/>
        <v>0</v>
      </c>
      <c r="CA17" s="462">
        <f t="shared" si="10"/>
        <v>0</v>
      </c>
      <c r="CB17" s="462">
        <f t="shared" si="11"/>
        <v>0</v>
      </c>
      <c r="CC17" s="462">
        <f>IF(AT17&lt;&gt;0,SSHICHG*Y17,0)</f>
        <v>0</v>
      </c>
      <c r="CD17" s="462">
        <f>IF(AND(AT17&lt;&gt;0,AN17&lt;&gt;"NE"),VLOOKUP(AN17,Retirement_Rates,5,FALSE)*Y17,0)</f>
        <v>0</v>
      </c>
      <c r="CE17" s="462">
        <f>IF(AND(AT17&lt;&gt;0,AJ17&lt;&gt;"PF"),LifeCHG*Y17,0)</f>
        <v>0</v>
      </c>
      <c r="CF17" s="462">
        <f>IF(AND(AT17&lt;&gt;0,AM17="Y"),UICHG*Y17,0)</f>
        <v>-573.60575999999992</v>
      </c>
      <c r="CG17" s="462">
        <f>IF(AND(AT17&lt;&gt;0,N17&lt;&gt;"NR"),DHRCHG*Y17,0)</f>
        <v>0</v>
      </c>
      <c r="CH17" s="462">
        <f>IF(AT17&lt;&gt;0,WCCHG*Y17,0)</f>
        <v>-35.118720000000017</v>
      </c>
      <c r="CI17" s="462">
        <f>IF(OR(AND(AT17&lt;&gt;0,AJ17&lt;&gt;"PF",AN17&lt;&gt;"NE",AG17&lt;&gt;"A"),AND(AL17="E",OR(AT17=1,AT17=3))),SickCHG*Y17,0)</f>
        <v>0</v>
      </c>
      <c r="CJ17" s="462">
        <f t="shared" si="12"/>
        <v>-608.72447999999997</v>
      </c>
      <c r="CK17" s="462" t="str">
        <f t="shared" si="13"/>
        <v/>
      </c>
      <c r="CL17" s="462" t="str">
        <f t="shared" si="14"/>
        <v/>
      </c>
      <c r="CM17" s="462" t="str">
        <f t="shared" si="15"/>
        <v/>
      </c>
      <c r="CN17" s="462" t="str">
        <f t="shared" si="16"/>
        <v>0001-00</v>
      </c>
    </row>
    <row r="18" spans="1:92" ht="15" thickBot="1" x14ac:dyDescent="0.35">
      <c r="A18" s="376" t="s">
        <v>161</v>
      </c>
      <c r="B18" s="376" t="s">
        <v>162</v>
      </c>
      <c r="C18" s="376" t="s">
        <v>283</v>
      </c>
      <c r="D18" s="376" t="s">
        <v>284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285</v>
      </c>
      <c r="L18" s="376" t="s">
        <v>286</v>
      </c>
      <c r="M18" s="376" t="s">
        <v>171</v>
      </c>
      <c r="N18" s="376" t="s">
        <v>172</v>
      </c>
      <c r="O18" s="379">
        <v>1</v>
      </c>
      <c r="P18" s="460">
        <v>1</v>
      </c>
      <c r="Q18" s="460">
        <v>1</v>
      </c>
      <c r="R18" s="380">
        <v>80</v>
      </c>
      <c r="S18" s="460">
        <v>1</v>
      </c>
      <c r="T18" s="380">
        <v>39568</v>
      </c>
      <c r="U18" s="380">
        <v>0</v>
      </c>
      <c r="V18" s="380">
        <v>19777.13</v>
      </c>
      <c r="W18" s="380">
        <v>42972.800000000003</v>
      </c>
      <c r="X18" s="380">
        <v>20912.75</v>
      </c>
      <c r="Y18" s="380">
        <v>42972.800000000003</v>
      </c>
      <c r="Z18" s="380">
        <v>20689.3</v>
      </c>
      <c r="AA18" s="376" t="s">
        <v>287</v>
      </c>
      <c r="AB18" s="376" t="s">
        <v>288</v>
      </c>
      <c r="AC18" s="376" t="s">
        <v>289</v>
      </c>
      <c r="AD18" s="376" t="s">
        <v>216</v>
      </c>
      <c r="AE18" s="376" t="s">
        <v>285</v>
      </c>
      <c r="AF18" s="376" t="s">
        <v>290</v>
      </c>
      <c r="AG18" s="376" t="s">
        <v>178</v>
      </c>
      <c r="AH18" s="381">
        <v>20.66</v>
      </c>
      <c r="AI18" s="381">
        <v>44803.5</v>
      </c>
      <c r="AJ18" s="376" t="s">
        <v>179</v>
      </c>
      <c r="AK18" s="376" t="s">
        <v>180</v>
      </c>
      <c r="AL18" s="376" t="s">
        <v>181</v>
      </c>
      <c r="AM18" s="376" t="s">
        <v>182</v>
      </c>
      <c r="AN18" s="376" t="s">
        <v>68</v>
      </c>
      <c r="AO18" s="379">
        <v>80</v>
      </c>
      <c r="AP18" s="460">
        <v>1</v>
      </c>
      <c r="AQ18" s="460">
        <v>1</v>
      </c>
      <c r="AR18" s="458" t="s">
        <v>183</v>
      </c>
      <c r="AS18" s="462">
        <f t="shared" si="0"/>
        <v>1</v>
      </c>
      <c r="AT18">
        <f t="shared" si="1"/>
        <v>1</v>
      </c>
      <c r="AU18" s="462">
        <f>IF(AT18=0,"",IF(AND(AT18=1,M18="F",SUMIF(C2:C170,C18,AS2:AS170)&lt;=1),SUMIF(C2:C170,C18,AS2:AS170),IF(AND(AT18=1,M18="F",SUMIF(C2:C170,C18,AS2:AS170)&gt;1),1,"")))</f>
        <v>1</v>
      </c>
      <c r="AV18" s="462" t="str">
        <f>IF(AT18=0,"",IF(AND(AT18=3,M18="F",SUMIF(C2:C170,C18,AS2:AS170)&lt;=1),SUMIF(C2:C170,C18,AS2:AS170),IF(AND(AT18=3,M18="F",SUMIF(C2:C170,C18,AS2:AS170)&gt;1),1,"")))</f>
        <v/>
      </c>
      <c r="AW18" s="462">
        <f>SUMIF(C2:C170,C18,O2:O170)</f>
        <v>1</v>
      </c>
      <c r="AX18" s="462">
        <f>IF(AND(M18="F",AS18&lt;&gt;0),SUMIF(C2:C170,C18,W2:W170),0)</f>
        <v>42972.800000000003</v>
      </c>
      <c r="AY18" s="462">
        <f t="shared" si="2"/>
        <v>42972.800000000003</v>
      </c>
      <c r="AZ18" s="462" t="str">
        <f t="shared" si="3"/>
        <v/>
      </c>
      <c r="BA18" s="462">
        <f t="shared" si="4"/>
        <v>0</v>
      </c>
      <c r="BB18" s="462">
        <f>IF(AND(AT18=1,AK18="E",AU18&gt;=0.75,AW18=1),Health,IF(AND(AT18=1,AK18="E",AU18&gt;=0.75),Health*P18,IF(AND(AT18=1,AK18="E",AU18&gt;=0.5,AW18=1),PTHealth,IF(AND(AT18=1,AK18="E",AU18&gt;=0.5),PTHealth*P18,0))))</f>
        <v>11650</v>
      </c>
      <c r="BC18" s="462">
        <f>IF(AND(AT18=3,AK18="E",AV18&gt;=0.75,AW18=1),Health,IF(AND(AT18=3,AK18="E",AV18&gt;=0.75),Health*P18,IF(AND(AT18=3,AK18="E",AV18&gt;=0.5,AW18=1),PTHealth,IF(AND(AT18=3,AK18="E",AV18&gt;=0.5),PTHealth*P18,0))))</f>
        <v>0</v>
      </c>
      <c r="BD18" s="462">
        <f>IF(AND(AT18&lt;&gt;0,AX18&gt;=MAXSSDI),SSDI*MAXSSDI*P18,IF(AT18&lt;&gt;0,SSDI*W18,0))</f>
        <v>2664.3136</v>
      </c>
      <c r="BE18" s="462">
        <f>IF(AT18&lt;&gt;0,SSHI*W18,0)</f>
        <v>623.10560000000009</v>
      </c>
      <c r="BF18" s="462">
        <f>IF(AND(AT18&lt;&gt;0,AN18&lt;&gt;"NE"),VLOOKUP(AN18,Retirement_Rates,3,FALSE)*W18,0)</f>
        <v>5130.9523200000003</v>
      </c>
      <c r="BG18" s="462">
        <f>IF(AND(AT18&lt;&gt;0,AJ18&lt;&gt;"PF"),Life*W18,0)</f>
        <v>309.83388800000006</v>
      </c>
      <c r="BH18" s="462">
        <f>IF(AND(AT18&lt;&gt;0,AM18="Y"),UI*W18,0)</f>
        <v>210.56672</v>
      </c>
      <c r="BI18" s="462">
        <f>IF(AND(AT18&lt;&gt;0,N18&lt;&gt;"NR"),DHR*W18,0)</f>
        <v>238.069312</v>
      </c>
      <c r="BJ18" s="462">
        <f>IF(AT18&lt;&gt;0,WC*W18,0)</f>
        <v>85.945600000000013</v>
      </c>
      <c r="BK18" s="462">
        <f>IF(OR(AND(AT18&lt;&gt;0,AJ18&lt;&gt;"PF",AN18&lt;&gt;"NE",AG18&lt;&gt;"A"),AND(AL18="E",OR(AT18=1,AT18=3))),Sick*W18,0)</f>
        <v>0</v>
      </c>
      <c r="BL18" s="462">
        <f t="shared" si="5"/>
        <v>9262.7870399999993</v>
      </c>
      <c r="BM18" s="462">
        <f t="shared" si="6"/>
        <v>0</v>
      </c>
      <c r="BN18" s="462">
        <f>IF(AND(AT18=1,AK18="E",AU18&gt;=0.75,AW18=1),HealthBY,IF(AND(AT18=1,AK18="E",AU18&gt;=0.75),HealthBY*P18,IF(AND(AT18=1,AK18="E",AU18&gt;=0.5,AW18=1),PTHealthBY,IF(AND(AT18=1,AK18="E",AU18&gt;=0.5),PTHealthBY*P18,0))))</f>
        <v>11650</v>
      </c>
      <c r="BO18" s="462">
        <f>IF(AND(AT18=3,AK18="E",AV18&gt;=0.75,AW18=1),HealthBY,IF(AND(AT18=3,AK18="E",AV18&gt;=0.75),HealthBY*P18,IF(AND(AT18=3,AK18="E",AV18&gt;=0.5,AW18=1),PTHealthBY,IF(AND(AT18=3,AK18="E",AV18&gt;=0.5),PTHealthBY*P18,0))))</f>
        <v>0</v>
      </c>
      <c r="BP18" s="462">
        <f>IF(AND(AT18&lt;&gt;0,(AX18+BA18)&gt;=MAXSSDIBY),SSDIBY*MAXSSDIBY*P18,IF(AT18&lt;&gt;0,SSDIBY*W18,0))</f>
        <v>2664.3136</v>
      </c>
      <c r="BQ18" s="462">
        <f>IF(AT18&lt;&gt;0,SSHIBY*W18,0)</f>
        <v>623.10560000000009</v>
      </c>
      <c r="BR18" s="462">
        <f>IF(AND(AT18&lt;&gt;0,AN18&lt;&gt;"NE"),VLOOKUP(AN18,Retirement_Rates,4,FALSE)*W18,0)</f>
        <v>5130.9523200000003</v>
      </c>
      <c r="BS18" s="462">
        <f>IF(AND(AT18&lt;&gt;0,AJ18&lt;&gt;"PF"),LifeBY*W18,0)</f>
        <v>309.83388800000006</v>
      </c>
      <c r="BT18" s="462">
        <f>IF(AND(AT18&lt;&gt;0,AM18="Y"),UIBY*W18,0)</f>
        <v>0</v>
      </c>
      <c r="BU18" s="462">
        <f>IF(AND(AT18&lt;&gt;0,N18&lt;&gt;"NR"),DHRBY*W18,0)</f>
        <v>238.069312</v>
      </c>
      <c r="BV18" s="462">
        <f>IF(AT18&lt;&gt;0,WCBY*W18,0)</f>
        <v>73.053759999999997</v>
      </c>
      <c r="BW18" s="462">
        <f>IF(OR(AND(AT18&lt;&gt;0,AJ18&lt;&gt;"PF",AN18&lt;&gt;"NE",AG18&lt;&gt;"A"),AND(AL18="E",OR(AT18=1,AT18=3))),SickBY*W18,0)</f>
        <v>0</v>
      </c>
      <c r="BX18" s="462">
        <f t="shared" si="7"/>
        <v>9039.3284800000001</v>
      </c>
      <c r="BY18" s="462">
        <f t="shared" si="8"/>
        <v>0</v>
      </c>
      <c r="BZ18" s="462">
        <f t="shared" si="9"/>
        <v>0</v>
      </c>
      <c r="CA18" s="462">
        <f t="shared" si="10"/>
        <v>0</v>
      </c>
      <c r="CB18" s="462">
        <f t="shared" si="11"/>
        <v>0</v>
      </c>
      <c r="CC18" s="462">
        <f>IF(AT18&lt;&gt;0,SSHICHG*Y18,0)</f>
        <v>0</v>
      </c>
      <c r="CD18" s="462">
        <f>IF(AND(AT18&lt;&gt;0,AN18&lt;&gt;"NE"),VLOOKUP(AN18,Retirement_Rates,5,FALSE)*Y18,0)</f>
        <v>0</v>
      </c>
      <c r="CE18" s="462">
        <f>IF(AND(AT18&lt;&gt;0,AJ18&lt;&gt;"PF"),LifeCHG*Y18,0)</f>
        <v>0</v>
      </c>
      <c r="CF18" s="462">
        <f>IF(AND(AT18&lt;&gt;0,AM18="Y"),UICHG*Y18,0)</f>
        <v>-210.56672</v>
      </c>
      <c r="CG18" s="462">
        <f>IF(AND(AT18&lt;&gt;0,N18&lt;&gt;"NR"),DHRCHG*Y18,0)</f>
        <v>0</v>
      </c>
      <c r="CH18" s="462">
        <f>IF(AT18&lt;&gt;0,WCCHG*Y18,0)</f>
        <v>-12.891840000000007</v>
      </c>
      <c r="CI18" s="462">
        <f>IF(OR(AND(AT18&lt;&gt;0,AJ18&lt;&gt;"PF",AN18&lt;&gt;"NE",AG18&lt;&gt;"A"),AND(AL18="E",OR(AT18=1,AT18=3))),SickCHG*Y18,0)</f>
        <v>0</v>
      </c>
      <c r="CJ18" s="462">
        <f t="shared" si="12"/>
        <v>-223.45856000000001</v>
      </c>
      <c r="CK18" s="462" t="str">
        <f t="shared" si="13"/>
        <v/>
      </c>
      <c r="CL18" s="462" t="str">
        <f t="shared" si="14"/>
        <v/>
      </c>
      <c r="CM18" s="462" t="str">
        <f t="shared" si="15"/>
        <v/>
      </c>
      <c r="CN18" s="462" t="str">
        <f t="shared" si="16"/>
        <v>0001-00</v>
      </c>
    </row>
    <row r="19" spans="1:92" ht="15" thickBot="1" x14ac:dyDescent="0.35">
      <c r="A19" s="376" t="s">
        <v>161</v>
      </c>
      <c r="B19" s="376" t="s">
        <v>162</v>
      </c>
      <c r="C19" s="376" t="s">
        <v>291</v>
      </c>
      <c r="D19" s="376" t="s">
        <v>292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293</v>
      </c>
      <c r="L19" s="376" t="s">
        <v>204</v>
      </c>
      <c r="M19" s="376" t="s">
        <v>171</v>
      </c>
      <c r="N19" s="376" t="s">
        <v>172</v>
      </c>
      <c r="O19" s="379">
        <v>1</v>
      </c>
      <c r="P19" s="460">
        <v>0</v>
      </c>
      <c r="Q19" s="460">
        <v>0</v>
      </c>
      <c r="R19" s="380">
        <v>80</v>
      </c>
      <c r="S19" s="460">
        <v>0</v>
      </c>
      <c r="T19" s="380">
        <v>106744.1</v>
      </c>
      <c r="U19" s="380">
        <v>0</v>
      </c>
      <c r="V19" s="380">
        <v>32926.61</v>
      </c>
      <c r="W19" s="380">
        <v>0</v>
      </c>
      <c r="X19" s="380">
        <v>0</v>
      </c>
      <c r="Y19" s="380">
        <v>0</v>
      </c>
      <c r="Z19" s="380">
        <v>0</v>
      </c>
      <c r="AA19" s="376" t="s">
        <v>294</v>
      </c>
      <c r="AB19" s="376" t="s">
        <v>295</v>
      </c>
      <c r="AC19" s="376" t="s">
        <v>296</v>
      </c>
      <c r="AD19" s="376" t="s">
        <v>252</v>
      </c>
      <c r="AE19" s="376" t="s">
        <v>293</v>
      </c>
      <c r="AF19" s="376" t="s">
        <v>209</v>
      </c>
      <c r="AG19" s="376" t="s">
        <v>178</v>
      </c>
      <c r="AH19" s="381">
        <v>52.05</v>
      </c>
      <c r="AI19" s="381">
        <v>45864.5</v>
      </c>
      <c r="AJ19" s="376" t="s">
        <v>179</v>
      </c>
      <c r="AK19" s="376" t="s">
        <v>180</v>
      </c>
      <c r="AL19" s="376" t="s">
        <v>181</v>
      </c>
      <c r="AM19" s="376" t="s">
        <v>182</v>
      </c>
      <c r="AN19" s="376" t="s">
        <v>68</v>
      </c>
      <c r="AO19" s="379">
        <v>80</v>
      </c>
      <c r="AP19" s="460">
        <v>1</v>
      </c>
      <c r="AQ19" s="460">
        <v>0</v>
      </c>
      <c r="AR19" s="458" t="s">
        <v>183</v>
      </c>
      <c r="AS19" s="462">
        <f t="shared" si="0"/>
        <v>0</v>
      </c>
      <c r="AT19">
        <f t="shared" si="1"/>
        <v>0</v>
      </c>
      <c r="AU19" s="462" t="str">
        <f>IF(AT19=0,"",IF(AND(AT19=1,M19="F",SUMIF(C2:C170,C19,AS2:AS170)&lt;=1),SUMIF(C2:C170,C19,AS2:AS170),IF(AND(AT19=1,M19="F",SUMIF(C2:C170,C19,AS2:AS170)&gt;1),1,"")))</f>
        <v/>
      </c>
      <c r="AV19" s="462" t="str">
        <f>IF(AT19=0,"",IF(AND(AT19=3,M19="F",SUMIF(C2:C170,C19,AS2:AS170)&lt;=1),SUMIF(C2:C170,C19,AS2:AS170),IF(AND(AT19=3,M19="F",SUMIF(C2:C170,C19,AS2:AS170)&gt;1),1,"")))</f>
        <v/>
      </c>
      <c r="AW19" s="462">
        <f>SUMIF(C2:C170,C19,O2:O170)</f>
        <v>2</v>
      </c>
      <c r="AX19" s="462">
        <f>IF(AND(M19="F",AS19&lt;&gt;0),SUMIF(C2:C170,C19,W2:W170),0)</f>
        <v>0</v>
      </c>
      <c r="AY19" s="462" t="str">
        <f t="shared" si="2"/>
        <v/>
      </c>
      <c r="AZ19" s="462" t="str">
        <f t="shared" si="3"/>
        <v/>
      </c>
      <c r="BA19" s="462">
        <f t="shared" si="4"/>
        <v>0</v>
      </c>
      <c r="BB19" s="462">
        <f>IF(AND(AT19=1,AK19="E",AU19&gt;=0.75,AW19=1),Health,IF(AND(AT19=1,AK19="E",AU19&gt;=0.75),Health*P19,IF(AND(AT19=1,AK19="E",AU19&gt;=0.5,AW19=1),PTHealth,IF(AND(AT19=1,AK19="E",AU19&gt;=0.5),PTHealth*P19,0))))</f>
        <v>0</v>
      </c>
      <c r="BC19" s="462">
        <f>IF(AND(AT19=3,AK19="E",AV19&gt;=0.75,AW19=1),Health,IF(AND(AT19=3,AK19="E",AV19&gt;=0.75),Health*P19,IF(AND(AT19=3,AK19="E",AV19&gt;=0.5,AW19=1),PTHealth,IF(AND(AT19=3,AK19="E",AV19&gt;=0.5),PTHealth*P19,0))))</f>
        <v>0</v>
      </c>
      <c r="BD19" s="462">
        <f>IF(AND(AT19&lt;&gt;0,AX19&gt;=MAXSSDI),SSDI*MAXSSDI*P19,IF(AT19&lt;&gt;0,SSDI*W19,0))</f>
        <v>0</v>
      </c>
      <c r="BE19" s="462">
        <f>IF(AT19&lt;&gt;0,SSHI*W19,0)</f>
        <v>0</v>
      </c>
      <c r="BF19" s="462">
        <f>IF(AND(AT19&lt;&gt;0,AN19&lt;&gt;"NE"),VLOOKUP(AN19,Retirement_Rates,3,FALSE)*W19,0)</f>
        <v>0</v>
      </c>
      <c r="BG19" s="462">
        <f>IF(AND(AT19&lt;&gt;0,AJ19&lt;&gt;"PF"),Life*W19,0)</f>
        <v>0</v>
      </c>
      <c r="BH19" s="462">
        <f>IF(AND(AT19&lt;&gt;0,AM19="Y"),UI*W19,0)</f>
        <v>0</v>
      </c>
      <c r="BI19" s="462">
        <f>IF(AND(AT19&lt;&gt;0,N19&lt;&gt;"NR"),DHR*W19,0)</f>
        <v>0</v>
      </c>
      <c r="BJ19" s="462">
        <f>IF(AT19&lt;&gt;0,WC*W19,0)</f>
        <v>0</v>
      </c>
      <c r="BK19" s="462">
        <f>IF(OR(AND(AT19&lt;&gt;0,AJ19&lt;&gt;"PF",AN19&lt;&gt;"NE",AG19&lt;&gt;"A"),AND(AL19="E",OR(AT19=1,AT19=3))),Sick*W19,0)</f>
        <v>0</v>
      </c>
      <c r="BL19" s="462">
        <f t="shared" si="5"/>
        <v>0</v>
      </c>
      <c r="BM19" s="462">
        <f t="shared" si="6"/>
        <v>0</v>
      </c>
      <c r="BN19" s="462">
        <f>IF(AND(AT19=1,AK19="E",AU19&gt;=0.75,AW19=1),HealthBY,IF(AND(AT19=1,AK19="E",AU19&gt;=0.75),HealthBY*P19,IF(AND(AT19=1,AK19="E",AU19&gt;=0.5,AW19=1),PTHealthBY,IF(AND(AT19=1,AK19="E",AU19&gt;=0.5),PTHealthBY*P19,0))))</f>
        <v>0</v>
      </c>
      <c r="BO19" s="462">
        <f>IF(AND(AT19=3,AK19="E",AV19&gt;=0.75,AW19=1),HealthBY,IF(AND(AT19=3,AK19="E",AV19&gt;=0.75),HealthBY*P19,IF(AND(AT19=3,AK19="E",AV19&gt;=0.5,AW19=1),PTHealthBY,IF(AND(AT19=3,AK19="E",AV19&gt;=0.5),PTHealthBY*P19,0))))</f>
        <v>0</v>
      </c>
      <c r="BP19" s="462">
        <f>IF(AND(AT19&lt;&gt;0,(AX19+BA19)&gt;=MAXSSDIBY),SSDIBY*MAXSSDIBY*P19,IF(AT19&lt;&gt;0,SSDIBY*W19,0))</f>
        <v>0</v>
      </c>
      <c r="BQ19" s="462">
        <f>IF(AT19&lt;&gt;0,SSHIBY*W19,0)</f>
        <v>0</v>
      </c>
      <c r="BR19" s="462">
        <f>IF(AND(AT19&lt;&gt;0,AN19&lt;&gt;"NE"),VLOOKUP(AN19,Retirement_Rates,4,FALSE)*W19,0)</f>
        <v>0</v>
      </c>
      <c r="BS19" s="462">
        <f>IF(AND(AT19&lt;&gt;0,AJ19&lt;&gt;"PF"),LifeBY*W19,0)</f>
        <v>0</v>
      </c>
      <c r="BT19" s="462">
        <f>IF(AND(AT19&lt;&gt;0,AM19="Y"),UIBY*W19,0)</f>
        <v>0</v>
      </c>
      <c r="BU19" s="462">
        <f>IF(AND(AT19&lt;&gt;0,N19&lt;&gt;"NR"),DHRBY*W19,0)</f>
        <v>0</v>
      </c>
      <c r="BV19" s="462">
        <f>IF(AT19&lt;&gt;0,WCBY*W19,0)</f>
        <v>0</v>
      </c>
      <c r="BW19" s="462">
        <f>IF(OR(AND(AT19&lt;&gt;0,AJ19&lt;&gt;"PF",AN19&lt;&gt;"NE",AG19&lt;&gt;"A"),AND(AL19="E",OR(AT19=1,AT19=3))),SickBY*W19,0)</f>
        <v>0</v>
      </c>
      <c r="BX19" s="462">
        <f t="shared" si="7"/>
        <v>0</v>
      </c>
      <c r="BY19" s="462">
        <f t="shared" si="8"/>
        <v>0</v>
      </c>
      <c r="BZ19" s="462">
        <f t="shared" si="9"/>
        <v>0</v>
      </c>
      <c r="CA19" s="462">
        <f t="shared" si="10"/>
        <v>0</v>
      </c>
      <c r="CB19" s="462">
        <f t="shared" si="11"/>
        <v>0</v>
      </c>
      <c r="CC19" s="462">
        <f>IF(AT19&lt;&gt;0,SSHICHG*Y19,0)</f>
        <v>0</v>
      </c>
      <c r="CD19" s="462">
        <f>IF(AND(AT19&lt;&gt;0,AN19&lt;&gt;"NE"),VLOOKUP(AN19,Retirement_Rates,5,FALSE)*Y19,0)</f>
        <v>0</v>
      </c>
      <c r="CE19" s="462">
        <f>IF(AND(AT19&lt;&gt;0,AJ19&lt;&gt;"PF"),LifeCHG*Y19,0)</f>
        <v>0</v>
      </c>
      <c r="CF19" s="462">
        <f>IF(AND(AT19&lt;&gt;0,AM19="Y"),UICHG*Y19,0)</f>
        <v>0</v>
      </c>
      <c r="CG19" s="462">
        <f>IF(AND(AT19&lt;&gt;0,N19&lt;&gt;"NR"),DHRCHG*Y19,0)</f>
        <v>0</v>
      </c>
      <c r="CH19" s="462">
        <f>IF(AT19&lt;&gt;0,WCCHG*Y19,0)</f>
        <v>0</v>
      </c>
      <c r="CI19" s="462">
        <f>IF(OR(AND(AT19&lt;&gt;0,AJ19&lt;&gt;"PF",AN19&lt;&gt;"NE",AG19&lt;&gt;"A"),AND(AL19="E",OR(AT19=1,AT19=3))),SickCHG*Y19,0)</f>
        <v>0</v>
      </c>
      <c r="CJ19" s="462">
        <f t="shared" si="12"/>
        <v>0</v>
      </c>
      <c r="CK19" s="462" t="str">
        <f t="shared" si="13"/>
        <v/>
      </c>
      <c r="CL19" s="462" t="str">
        <f t="shared" si="14"/>
        <v/>
      </c>
      <c r="CM19" s="462" t="str">
        <f t="shared" si="15"/>
        <v/>
      </c>
      <c r="CN19" s="462" t="str">
        <f t="shared" si="16"/>
        <v>0001-00</v>
      </c>
    </row>
    <row r="20" spans="1:92" ht="15" thickBot="1" x14ac:dyDescent="0.35">
      <c r="A20" s="376" t="s">
        <v>161</v>
      </c>
      <c r="B20" s="376" t="s">
        <v>162</v>
      </c>
      <c r="C20" s="376" t="s">
        <v>297</v>
      </c>
      <c r="D20" s="376" t="s">
        <v>298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299</v>
      </c>
      <c r="L20" s="376" t="s">
        <v>220</v>
      </c>
      <c r="M20" s="376" t="s">
        <v>171</v>
      </c>
      <c r="N20" s="376" t="s">
        <v>172</v>
      </c>
      <c r="O20" s="379">
        <v>1</v>
      </c>
      <c r="P20" s="460">
        <v>1</v>
      </c>
      <c r="Q20" s="460">
        <v>1</v>
      </c>
      <c r="R20" s="380">
        <v>80</v>
      </c>
      <c r="S20" s="460">
        <v>1</v>
      </c>
      <c r="T20" s="380">
        <v>49593.599999999999</v>
      </c>
      <c r="U20" s="380">
        <v>0</v>
      </c>
      <c r="V20" s="380">
        <v>20090.830000000002</v>
      </c>
      <c r="W20" s="380">
        <v>60278.400000000001</v>
      </c>
      <c r="X20" s="380">
        <v>24642.98</v>
      </c>
      <c r="Y20" s="380">
        <v>60278.400000000001</v>
      </c>
      <c r="Z20" s="380">
        <v>24329.54</v>
      </c>
      <c r="AA20" s="376" t="s">
        <v>300</v>
      </c>
      <c r="AB20" s="376" t="s">
        <v>301</v>
      </c>
      <c r="AC20" s="376" t="s">
        <v>223</v>
      </c>
      <c r="AD20" s="376" t="s">
        <v>216</v>
      </c>
      <c r="AE20" s="376" t="s">
        <v>299</v>
      </c>
      <c r="AF20" s="376" t="s">
        <v>224</v>
      </c>
      <c r="AG20" s="376" t="s">
        <v>178</v>
      </c>
      <c r="AH20" s="381">
        <v>28.98</v>
      </c>
      <c r="AI20" s="381">
        <v>3359.2</v>
      </c>
      <c r="AJ20" s="376" t="s">
        <v>179</v>
      </c>
      <c r="AK20" s="376" t="s">
        <v>180</v>
      </c>
      <c r="AL20" s="376" t="s">
        <v>181</v>
      </c>
      <c r="AM20" s="376" t="s">
        <v>182</v>
      </c>
      <c r="AN20" s="376" t="s">
        <v>68</v>
      </c>
      <c r="AO20" s="379">
        <v>80</v>
      </c>
      <c r="AP20" s="460">
        <v>1</v>
      </c>
      <c r="AQ20" s="460">
        <v>1</v>
      </c>
      <c r="AR20" s="458" t="s">
        <v>183</v>
      </c>
      <c r="AS20" s="462">
        <f t="shared" si="0"/>
        <v>1</v>
      </c>
      <c r="AT20">
        <f t="shared" si="1"/>
        <v>1</v>
      </c>
      <c r="AU20" s="462">
        <f>IF(AT20=0,"",IF(AND(AT20=1,M20="F",SUMIF(C2:C170,C20,AS2:AS170)&lt;=1),SUMIF(C2:C170,C20,AS2:AS170),IF(AND(AT20=1,M20="F",SUMIF(C2:C170,C20,AS2:AS170)&gt;1),1,"")))</f>
        <v>1</v>
      </c>
      <c r="AV20" s="462" t="str">
        <f>IF(AT20=0,"",IF(AND(AT20=3,M20="F",SUMIF(C2:C170,C20,AS2:AS170)&lt;=1),SUMIF(C2:C170,C20,AS2:AS170),IF(AND(AT20=3,M20="F",SUMIF(C2:C170,C20,AS2:AS170)&gt;1),1,"")))</f>
        <v/>
      </c>
      <c r="AW20" s="462">
        <f>SUMIF(C2:C170,C20,O2:O170)</f>
        <v>1</v>
      </c>
      <c r="AX20" s="462">
        <f>IF(AND(M20="F",AS20&lt;&gt;0),SUMIF(C2:C170,C20,W2:W170),0)</f>
        <v>60278.400000000001</v>
      </c>
      <c r="AY20" s="462">
        <f t="shared" si="2"/>
        <v>60278.400000000001</v>
      </c>
      <c r="AZ20" s="462" t="str">
        <f t="shared" si="3"/>
        <v/>
      </c>
      <c r="BA20" s="462">
        <f t="shared" si="4"/>
        <v>0</v>
      </c>
      <c r="BB20" s="462">
        <f>IF(AND(AT20=1,AK20="E",AU20&gt;=0.75,AW20=1),Health,IF(AND(AT20=1,AK20="E",AU20&gt;=0.75),Health*P20,IF(AND(AT20=1,AK20="E",AU20&gt;=0.5,AW20=1),PTHealth,IF(AND(AT20=1,AK20="E",AU20&gt;=0.5),PTHealth*P20,0))))</f>
        <v>11650</v>
      </c>
      <c r="BC20" s="462">
        <f>IF(AND(AT20=3,AK20="E",AV20&gt;=0.75,AW20=1),Health,IF(AND(AT20=3,AK20="E",AV20&gt;=0.75),Health*P20,IF(AND(AT20=3,AK20="E",AV20&gt;=0.5,AW20=1),PTHealth,IF(AND(AT20=3,AK20="E",AV20&gt;=0.5),PTHealth*P20,0))))</f>
        <v>0</v>
      </c>
      <c r="BD20" s="462">
        <f>IF(AND(AT20&lt;&gt;0,AX20&gt;=MAXSSDI),SSDI*MAXSSDI*P20,IF(AT20&lt;&gt;0,SSDI*W20,0))</f>
        <v>3737.2608</v>
      </c>
      <c r="BE20" s="462">
        <f>IF(AT20&lt;&gt;0,SSHI*W20,0)</f>
        <v>874.03680000000008</v>
      </c>
      <c r="BF20" s="462">
        <f>IF(AND(AT20&lt;&gt;0,AN20&lt;&gt;"NE"),VLOOKUP(AN20,Retirement_Rates,3,FALSE)*W20,0)</f>
        <v>7197.240960000001</v>
      </c>
      <c r="BG20" s="462">
        <f>IF(AND(AT20&lt;&gt;0,AJ20&lt;&gt;"PF"),Life*W20,0)</f>
        <v>434.60726400000004</v>
      </c>
      <c r="BH20" s="462">
        <f>IF(AND(AT20&lt;&gt;0,AM20="Y"),UI*W20,0)</f>
        <v>295.36415999999997</v>
      </c>
      <c r="BI20" s="462">
        <f>IF(AND(AT20&lt;&gt;0,N20&lt;&gt;"NR"),DHR*W20,0)</f>
        <v>333.94233600000001</v>
      </c>
      <c r="BJ20" s="462">
        <f>IF(AT20&lt;&gt;0,WC*W20,0)</f>
        <v>120.55680000000001</v>
      </c>
      <c r="BK20" s="462">
        <f>IF(OR(AND(AT20&lt;&gt;0,AJ20&lt;&gt;"PF",AN20&lt;&gt;"NE",AG20&lt;&gt;"A"),AND(AL20="E",OR(AT20=1,AT20=3))),Sick*W20,0)</f>
        <v>0</v>
      </c>
      <c r="BL20" s="462">
        <f t="shared" si="5"/>
        <v>12993.009120000001</v>
      </c>
      <c r="BM20" s="462">
        <f t="shared" si="6"/>
        <v>0</v>
      </c>
      <c r="BN20" s="462">
        <f>IF(AND(AT20=1,AK20="E",AU20&gt;=0.75,AW20=1),HealthBY,IF(AND(AT20=1,AK20="E",AU20&gt;=0.75),HealthBY*P20,IF(AND(AT20=1,AK20="E",AU20&gt;=0.5,AW20=1),PTHealthBY,IF(AND(AT20=1,AK20="E",AU20&gt;=0.5),PTHealthBY*P20,0))))</f>
        <v>11650</v>
      </c>
      <c r="BO20" s="462">
        <f>IF(AND(AT20=3,AK20="E",AV20&gt;=0.75,AW20=1),HealthBY,IF(AND(AT20=3,AK20="E",AV20&gt;=0.75),HealthBY*P20,IF(AND(AT20=3,AK20="E",AV20&gt;=0.5,AW20=1),PTHealthBY,IF(AND(AT20=3,AK20="E",AV20&gt;=0.5),PTHealthBY*P20,0))))</f>
        <v>0</v>
      </c>
      <c r="BP20" s="462">
        <f>IF(AND(AT20&lt;&gt;0,(AX20+BA20)&gt;=MAXSSDIBY),SSDIBY*MAXSSDIBY*P20,IF(AT20&lt;&gt;0,SSDIBY*W20,0))</f>
        <v>3737.2608</v>
      </c>
      <c r="BQ20" s="462">
        <f>IF(AT20&lt;&gt;0,SSHIBY*W20,0)</f>
        <v>874.03680000000008</v>
      </c>
      <c r="BR20" s="462">
        <f>IF(AND(AT20&lt;&gt;0,AN20&lt;&gt;"NE"),VLOOKUP(AN20,Retirement_Rates,4,FALSE)*W20,0)</f>
        <v>7197.240960000001</v>
      </c>
      <c r="BS20" s="462">
        <f>IF(AND(AT20&lt;&gt;0,AJ20&lt;&gt;"PF"),LifeBY*W20,0)</f>
        <v>434.60726400000004</v>
      </c>
      <c r="BT20" s="462">
        <f>IF(AND(AT20&lt;&gt;0,AM20="Y"),UIBY*W20,0)</f>
        <v>0</v>
      </c>
      <c r="BU20" s="462">
        <f>IF(AND(AT20&lt;&gt;0,N20&lt;&gt;"NR"),DHRBY*W20,0)</f>
        <v>333.94233600000001</v>
      </c>
      <c r="BV20" s="462">
        <f>IF(AT20&lt;&gt;0,WCBY*W20,0)</f>
        <v>102.47328</v>
      </c>
      <c r="BW20" s="462">
        <f>IF(OR(AND(AT20&lt;&gt;0,AJ20&lt;&gt;"PF",AN20&lt;&gt;"NE",AG20&lt;&gt;"A"),AND(AL20="E",OR(AT20=1,AT20=3))),SickBY*W20,0)</f>
        <v>0</v>
      </c>
      <c r="BX20" s="462">
        <f t="shared" si="7"/>
        <v>12679.561440000001</v>
      </c>
      <c r="BY20" s="462">
        <f t="shared" si="8"/>
        <v>0</v>
      </c>
      <c r="BZ20" s="462">
        <f t="shared" si="9"/>
        <v>0</v>
      </c>
      <c r="CA20" s="462">
        <f t="shared" si="10"/>
        <v>0</v>
      </c>
      <c r="CB20" s="462">
        <f t="shared" si="11"/>
        <v>0</v>
      </c>
      <c r="CC20" s="462">
        <f>IF(AT20&lt;&gt;0,SSHICHG*Y20,0)</f>
        <v>0</v>
      </c>
      <c r="CD20" s="462">
        <f>IF(AND(AT20&lt;&gt;0,AN20&lt;&gt;"NE"),VLOOKUP(AN20,Retirement_Rates,5,FALSE)*Y20,0)</f>
        <v>0</v>
      </c>
      <c r="CE20" s="462">
        <f>IF(AND(AT20&lt;&gt;0,AJ20&lt;&gt;"PF"),LifeCHG*Y20,0)</f>
        <v>0</v>
      </c>
      <c r="CF20" s="462">
        <f>IF(AND(AT20&lt;&gt;0,AM20="Y"),UICHG*Y20,0)</f>
        <v>-295.36415999999997</v>
      </c>
      <c r="CG20" s="462">
        <f>IF(AND(AT20&lt;&gt;0,N20&lt;&gt;"NR"),DHRCHG*Y20,0)</f>
        <v>0</v>
      </c>
      <c r="CH20" s="462">
        <f>IF(AT20&lt;&gt;0,WCCHG*Y20,0)</f>
        <v>-18.083520000000007</v>
      </c>
      <c r="CI20" s="462">
        <f>IF(OR(AND(AT20&lt;&gt;0,AJ20&lt;&gt;"PF",AN20&lt;&gt;"NE",AG20&lt;&gt;"A"),AND(AL20="E",OR(AT20=1,AT20=3))),SickCHG*Y20,0)</f>
        <v>0</v>
      </c>
      <c r="CJ20" s="462">
        <f t="shared" si="12"/>
        <v>-313.44767999999999</v>
      </c>
      <c r="CK20" s="462" t="str">
        <f t="shared" si="13"/>
        <v/>
      </c>
      <c r="CL20" s="462" t="str">
        <f t="shared" si="14"/>
        <v/>
      </c>
      <c r="CM20" s="462" t="str">
        <f t="shared" si="15"/>
        <v/>
      </c>
      <c r="CN20" s="462" t="str">
        <f t="shared" si="16"/>
        <v>0001-00</v>
      </c>
    </row>
    <row r="21" spans="1:92" ht="15" thickBot="1" x14ac:dyDescent="0.35">
      <c r="A21" s="376" t="s">
        <v>161</v>
      </c>
      <c r="B21" s="376" t="s">
        <v>162</v>
      </c>
      <c r="C21" s="376" t="s">
        <v>302</v>
      </c>
      <c r="D21" s="376" t="s">
        <v>164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169</v>
      </c>
      <c r="L21" s="376" t="s">
        <v>170</v>
      </c>
      <c r="M21" s="376" t="s">
        <v>171</v>
      </c>
      <c r="N21" s="376" t="s">
        <v>172</v>
      </c>
      <c r="O21" s="379">
        <v>1</v>
      </c>
      <c r="P21" s="460">
        <v>0</v>
      </c>
      <c r="Q21" s="460">
        <v>0</v>
      </c>
      <c r="R21" s="380">
        <v>80</v>
      </c>
      <c r="S21" s="460">
        <v>0</v>
      </c>
      <c r="T21" s="380">
        <v>78535.199999999997</v>
      </c>
      <c r="U21" s="380">
        <v>0</v>
      </c>
      <c r="V21" s="380">
        <v>26417.95</v>
      </c>
      <c r="W21" s="380">
        <v>0</v>
      </c>
      <c r="X21" s="380">
        <v>0</v>
      </c>
      <c r="Y21" s="380">
        <v>0</v>
      </c>
      <c r="Z21" s="380">
        <v>0</v>
      </c>
      <c r="AA21" s="376" t="s">
        <v>303</v>
      </c>
      <c r="AB21" s="376" t="s">
        <v>304</v>
      </c>
      <c r="AC21" s="376" t="s">
        <v>305</v>
      </c>
      <c r="AD21" s="376" t="s">
        <v>228</v>
      </c>
      <c r="AE21" s="376" t="s">
        <v>169</v>
      </c>
      <c r="AF21" s="376" t="s">
        <v>177</v>
      </c>
      <c r="AG21" s="376" t="s">
        <v>178</v>
      </c>
      <c r="AH21" s="381">
        <v>44.26</v>
      </c>
      <c r="AI21" s="379">
        <v>11032</v>
      </c>
      <c r="AJ21" s="376" t="s">
        <v>179</v>
      </c>
      <c r="AK21" s="376" t="s">
        <v>180</v>
      </c>
      <c r="AL21" s="376" t="s">
        <v>181</v>
      </c>
      <c r="AM21" s="376" t="s">
        <v>182</v>
      </c>
      <c r="AN21" s="376" t="s">
        <v>68</v>
      </c>
      <c r="AO21" s="379">
        <v>80</v>
      </c>
      <c r="AP21" s="460">
        <v>1</v>
      </c>
      <c r="AQ21" s="460">
        <v>0</v>
      </c>
      <c r="AR21" s="458" t="s">
        <v>183</v>
      </c>
      <c r="AS21" s="462">
        <f t="shared" si="0"/>
        <v>0</v>
      </c>
      <c r="AT21">
        <f t="shared" si="1"/>
        <v>0</v>
      </c>
      <c r="AU21" s="462" t="str">
        <f>IF(AT21=0,"",IF(AND(AT21=1,M21="F",SUMIF(C2:C170,C21,AS2:AS170)&lt;=1),SUMIF(C2:C170,C21,AS2:AS170),IF(AND(AT21=1,M21="F",SUMIF(C2:C170,C21,AS2:AS170)&gt;1),1,"")))</f>
        <v/>
      </c>
      <c r="AV21" s="462" t="str">
        <f>IF(AT21=0,"",IF(AND(AT21=3,M21="F",SUMIF(C2:C170,C21,AS2:AS170)&lt;=1),SUMIF(C2:C170,C21,AS2:AS170),IF(AND(AT21=3,M21="F",SUMIF(C2:C170,C21,AS2:AS170)&gt;1),1,"")))</f>
        <v/>
      </c>
      <c r="AW21" s="462">
        <f>SUMIF(C2:C170,C21,O2:O170)</f>
        <v>2</v>
      </c>
      <c r="AX21" s="462">
        <f>IF(AND(M21="F",AS21&lt;&gt;0),SUMIF(C2:C170,C21,W2:W170),0)</f>
        <v>0</v>
      </c>
      <c r="AY21" s="462" t="str">
        <f t="shared" si="2"/>
        <v/>
      </c>
      <c r="AZ21" s="462" t="str">
        <f t="shared" si="3"/>
        <v/>
      </c>
      <c r="BA21" s="462">
        <f t="shared" si="4"/>
        <v>0</v>
      </c>
      <c r="BB21" s="462">
        <f>IF(AND(AT21=1,AK21="E",AU21&gt;=0.75,AW21=1),Health,IF(AND(AT21=1,AK21="E",AU21&gt;=0.75),Health*P21,IF(AND(AT21=1,AK21="E",AU21&gt;=0.5,AW21=1),PTHealth,IF(AND(AT21=1,AK21="E",AU21&gt;=0.5),PTHealth*P21,0))))</f>
        <v>0</v>
      </c>
      <c r="BC21" s="462">
        <f>IF(AND(AT21=3,AK21="E",AV21&gt;=0.75,AW21=1),Health,IF(AND(AT21=3,AK21="E",AV21&gt;=0.75),Health*P21,IF(AND(AT21=3,AK21="E",AV21&gt;=0.5,AW21=1),PTHealth,IF(AND(AT21=3,AK21="E",AV21&gt;=0.5),PTHealth*P21,0))))</f>
        <v>0</v>
      </c>
      <c r="BD21" s="462">
        <f>IF(AND(AT21&lt;&gt;0,AX21&gt;=MAXSSDI),SSDI*MAXSSDI*P21,IF(AT21&lt;&gt;0,SSDI*W21,0))</f>
        <v>0</v>
      </c>
      <c r="BE21" s="462">
        <f>IF(AT21&lt;&gt;0,SSHI*W21,0)</f>
        <v>0</v>
      </c>
      <c r="BF21" s="462">
        <f>IF(AND(AT21&lt;&gt;0,AN21&lt;&gt;"NE"),VLOOKUP(AN21,Retirement_Rates,3,FALSE)*W21,0)</f>
        <v>0</v>
      </c>
      <c r="BG21" s="462">
        <f>IF(AND(AT21&lt;&gt;0,AJ21&lt;&gt;"PF"),Life*W21,0)</f>
        <v>0</v>
      </c>
      <c r="BH21" s="462">
        <f>IF(AND(AT21&lt;&gt;0,AM21="Y"),UI*W21,0)</f>
        <v>0</v>
      </c>
      <c r="BI21" s="462">
        <f>IF(AND(AT21&lt;&gt;0,N21&lt;&gt;"NR"),DHR*W21,0)</f>
        <v>0</v>
      </c>
      <c r="BJ21" s="462">
        <f>IF(AT21&lt;&gt;0,WC*W21,0)</f>
        <v>0</v>
      </c>
      <c r="BK21" s="462">
        <f>IF(OR(AND(AT21&lt;&gt;0,AJ21&lt;&gt;"PF",AN21&lt;&gt;"NE",AG21&lt;&gt;"A"),AND(AL21="E",OR(AT21=1,AT21=3))),Sick*W21,0)</f>
        <v>0</v>
      </c>
      <c r="BL21" s="462">
        <f t="shared" si="5"/>
        <v>0</v>
      </c>
      <c r="BM21" s="462">
        <f t="shared" si="6"/>
        <v>0</v>
      </c>
      <c r="BN21" s="462">
        <f>IF(AND(AT21=1,AK21="E",AU21&gt;=0.75,AW21=1),HealthBY,IF(AND(AT21=1,AK21="E",AU21&gt;=0.75),HealthBY*P21,IF(AND(AT21=1,AK21="E",AU21&gt;=0.5,AW21=1),PTHealthBY,IF(AND(AT21=1,AK21="E",AU21&gt;=0.5),PTHealthBY*P21,0))))</f>
        <v>0</v>
      </c>
      <c r="BO21" s="462">
        <f>IF(AND(AT21=3,AK21="E",AV21&gt;=0.75,AW21=1),HealthBY,IF(AND(AT21=3,AK21="E",AV21&gt;=0.75),HealthBY*P21,IF(AND(AT21=3,AK21="E",AV21&gt;=0.5,AW21=1),PTHealthBY,IF(AND(AT21=3,AK21="E",AV21&gt;=0.5),PTHealthBY*P21,0))))</f>
        <v>0</v>
      </c>
      <c r="BP21" s="462">
        <f>IF(AND(AT21&lt;&gt;0,(AX21+BA21)&gt;=MAXSSDIBY),SSDIBY*MAXSSDIBY*P21,IF(AT21&lt;&gt;0,SSDIBY*W21,0))</f>
        <v>0</v>
      </c>
      <c r="BQ21" s="462">
        <f>IF(AT21&lt;&gt;0,SSHIBY*W21,0)</f>
        <v>0</v>
      </c>
      <c r="BR21" s="462">
        <f>IF(AND(AT21&lt;&gt;0,AN21&lt;&gt;"NE"),VLOOKUP(AN21,Retirement_Rates,4,FALSE)*W21,0)</f>
        <v>0</v>
      </c>
      <c r="BS21" s="462">
        <f>IF(AND(AT21&lt;&gt;0,AJ21&lt;&gt;"PF"),LifeBY*W21,0)</f>
        <v>0</v>
      </c>
      <c r="BT21" s="462">
        <f>IF(AND(AT21&lt;&gt;0,AM21="Y"),UIBY*W21,0)</f>
        <v>0</v>
      </c>
      <c r="BU21" s="462">
        <f>IF(AND(AT21&lt;&gt;0,N21&lt;&gt;"NR"),DHRBY*W21,0)</f>
        <v>0</v>
      </c>
      <c r="BV21" s="462">
        <f>IF(AT21&lt;&gt;0,WCBY*W21,0)</f>
        <v>0</v>
      </c>
      <c r="BW21" s="462">
        <f>IF(OR(AND(AT21&lt;&gt;0,AJ21&lt;&gt;"PF",AN21&lt;&gt;"NE",AG21&lt;&gt;"A"),AND(AL21="E",OR(AT21=1,AT21=3))),SickBY*W21,0)</f>
        <v>0</v>
      </c>
      <c r="BX21" s="462">
        <f t="shared" si="7"/>
        <v>0</v>
      </c>
      <c r="BY21" s="462">
        <f t="shared" si="8"/>
        <v>0</v>
      </c>
      <c r="BZ21" s="462">
        <f t="shared" si="9"/>
        <v>0</v>
      </c>
      <c r="CA21" s="462">
        <f t="shared" si="10"/>
        <v>0</v>
      </c>
      <c r="CB21" s="462">
        <f t="shared" si="11"/>
        <v>0</v>
      </c>
      <c r="CC21" s="462">
        <f>IF(AT21&lt;&gt;0,SSHICHG*Y21,0)</f>
        <v>0</v>
      </c>
      <c r="CD21" s="462">
        <f>IF(AND(AT21&lt;&gt;0,AN21&lt;&gt;"NE"),VLOOKUP(AN21,Retirement_Rates,5,FALSE)*Y21,0)</f>
        <v>0</v>
      </c>
      <c r="CE21" s="462">
        <f>IF(AND(AT21&lt;&gt;0,AJ21&lt;&gt;"PF"),LifeCHG*Y21,0)</f>
        <v>0</v>
      </c>
      <c r="CF21" s="462">
        <f>IF(AND(AT21&lt;&gt;0,AM21="Y"),UICHG*Y21,0)</f>
        <v>0</v>
      </c>
      <c r="CG21" s="462">
        <f>IF(AND(AT21&lt;&gt;0,N21&lt;&gt;"NR"),DHRCHG*Y21,0)</f>
        <v>0</v>
      </c>
      <c r="CH21" s="462">
        <f>IF(AT21&lt;&gt;0,WCCHG*Y21,0)</f>
        <v>0</v>
      </c>
      <c r="CI21" s="462">
        <f>IF(OR(AND(AT21&lt;&gt;0,AJ21&lt;&gt;"PF",AN21&lt;&gt;"NE",AG21&lt;&gt;"A"),AND(AL21="E",OR(AT21=1,AT21=3))),SickCHG*Y21,0)</f>
        <v>0</v>
      </c>
      <c r="CJ21" s="462">
        <f t="shared" si="12"/>
        <v>0</v>
      </c>
      <c r="CK21" s="462" t="str">
        <f t="shared" si="13"/>
        <v/>
      </c>
      <c r="CL21" s="462" t="str">
        <f t="shared" si="14"/>
        <v/>
      </c>
      <c r="CM21" s="462" t="str">
        <f t="shared" si="15"/>
        <v/>
      </c>
      <c r="CN21" s="462" t="str">
        <f t="shared" si="16"/>
        <v>0001-00</v>
      </c>
    </row>
    <row r="22" spans="1:92" ht="15" thickBot="1" x14ac:dyDescent="0.35">
      <c r="A22" s="376" t="s">
        <v>161</v>
      </c>
      <c r="B22" s="376" t="s">
        <v>162</v>
      </c>
      <c r="C22" s="376" t="s">
        <v>306</v>
      </c>
      <c r="D22" s="376" t="s">
        <v>298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307</v>
      </c>
      <c r="L22" s="376" t="s">
        <v>216</v>
      </c>
      <c r="M22" s="376" t="s">
        <v>171</v>
      </c>
      <c r="N22" s="376" t="s">
        <v>172</v>
      </c>
      <c r="O22" s="379">
        <v>1</v>
      </c>
      <c r="P22" s="460">
        <v>1</v>
      </c>
      <c r="Q22" s="460">
        <v>1</v>
      </c>
      <c r="R22" s="380">
        <v>80</v>
      </c>
      <c r="S22" s="460">
        <v>1</v>
      </c>
      <c r="T22" s="380">
        <v>0</v>
      </c>
      <c r="U22" s="380">
        <v>0</v>
      </c>
      <c r="V22" s="380">
        <v>0</v>
      </c>
      <c r="W22" s="380">
        <v>66331.199999999997</v>
      </c>
      <c r="X22" s="380">
        <v>25947.66</v>
      </c>
      <c r="Y22" s="380">
        <v>66331.199999999997</v>
      </c>
      <c r="Z22" s="380">
        <v>25602.74</v>
      </c>
      <c r="AA22" s="376" t="s">
        <v>308</v>
      </c>
      <c r="AB22" s="376" t="s">
        <v>309</v>
      </c>
      <c r="AC22" s="376" t="s">
        <v>310</v>
      </c>
      <c r="AD22" s="376" t="s">
        <v>216</v>
      </c>
      <c r="AE22" s="376" t="s">
        <v>307</v>
      </c>
      <c r="AF22" s="376" t="s">
        <v>311</v>
      </c>
      <c r="AG22" s="376" t="s">
        <v>178</v>
      </c>
      <c r="AH22" s="381">
        <v>31.89</v>
      </c>
      <c r="AI22" s="381">
        <v>19197.099999999999</v>
      </c>
      <c r="AJ22" s="376" t="s">
        <v>179</v>
      </c>
      <c r="AK22" s="376" t="s">
        <v>180</v>
      </c>
      <c r="AL22" s="376" t="s">
        <v>181</v>
      </c>
      <c r="AM22" s="376" t="s">
        <v>182</v>
      </c>
      <c r="AN22" s="376" t="s">
        <v>68</v>
      </c>
      <c r="AO22" s="379">
        <v>80</v>
      </c>
      <c r="AP22" s="460">
        <v>1</v>
      </c>
      <c r="AQ22" s="460">
        <v>1</v>
      </c>
      <c r="AR22" s="458" t="s">
        <v>183</v>
      </c>
      <c r="AS22" s="462">
        <f t="shared" si="0"/>
        <v>1</v>
      </c>
      <c r="AT22">
        <f t="shared" si="1"/>
        <v>1</v>
      </c>
      <c r="AU22" s="462">
        <f>IF(AT22=0,"",IF(AND(AT22=1,M22="F",SUMIF(C2:C170,C22,AS2:AS170)&lt;=1),SUMIF(C2:C170,C22,AS2:AS170),IF(AND(AT22=1,M22="F",SUMIF(C2:C170,C22,AS2:AS170)&gt;1),1,"")))</f>
        <v>1</v>
      </c>
      <c r="AV22" s="462" t="str">
        <f>IF(AT22=0,"",IF(AND(AT22=3,M22="F",SUMIF(C2:C170,C22,AS2:AS170)&lt;=1),SUMIF(C2:C170,C22,AS2:AS170),IF(AND(AT22=3,M22="F",SUMIF(C2:C170,C22,AS2:AS170)&gt;1),1,"")))</f>
        <v/>
      </c>
      <c r="AW22" s="462">
        <f>SUMIF(C2:C170,C22,O2:O170)</f>
        <v>2</v>
      </c>
      <c r="AX22" s="462">
        <f>IF(AND(M22="F",AS22&lt;&gt;0),SUMIF(C2:C170,C22,W2:W170),0)</f>
        <v>66331.199999999997</v>
      </c>
      <c r="AY22" s="462">
        <f t="shared" si="2"/>
        <v>66331.199999999997</v>
      </c>
      <c r="AZ22" s="462" t="str">
        <f t="shared" si="3"/>
        <v/>
      </c>
      <c r="BA22" s="462">
        <f t="shared" si="4"/>
        <v>0</v>
      </c>
      <c r="BB22" s="462">
        <f>IF(AND(AT22=1,AK22="E",AU22&gt;=0.75,AW22=1),Health,IF(AND(AT22=1,AK22="E",AU22&gt;=0.75),Health*P22,IF(AND(AT22=1,AK22="E",AU22&gt;=0.5,AW22=1),PTHealth,IF(AND(AT22=1,AK22="E",AU22&gt;=0.5),PTHealth*P22,0))))</f>
        <v>11650</v>
      </c>
      <c r="BC22" s="462">
        <f>IF(AND(AT22=3,AK22="E",AV22&gt;=0.75,AW22=1),Health,IF(AND(AT22=3,AK22="E",AV22&gt;=0.75),Health*P22,IF(AND(AT22=3,AK22="E",AV22&gt;=0.5,AW22=1),PTHealth,IF(AND(AT22=3,AK22="E",AV22&gt;=0.5),PTHealth*P22,0))))</f>
        <v>0</v>
      </c>
      <c r="BD22" s="462">
        <f>IF(AND(AT22&lt;&gt;0,AX22&gt;=MAXSSDI),SSDI*MAXSSDI*P22,IF(AT22&lt;&gt;0,SSDI*W22,0))</f>
        <v>4112.5343999999996</v>
      </c>
      <c r="BE22" s="462">
        <f>IF(AT22&lt;&gt;0,SSHI*W22,0)</f>
        <v>961.80240000000003</v>
      </c>
      <c r="BF22" s="462">
        <f>IF(AND(AT22&lt;&gt;0,AN22&lt;&gt;"NE"),VLOOKUP(AN22,Retirement_Rates,3,FALSE)*W22,0)</f>
        <v>7919.9452799999999</v>
      </c>
      <c r="BG22" s="462">
        <f>IF(AND(AT22&lt;&gt;0,AJ22&lt;&gt;"PF"),Life*W22,0)</f>
        <v>478.247952</v>
      </c>
      <c r="BH22" s="462">
        <f>IF(AND(AT22&lt;&gt;0,AM22="Y"),UI*W22,0)</f>
        <v>325.02287999999999</v>
      </c>
      <c r="BI22" s="462">
        <f>IF(AND(AT22&lt;&gt;0,N22&lt;&gt;"NR"),DHR*W22,0)</f>
        <v>367.47484799999995</v>
      </c>
      <c r="BJ22" s="462">
        <f>IF(AT22&lt;&gt;0,WC*W22,0)</f>
        <v>132.66239999999999</v>
      </c>
      <c r="BK22" s="462">
        <f>IF(OR(AND(AT22&lt;&gt;0,AJ22&lt;&gt;"PF",AN22&lt;&gt;"NE",AG22&lt;&gt;"A"),AND(AL22="E",OR(AT22=1,AT22=3))),Sick*W22,0)</f>
        <v>0</v>
      </c>
      <c r="BL22" s="462">
        <f t="shared" si="5"/>
        <v>14297.690159999998</v>
      </c>
      <c r="BM22" s="462">
        <f t="shared" si="6"/>
        <v>0</v>
      </c>
      <c r="BN22" s="462">
        <f>IF(AND(AT22=1,AK22="E",AU22&gt;=0.75,AW22=1),HealthBY,IF(AND(AT22=1,AK22="E",AU22&gt;=0.75),HealthBY*P22,IF(AND(AT22=1,AK22="E",AU22&gt;=0.5,AW22=1),PTHealthBY,IF(AND(AT22=1,AK22="E",AU22&gt;=0.5),PTHealthBY*P22,0))))</f>
        <v>11650</v>
      </c>
      <c r="BO22" s="462">
        <f>IF(AND(AT22=3,AK22="E",AV22&gt;=0.75,AW22=1),HealthBY,IF(AND(AT22=3,AK22="E",AV22&gt;=0.75),HealthBY*P22,IF(AND(AT22=3,AK22="E",AV22&gt;=0.5,AW22=1),PTHealthBY,IF(AND(AT22=3,AK22="E",AV22&gt;=0.5),PTHealthBY*P22,0))))</f>
        <v>0</v>
      </c>
      <c r="BP22" s="462">
        <f>IF(AND(AT22&lt;&gt;0,(AX22+BA22)&gt;=MAXSSDIBY),SSDIBY*MAXSSDIBY*P22,IF(AT22&lt;&gt;0,SSDIBY*W22,0))</f>
        <v>4112.5343999999996</v>
      </c>
      <c r="BQ22" s="462">
        <f>IF(AT22&lt;&gt;0,SSHIBY*W22,0)</f>
        <v>961.80240000000003</v>
      </c>
      <c r="BR22" s="462">
        <f>IF(AND(AT22&lt;&gt;0,AN22&lt;&gt;"NE"),VLOOKUP(AN22,Retirement_Rates,4,FALSE)*W22,0)</f>
        <v>7919.9452799999999</v>
      </c>
      <c r="BS22" s="462">
        <f>IF(AND(AT22&lt;&gt;0,AJ22&lt;&gt;"PF"),LifeBY*W22,0)</f>
        <v>478.247952</v>
      </c>
      <c r="BT22" s="462">
        <f>IF(AND(AT22&lt;&gt;0,AM22="Y"),UIBY*W22,0)</f>
        <v>0</v>
      </c>
      <c r="BU22" s="462">
        <f>IF(AND(AT22&lt;&gt;0,N22&lt;&gt;"NR"),DHRBY*W22,0)</f>
        <v>367.47484799999995</v>
      </c>
      <c r="BV22" s="462">
        <f>IF(AT22&lt;&gt;0,WCBY*W22,0)</f>
        <v>112.76303999999999</v>
      </c>
      <c r="BW22" s="462">
        <f>IF(OR(AND(AT22&lt;&gt;0,AJ22&lt;&gt;"PF",AN22&lt;&gt;"NE",AG22&lt;&gt;"A"),AND(AL22="E",OR(AT22=1,AT22=3))),SickBY*W22,0)</f>
        <v>0</v>
      </c>
      <c r="BX22" s="462">
        <f t="shared" si="7"/>
        <v>13952.767919999998</v>
      </c>
      <c r="BY22" s="462">
        <f t="shared" si="8"/>
        <v>0</v>
      </c>
      <c r="BZ22" s="462">
        <f t="shared" si="9"/>
        <v>0</v>
      </c>
      <c r="CA22" s="462">
        <f t="shared" si="10"/>
        <v>0</v>
      </c>
      <c r="CB22" s="462">
        <f t="shared" si="11"/>
        <v>0</v>
      </c>
      <c r="CC22" s="462">
        <f>IF(AT22&lt;&gt;0,SSHICHG*Y22,0)</f>
        <v>0</v>
      </c>
      <c r="CD22" s="462">
        <f>IF(AND(AT22&lt;&gt;0,AN22&lt;&gt;"NE"),VLOOKUP(AN22,Retirement_Rates,5,FALSE)*Y22,0)</f>
        <v>0</v>
      </c>
      <c r="CE22" s="462">
        <f>IF(AND(AT22&lt;&gt;0,AJ22&lt;&gt;"PF"),LifeCHG*Y22,0)</f>
        <v>0</v>
      </c>
      <c r="CF22" s="462">
        <f>IF(AND(AT22&lt;&gt;0,AM22="Y"),UICHG*Y22,0)</f>
        <v>-325.02287999999999</v>
      </c>
      <c r="CG22" s="462">
        <f>IF(AND(AT22&lt;&gt;0,N22&lt;&gt;"NR"),DHRCHG*Y22,0)</f>
        <v>0</v>
      </c>
      <c r="CH22" s="462">
        <f>IF(AT22&lt;&gt;0,WCCHG*Y22,0)</f>
        <v>-19.899360000000009</v>
      </c>
      <c r="CI22" s="462">
        <f>IF(OR(AND(AT22&lt;&gt;0,AJ22&lt;&gt;"PF",AN22&lt;&gt;"NE",AG22&lt;&gt;"A"),AND(AL22="E",OR(AT22=1,AT22=3))),SickCHG*Y22,0)</f>
        <v>0</v>
      </c>
      <c r="CJ22" s="462">
        <f t="shared" si="12"/>
        <v>-344.92223999999999</v>
      </c>
      <c r="CK22" s="462" t="str">
        <f t="shared" si="13"/>
        <v/>
      </c>
      <c r="CL22" s="462" t="str">
        <f t="shared" si="14"/>
        <v/>
      </c>
      <c r="CM22" s="462" t="str">
        <f t="shared" si="15"/>
        <v/>
      </c>
      <c r="CN22" s="462" t="str">
        <f t="shared" si="16"/>
        <v>0001-00</v>
      </c>
    </row>
    <row r="23" spans="1:92" ht="15" thickBot="1" x14ac:dyDescent="0.35">
      <c r="A23" s="376" t="s">
        <v>161</v>
      </c>
      <c r="B23" s="376" t="s">
        <v>162</v>
      </c>
      <c r="C23" s="376" t="s">
        <v>312</v>
      </c>
      <c r="D23" s="376" t="s">
        <v>313</v>
      </c>
      <c r="E23" s="376" t="s">
        <v>314</v>
      </c>
      <c r="F23" s="382" t="s">
        <v>315</v>
      </c>
      <c r="G23" s="376" t="s">
        <v>167</v>
      </c>
      <c r="H23" s="378"/>
      <c r="I23" s="378"/>
      <c r="J23" s="376" t="s">
        <v>168</v>
      </c>
      <c r="K23" s="376" t="s">
        <v>316</v>
      </c>
      <c r="L23" s="376" t="s">
        <v>216</v>
      </c>
      <c r="M23" s="376" t="s">
        <v>171</v>
      </c>
      <c r="N23" s="376" t="s">
        <v>172</v>
      </c>
      <c r="O23" s="379">
        <v>1</v>
      </c>
      <c r="P23" s="460">
        <v>1</v>
      </c>
      <c r="Q23" s="460">
        <v>1</v>
      </c>
      <c r="R23" s="380">
        <v>80</v>
      </c>
      <c r="S23" s="460">
        <v>1</v>
      </c>
      <c r="T23" s="380">
        <v>0</v>
      </c>
      <c r="U23" s="380">
        <v>0</v>
      </c>
      <c r="V23" s="380">
        <v>0</v>
      </c>
      <c r="W23" s="380">
        <v>68286.399999999994</v>
      </c>
      <c r="X23" s="380">
        <v>26369.1</v>
      </c>
      <c r="Y23" s="380">
        <v>68286.399999999994</v>
      </c>
      <c r="Z23" s="380">
        <v>26014.01</v>
      </c>
      <c r="AA23" s="376" t="s">
        <v>317</v>
      </c>
      <c r="AB23" s="376" t="s">
        <v>318</v>
      </c>
      <c r="AC23" s="376" t="s">
        <v>319</v>
      </c>
      <c r="AD23" s="376" t="s">
        <v>171</v>
      </c>
      <c r="AE23" s="376" t="s">
        <v>316</v>
      </c>
      <c r="AF23" s="376" t="s">
        <v>311</v>
      </c>
      <c r="AG23" s="376" t="s">
        <v>178</v>
      </c>
      <c r="AH23" s="381">
        <v>32.83</v>
      </c>
      <c r="AI23" s="381">
        <v>2003.1</v>
      </c>
      <c r="AJ23" s="376" t="s">
        <v>179</v>
      </c>
      <c r="AK23" s="376" t="s">
        <v>180</v>
      </c>
      <c r="AL23" s="376" t="s">
        <v>181</v>
      </c>
      <c r="AM23" s="376" t="s">
        <v>182</v>
      </c>
      <c r="AN23" s="376" t="s">
        <v>68</v>
      </c>
      <c r="AO23" s="379">
        <v>80</v>
      </c>
      <c r="AP23" s="460">
        <v>1</v>
      </c>
      <c r="AQ23" s="460">
        <v>1</v>
      </c>
      <c r="AR23" s="458" t="s">
        <v>183</v>
      </c>
      <c r="AS23" s="462">
        <f t="shared" si="0"/>
        <v>1</v>
      </c>
      <c r="AT23">
        <f t="shared" si="1"/>
        <v>1</v>
      </c>
      <c r="AU23" s="462">
        <f>IF(AT23=0,"",IF(AND(AT23=1,M23="F",SUMIF(C2:C170,C23,AS2:AS170)&lt;=1),SUMIF(C2:C170,C23,AS2:AS170),IF(AND(AT23=1,M23="F",SUMIF(C2:C170,C23,AS2:AS170)&gt;1),1,"")))</f>
        <v>1</v>
      </c>
      <c r="AV23" s="462" t="str">
        <f>IF(AT23=0,"",IF(AND(AT23=3,M23="F",SUMIF(C2:C170,C23,AS2:AS170)&lt;=1),SUMIF(C2:C170,C23,AS2:AS170),IF(AND(AT23=3,M23="F",SUMIF(C2:C170,C23,AS2:AS170)&gt;1),1,"")))</f>
        <v/>
      </c>
      <c r="AW23" s="462">
        <f>SUMIF(C2:C170,C23,O2:O170)</f>
        <v>2</v>
      </c>
      <c r="AX23" s="462">
        <f>IF(AND(M23="F",AS23&lt;&gt;0),SUMIF(C2:C170,C23,W2:W170),0)</f>
        <v>68286.399999999994</v>
      </c>
      <c r="AY23" s="462">
        <f t="shared" si="2"/>
        <v>68286.399999999994</v>
      </c>
      <c r="AZ23" s="462" t="str">
        <f t="shared" si="3"/>
        <v/>
      </c>
      <c r="BA23" s="462">
        <f t="shared" si="4"/>
        <v>0</v>
      </c>
      <c r="BB23" s="462">
        <f>IF(AND(AT23=1,AK23="E",AU23&gt;=0.75,AW23=1),Health,IF(AND(AT23=1,AK23="E",AU23&gt;=0.75),Health*P23,IF(AND(AT23=1,AK23="E",AU23&gt;=0.5,AW23=1),PTHealth,IF(AND(AT23=1,AK23="E",AU23&gt;=0.5),PTHealth*P23,0))))</f>
        <v>11650</v>
      </c>
      <c r="BC23" s="462">
        <f>IF(AND(AT23=3,AK23="E",AV23&gt;=0.75,AW23=1),Health,IF(AND(AT23=3,AK23="E",AV23&gt;=0.75),Health*P23,IF(AND(AT23=3,AK23="E",AV23&gt;=0.5,AW23=1),PTHealth,IF(AND(AT23=3,AK23="E",AV23&gt;=0.5),PTHealth*P23,0))))</f>
        <v>0</v>
      </c>
      <c r="BD23" s="462">
        <f>IF(AND(AT23&lt;&gt;0,AX23&gt;=MAXSSDI),SSDI*MAXSSDI*P23,IF(AT23&lt;&gt;0,SSDI*W23,0))</f>
        <v>4233.7567999999992</v>
      </c>
      <c r="BE23" s="462">
        <f>IF(AT23&lt;&gt;0,SSHI*W23,0)</f>
        <v>990.15279999999996</v>
      </c>
      <c r="BF23" s="462">
        <f>IF(AND(AT23&lt;&gt;0,AN23&lt;&gt;"NE"),VLOOKUP(AN23,Retirement_Rates,3,FALSE)*W23,0)</f>
        <v>8153.3961599999993</v>
      </c>
      <c r="BG23" s="462">
        <f>IF(AND(AT23&lt;&gt;0,AJ23&lt;&gt;"PF"),Life*W23,0)</f>
        <v>492.344944</v>
      </c>
      <c r="BH23" s="462">
        <f>IF(AND(AT23&lt;&gt;0,AM23="Y"),UI*W23,0)</f>
        <v>334.60335999999995</v>
      </c>
      <c r="BI23" s="462">
        <f>IF(AND(AT23&lt;&gt;0,N23&lt;&gt;"NR"),DHR*W23,0)</f>
        <v>378.30665599999998</v>
      </c>
      <c r="BJ23" s="462">
        <f>IF(AT23&lt;&gt;0,WC*W23,0)</f>
        <v>136.5728</v>
      </c>
      <c r="BK23" s="462">
        <f>IF(OR(AND(AT23&lt;&gt;0,AJ23&lt;&gt;"PF",AN23&lt;&gt;"NE",AG23&lt;&gt;"A"),AND(AL23="E",OR(AT23=1,AT23=3))),Sick*W23,0)</f>
        <v>0</v>
      </c>
      <c r="BL23" s="462">
        <f t="shared" si="5"/>
        <v>14719.133519999999</v>
      </c>
      <c r="BM23" s="462">
        <f t="shared" si="6"/>
        <v>0</v>
      </c>
      <c r="BN23" s="462">
        <f>IF(AND(AT23=1,AK23="E",AU23&gt;=0.75,AW23=1),HealthBY,IF(AND(AT23=1,AK23="E",AU23&gt;=0.75),HealthBY*P23,IF(AND(AT23=1,AK23="E",AU23&gt;=0.5,AW23=1),PTHealthBY,IF(AND(AT23=1,AK23="E",AU23&gt;=0.5),PTHealthBY*P23,0))))</f>
        <v>11650</v>
      </c>
      <c r="BO23" s="462">
        <f>IF(AND(AT23=3,AK23="E",AV23&gt;=0.75,AW23=1),HealthBY,IF(AND(AT23=3,AK23="E",AV23&gt;=0.75),HealthBY*P23,IF(AND(AT23=3,AK23="E",AV23&gt;=0.5,AW23=1),PTHealthBY,IF(AND(AT23=3,AK23="E",AV23&gt;=0.5),PTHealthBY*P23,0))))</f>
        <v>0</v>
      </c>
      <c r="BP23" s="462">
        <f>IF(AND(AT23&lt;&gt;0,(AX23+BA23)&gt;=MAXSSDIBY),SSDIBY*MAXSSDIBY*P23,IF(AT23&lt;&gt;0,SSDIBY*W23,0))</f>
        <v>4233.7567999999992</v>
      </c>
      <c r="BQ23" s="462">
        <f>IF(AT23&lt;&gt;0,SSHIBY*W23,0)</f>
        <v>990.15279999999996</v>
      </c>
      <c r="BR23" s="462">
        <f>IF(AND(AT23&lt;&gt;0,AN23&lt;&gt;"NE"),VLOOKUP(AN23,Retirement_Rates,4,FALSE)*W23,0)</f>
        <v>8153.3961599999993</v>
      </c>
      <c r="BS23" s="462">
        <f>IF(AND(AT23&lt;&gt;0,AJ23&lt;&gt;"PF"),LifeBY*W23,0)</f>
        <v>492.344944</v>
      </c>
      <c r="BT23" s="462">
        <f>IF(AND(AT23&lt;&gt;0,AM23="Y"),UIBY*W23,0)</f>
        <v>0</v>
      </c>
      <c r="BU23" s="462">
        <f>IF(AND(AT23&lt;&gt;0,N23&lt;&gt;"NR"),DHRBY*W23,0)</f>
        <v>378.30665599999998</v>
      </c>
      <c r="BV23" s="462">
        <f>IF(AT23&lt;&gt;0,WCBY*W23,0)</f>
        <v>116.08687999999998</v>
      </c>
      <c r="BW23" s="462">
        <f>IF(OR(AND(AT23&lt;&gt;0,AJ23&lt;&gt;"PF",AN23&lt;&gt;"NE",AG23&lt;&gt;"A"),AND(AL23="E",OR(AT23=1,AT23=3))),SickBY*W23,0)</f>
        <v>0</v>
      </c>
      <c r="BX23" s="462">
        <f t="shared" si="7"/>
        <v>14364.044240000001</v>
      </c>
      <c r="BY23" s="462">
        <f t="shared" si="8"/>
        <v>0</v>
      </c>
      <c r="BZ23" s="462">
        <f t="shared" si="9"/>
        <v>0</v>
      </c>
      <c r="CA23" s="462">
        <f t="shared" si="10"/>
        <v>0</v>
      </c>
      <c r="CB23" s="462">
        <f t="shared" si="11"/>
        <v>0</v>
      </c>
      <c r="CC23" s="462">
        <f>IF(AT23&lt;&gt;0,SSHICHG*Y23,0)</f>
        <v>0</v>
      </c>
      <c r="CD23" s="462">
        <f>IF(AND(AT23&lt;&gt;0,AN23&lt;&gt;"NE"),VLOOKUP(AN23,Retirement_Rates,5,FALSE)*Y23,0)</f>
        <v>0</v>
      </c>
      <c r="CE23" s="462">
        <f>IF(AND(AT23&lt;&gt;0,AJ23&lt;&gt;"PF"),LifeCHG*Y23,0)</f>
        <v>0</v>
      </c>
      <c r="CF23" s="462">
        <f>IF(AND(AT23&lt;&gt;0,AM23="Y"),UICHG*Y23,0)</f>
        <v>-334.60335999999995</v>
      </c>
      <c r="CG23" s="462">
        <f>IF(AND(AT23&lt;&gt;0,N23&lt;&gt;"NR"),DHRCHG*Y23,0)</f>
        <v>0</v>
      </c>
      <c r="CH23" s="462">
        <f>IF(AT23&lt;&gt;0,WCCHG*Y23,0)</f>
        <v>-20.485920000000007</v>
      </c>
      <c r="CI23" s="462">
        <f>IF(OR(AND(AT23&lt;&gt;0,AJ23&lt;&gt;"PF",AN23&lt;&gt;"NE",AG23&lt;&gt;"A"),AND(AL23="E",OR(AT23=1,AT23=3))),SickCHG*Y23,0)</f>
        <v>0</v>
      </c>
      <c r="CJ23" s="462">
        <f t="shared" si="12"/>
        <v>-355.08927999999997</v>
      </c>
      <c r="CK23" s="462" t="str">
        <f t="shared" si="13"/>
        <v/>
      </c>
      <c r="CL23" s="462" t="str">
        <f t="shared" si="14"/>
        <v/>
      </c>
      <c r="CM23" s="462" t="str">
        <f t="shared" si="15"/>
        <v/>
      </c>
      <c r="CN23" s="462" t="str">
        <f t="shared" si="16"/>
        <v>0450-04</v>
      </c>
    </row>
    <row r="24" spans="1:92" ht="15" thickBot="1" x14ac:dyDescent="0.35">
      <c r="A24" s="376" t="s">
        <v>161</v>
      </c>
      <c r="B24" s="376" t="s">
        <v>162</v>
      </c>
      <c r="C24" s="376" t="s">
        <v>320</v>
      </c>
      <c r="D24" s="376" t="s">
        <v>263</v>
      </c>
      <c r="E24" s="376" t="s">
        <v>314</v>
      </c>
      <c r="F24" s="382" t="s">
        <v>315</v>
      </c>
      <c r="G24" s="376" t="s">
        <v>167</v>
      </c>
      <c r="H24" s="378"/>
      <c r="I24" s="378"/>
      <c r="J24" s="376" t="s">
        <v>168</v>
      </c>
      <c r="K24" s="376" t="s">
        <v>321</v>
      </c>
      <c r="L24" s="376" t="s">
        <v>216</v>
      </c>
      <c r="M24" s="376" t="s">
        <v>171</v>
      </c>
      <c r="N24" s="376" t="s">
        <v>172</v>
      </c>
      <c r="O24" s="379">
        <v>1</v>
      </c>
      <c r="P24" s="460">
        <v>0</v>
      </c>
      <c r="Q24" s="460">
        <v>0</v>
      </c>
      <c r="R24" s="380">
        <v>80</v>
      </c>
      <c r="S24" s="460">
        <v>0</v>
      </c>
      <c r="T24" s="380">
        <v>63924.639999999999</v>
      </c>
      <c r="U24" s="380">
        <v>0</v>
      </c>
      <c r="V24" s="380">
        <v>23912.6</v>
      </c>
      <c r="W24" s="380">
        <v>0</v>
      </c>
      <c r="X24" s="380">
        <v>0</v>
      </c>
      <c r="Y24" s="380">
        <v>0</v>
      </c>
      <c r="Z24" s="380">
        <v>0</v>
      </c>
      <c r="AA24" s="376" t="s">
        <v>322</v>
      </c>
      <c r="AB24" s="376" t="s">
        <v>323</v>
      </c>
      <c r="AC24" s="376" t="s">
        <v>324</v>
      </c>
      <c r="AD24" s="376" t="s">
        <v>325</v>
      </c>
      <c r="AE24" s="376" t="s">
        <v>321</v>
      </c>
      <c r="AF24" s="376" t="s">
        <v>311</v>
      </c>
      <c r="AG24" s="376" t="s">
        <v>178</v>
      </c>
      <c r="AH24" s="381">
        <v>34.619999999999997</v>
      </c>
      <c r="AI24" s="379">
        <v>10044</v>
      </c>
      <c r="AJ24" s="376" t="s">
        <v>179</v>
      </c>
      <c r="AK24" s="376" t="s">
        <v>180</v>
      </c>
      <c r="AL24" s="376" t="s">
        <v>181</v>
      </c>
      <c r="AM24" s="376" t="s">
        <v>182</v>
      </c>
      <c r="AN24" s="376" t="s">
        <v>68</v>
      </c>
      <c r="AO24" s="379">
        <v>80</v>
      </c>
      <c r="AP24" s="460">
        <v>1</v>
      </c>
      <c r="AQ24" s="460">
        <v>0</v>
      </c>
      <c r="AR24" s="458" t="s">
        <v>183</v>
      </c>
      <c r="AS24" s="462">
        <f t="shared" si="0"/>
        <v>0</v>
      </c>
      <c r="AT24">
        <f t="shared" si="1"/>
        <v>0</v>
      </c>
      <c r="AU24" s="462" t="str">
        <f>IF(AT24=0,"",IF(AND(AT24=1,M24="F",SUMIF(C2:C170,C24,AS2:AS170)&lt;=1),SUMIF(C2:C170,C24,AS2:AS170),IF(AND(AT24=1,M24="F",SUMIF(C2:C170,C24,AS2:AS170)&gt;1),1,"")))</f>
        <v/>
      </c>
      <c r="AV24" s="462" t="str">
        <f>IF(AT24=0,"",IF(AND(AT24=3,M24="F",SUMIF(C2:C170,C24,AS2:AS170)&lt;=1),SUMIF(C2:C170,C24,AS2:AS170),IF(AND(AT24=3,M24="F",SUMIF(C2:C170,C24,AS2:AS170)&gt;1),1,"")))</f>
        <v/>
      </c>
      <c r="AW24" s="462">
        <f>SUMIF(C2:C170,C24,O2:O170)</f>
        <v>2</v>
      </c>
      <c r="AX24" s="462">
        <f>IF(AND(M24="F",AS24&lt;&gt;0),SUMIF(C2:C170,C24,W2:W170),0)</f>
        <v>0</v>
      </c>
      <c r="AY24" s="462" t="str">
        <f t="shared" si="2"/>
        <v/>
      </c>
      <c r="AZ24" s="462" t="str">
        <f t="shared" si="3"/>
        <v/>
      </c>
      <c r="BA24" s="462">
        <f t="shared" si="4"/>
        <v>0</v>
      </c>
      <c r="BB24" s="462">
        <f>IF(AND(AT24=1,AK24="E",AU24&gt;=0.75,AW24=1),Health,IF(AND(AT24=1,AK24="E",AU24&gt;=0.75),Health*P24,IF(AND(AT24=1,AK24="E",AU24&gt;=0.5,AW24=1),PTHealth,IF(AND(AT24=1,AK24="E",AU24&gt;=0.5),PTHealth*P24,0))))</f>
        <v>0</v>
      </c>
      <c r="BC24" s="462">
        <f>IF(AND(AT24=3,AK24="E",AV24&gt;=0.75,AW24=1),Health,IF(AND(AT24=3,AK24="E",AV24&gt;=0.75),Health*P24,IF(AND(AT24=3,AK24="E",AV24&gt;=0.5,AW24=1),PTHealth,IF(AND(AT24=3,AK24="E",AV24&gt;=0.5),PTHealth*P24,0))))</f>
        <v>0</v>
      </c>
      <c r="BD24" s="462">
        <f>IF(AND(AT24&lt;&gt;0,AX24&gt;=MAXSSDI),SSDI*MAXSSDI*P24,IF(AT24&lt;&gt;0,SSDI*W24,0))</f>
        <v>0</v>
      </c>
      <c r="BE24" s="462">
        <f>IF(AT24&lt;&gt;0,SSHI*W24,0)</f>
        <v>0</v>
      </c>
      <c r="BF24" s="462">
        <f>IF(AND(AT24&lt;&gt;0,AN24&lt;&gt;"NE"),VLOOKUP(AN24,Retirement_Rates,3,FALSE)*W24,0)</f>
        <v>0</v>
      </c>
      <c r="BG24" s="462">
        <f>IF(AND(AT24&lt;&gt;0,AJ24&lt;&gt;"PF"),Life*W24,0)</f>
        <v>0</v>
      </c>
      <c r="BH24" s="462">
        <f>IF(AND(AT24&lt;&gt;0,AM24="Y"),UI*W24,0)</f>
        <v>0</v>
      </c>
      <c r="BI24" s="462">
        <f>IF(AND(AT24&lt;&gt;0,N24&lt;&gt;"NR"),DHR*W24,0)</f>
        <v>0</v>
      </c>
      <c r="BJ24" s="462">
        <f>IF(AT24&lt;&gt;0,WC*W24,0)</f>
        <v>0</v>
      </c>
      <c r="BK24" s="462">
        <f>IF(OR(AND(AT24&lt;&gt;0,AJ24&lt;&gt;"PF",AN24&lt;&gt;"NE",AG24&lt;&gt;"A"),AND(AL24="E",OR(AT24=1,AT24=3))),Sick*W24,0)</f>
        <v>0</v>
      </c>
      <c r="BL24" s="462">
        <f t="shared" si="5"/>
        <v>0</v>
      </c>
      <c r="BM24" s="462">
        <f t="shared" si="6"/>
        <v>0</v>
      </c>
      <c r="BN24" s="462">
        <f>IF(AND(AT24=1,AK24="E",AU24&gt;=0.75,AW24=1),HealthBY,IF(AND(AT24=1,AK24="E",AU24&gt;=0.75),HealthBY*P24,IF(AND(AT24=1,AK24="E",AU24&gt;=0.5,AW24=1),PTHealthBY,IF(AND(AT24=1,AK24="E",AU24&gt;=0.5),PTHealthBY*P24,0))))</f>
        <v>0</v>
      </c>
      <c r="BO24" s="462">
        <f>IF(AND(AT24=3,AK24="E",AV24&gt;=0.75,AW24=1),HealthBY,IF(AND(AT24=3,AK24="E",AV24&gt;=0.75),HealthBY*P24,IF(AND(AT24=3,AK24="E",AV24&gt;=0.5,AW24=1),PTHealthBY,IF(AND(AT24=3,AK24="E",AV24&gt;=0.5),PTHealthBY*P24,0))))</f>
        <v>0</v>
      </c>
      <c r="BP24" s="462">
        <f>IF(AND(AT24&lt;&gt;0,(AX24+BA24)&gt;=MAXSSDIBY),SSDIBY*MAXSSDIBY*P24,IF(AT24&lt;&gt;0,SSDIBY*W24,0))</f>
        <v>0</v>
      </c>
      <c r="BQ24" s="462">
        <f>IF(AT24&lt;&gt;0,SSHIBY*W24,0)</f>
        <v>0</v>
      </c>
      <c r="BR24" s="462">
        <f>IF(AND(AT24&lt;&gt;0,AN24&lt;&gt;"NE"),VLOOKUP(AN24,Retirement_Rates,4,FALSE)*W24,0)</f>
        <v>0</v>
      </c>
      <c r="BS24" s="462">
        <f>IF(AND(AT24&lt;&gt;0,AJ24&lt;&gt;"PF"),LifeBY*W24,0)</f>
        <v>0</v>
      </c>
      <c r="BT24" s="462">
        <f>IF(AND(AT24&lt;&gt;0,AM24="Y"),UIBY*W24,0)</f>
        <v>0</v>
      </c>
      <c r="BU24" s="462">
        <f>IF(AND(AT24&lt;&gt;0,N24&lt;&gt;"NR"),DHRBY*W24,0)</f>
        <v>0</v>
      </c>
      <c r="BV24" s="462">
        <f>IF(AT24&lt;&gt;0,WCBY*W24,0)</f>
        <v>0</v>
      </c>
      <c r="BW24" s="462">
        <f>IF(OR(AND(AT24&lt;&gt;0,AJ24&lt;&gt;"PF",AN24&lt;&gt;"NE",AG24&lt;&gt;"A"),AND(AL24="E",OR(AT24=1,AT24=3))),SickBY*W24,0)</f>
        <v>0</v>
      </c>
      <c r="BX24" s="462">
        <f t="shared" si="7"/>
        <v>0</v>
      </c>
      <c r="BY24" s="462">
        <f t="shared" si="8"/>
        <v>0</v>
      </c>
      <c r="BZ24" s="462">
        <f t="shared" si="9"/>
        <v>0</v>
      </c>
      <c r="CA24" s="462">
        <f t="shared" si="10"/>
        <v>0</v>
      </c>
      <c r="CB24" s="462">
        <f t="shared" si="11"/>
        <v>0</v>
      </c>
      <c r="CC24" s="462">
        <f>IF(AT24&lt;&gt;0,SSHICHG*Y24,0)</f>
        <v>0</v>
      </c>
      <c r="CD24" s="462">
        <f>IF(AND(AT24&lt;&gt;0,AN24&lt;&gt;"NE"),VLOOKUP(AN24,Retirement_Rates,5,FALSE)*Y24,0)</f>
        <v>0</v>
      </c>
      <c r="CE24" s="462">
        <f>IF(AND(AT24&lt;&gt;0,AJ24&lt;&gt;"PF"),LifeCHG*Y24,0)</f>
        <v>0</v>
      </c>
      <c r="CF24" s="462">
        <f>IF(AND(AT24&lt;&gt;0,AM24="Y"),UICHG*Y24,0)</f>
        <v>0</v>
      </c>
      <c r="CG24" s="462">
        <f>IF(AND(AT24&lt;&gt;0,N24&lt;&gt;"NR"),DHRCHG*Y24,0)</f>
        <v>0</v>
      </c>
      <c r="CH24" s="462">
        <f>IF(AT24&lt;&gt;0,WCCHG*Y24,0)</f>
        <v>0</v>
      </c>
      <c r="CI24" s="462">
        <f>IF(OR(AND(AT24&lt;&gt;0,AJ24&lt;&gt;"PF",AN24&lt;&gt;"NE",AG24&lt;&gt;"A"),AND(AL24="E",OR(AT24=1,AT24=3))),SickCHG*Y24,0)</f>
        <v>0</v>
      </c>
      <c r="CJ24" s="462">
        <f t="shared" si="12"/>
        <v>0</v>
      </c>
      <c r="CK24" s="462" t="str">
        <f t="shared" si="13"/>
        <v/>
      </c>
      <c r="CL24" s="462" t="str">
        <f t="shared" si="14"/>
        <v/>
      </c>
      <c r="CM24" s="462" t="str">
        <f t="shared" si="15"/>
        <v/>
      </c>
      <c r="CN24" s="462" t="str">
        <f t="shared" si="16"/>
        <v>0450-04</v>
      </c>
    </row>
    <row r="25" spans="1:92" ht="15" thickBot="1" x14ac:dyDescent="0.35">
      <c r="A25" s="376" t="s">
        <v>161</v>
      </c>
      <c r="B25" s="376" t="s">
        <v>162</v>
      </c>
      <c r="C25" s="376" t="s">
        <v>326</v>
      </c>
      <c r="D25" s="376" t="s">
        <v>211</v>
      </c>
      <c r="E25" s="376" t="s">
        <v>314</v>
      </c>
      <c r="F25" s="382" t="s">
        <v>315</v>
      </c>
      <c r="G25" s="376" t="s">
        <v>167</v>
      </c>
      <c r="H25" s="378"/>
      <c r="I25" s="378"/>
      <c r="J25" s="376" t="s">
        <v>168</v>
      </c>
      <c r="K25" s="376" t="s">
        <v>212</v>
      </c>
      <c r="L25" s="376" t="s">
        <v>170</v>
      </c>
      <c r="M25" s="376" t="s">
        <v>171</v>
      </c>
      <c r="N25" s="376" t="s">
        <v>172</v>
      </c>
      <c r="O25" s="379">
        <v>1</v>
      </c>
      <c r="P25" s="460">
        <v>0</v>
      </c>
      <c r="Q25" s="460">
        <v>0</v>
      </c>
      <c r="R25" s="380">
        <v>80</v>
      </c>
      <c r="S25" s="460">
        <v>0</v>
      </c>
      <c r="T25" s="380">
        <v>2000</v>
      </c>
      <c r="U25" s="380">
        <v>0</v>
      </c>
      <c r="V25" s="380">
        <v>616.47</v>
      </c>
      <c r="W25" s="380">
        <v>0</v>
      </c>
      <c r="X25" s="380">
        <v>0</v>
      </c>
      <c r="Y25" s="380">
        <v>0</v>
      </c>
      <c r="Z25" s="380">
        <v>0</v>
      </c>
      <c r="AA25" s="376" t="s">
        <v>327</v>
      </c>
      <c r="AB25" s="376" t="s">
        <v>328</v>
      </c>
      <c r="AC25" s="376" t="s">
        <v>329</v>
      </c>
      <c r="AD25" s="376" t="s">
        <v>276</v>
      </c>
      <c r="AE25" s="376" t="s">
        <v>212</v>
      </c>
      <c r="AF25" s="376" t="s">
        <v>177</v>
      </c>
      <c r="AG25" s="376" t="s">
        <v>178</v>
      </c>
      <c r="AH25" s="381">
        <v>44.95</v>
      </c>
      <c r="AI25" s="381">
        <v>24769.8</v>
      </c>
      <c r="AJ25" s="376" t="s">
        <v>179</v>
      </c>
      <c r="AK25" s="376" t="s">
        <v>180</v>
      </c>
      <c r="AL25" s="376" t="s">
        <v>181</v>
      </c>
      <c r="AM25" s="376" t="s">
        <v>182</v>
      </c>
      <c r="AN25" s="376" t="s">
        <v>68</v>
      </c>
      <c r="AO25" s="379">
        <v>80</v>
      </c>
      <c r="AP25" s="460">
        <v>1</v>
      </c>
      <c r="AQ25" s="460">
        <v>0</v>
      </c>
      <c r="AR25" s="458" t="s">
        <v>183</v>
      </c>
      <c r="AS25" s="462">
        <f t="shared" si="0"/>
        <v>0</v>
      </c>
      <c r="AT25">
        <f t="shared" si="1"/>
        <v>0</v>
      </c>
      <c r="AU25" s="462" t="str">
        <f>IF(AT25=0,"",IF(AND(AT25=1,M25="F",SUMIF(C2:C170,C25,AS2:AS170)&lt;=1),SUMIF(C2:C170,C25,AS2:AS170),IF(AND(AT25=1,M25="F",SUMIF(C2:C170,C25,AS2:AS170)&gt;1),1,"")))</f>
        <v/>
      </c>
      <c r="AV25" s="462" t="str">
        <f>IF(AT25=0,"",IF(AND(AT25=3,M25="F",SUMIF(C2:C170,C25,AS2:AS170)&lt;=1),SUMIF(C2:C170,C25,AS2:AS170),IF(AND(AT25=3,M25="F",SUMIF(C2:C170,C25,AS2:AS170)&gt;1),1,"")))</f>
        <v/>
      </c>
      <c r="AW25" s="462">
        <f>SUMIF(C2:C170,C25,O2:O170)</f>
        <v>2</v>
      </c>
      <c r="AX25" s="462">
        <f>IF(AND(M25="F",AS25&lt;&gt;0),SUMIF(C2:C170,C25,W2:W170),0)</f>
        <v>0</v>
      </c>
      <c r="AY25" s="462" t="str">
        <f t="shared" si="2"/>
        <v/>
      </c>
      <c r="AZ25" s="462" t="str">
        <f t="shared" si="3"/>
        <v/>
      </c>
      <c r="BA25" s="462">
        <f t="shared" si="4"/>
        <v>0</v>
      </c>
      <c r="BB25" s="462">
        <f>IF(AND(AT25=1,AK25="E",AU25&gt;=0.75,AW25=1),Health,IF(AND(AT25=1,AK25="E",AU25&gt;=0.75),Health*P25,IF(AND(AT25=1,AK25="E",AU25&gt;=0.5,AW25=1),PTHealth,IF(AND(AT25=1,AK25="E",AU25&gt;=0.5),PTHealth*P25,0))))</f>
        <v>0</v>
      </c>
      <c r="BC25" s="462">
        <f>IF(AND(AT25=3,AK25="E",AV25&gt;=0.75,AW25=1),Health,IF(AND(AT25=3,AK25="E",AV25&gt;=0.75),Health*P25,IF(AND(AT25=3,AK25="E",AV25&gt;=0.5,AW25=1),PTHealth,IF(AND(AT25=3,AK25="E",AV25&gt;=0.5),PTHealth*P25,0))))</f>
        <v>0</v>
      </c>
      <c r="BD25" s="462">
        <f>IF(AND(AT25&lt;&gt;0,AX25&gt;=MAXSSDI),SSDI*MAXSSDI*P25,IF(AT25&lt;&gt;0,SSDI*W25,0))</f>
        <v>0</v>
      </c>
      <c r="BE25" s="462">
        <f>IF(AT25&lt;&gt;0,SSHI*W25,0)</f>
        <v>0</v>
      </c>
      <c r="BF25" s="462">
        <f>IF(AND(AT25&lt;&gt;0,AN25&lt;&gt;"NE"),VLOOKUP(AN25,Retirement_Rates,3,FALSE)*W25,0)</f>
        <v>0</v>
      </c>
      <c r="BG25" s="462">
        <f>IF(AND(AT25&lt;&gt;0,AJ25&lt;&gt;"PF"),Life*W25,0)</f>
        <v>0</v>
      </c>
      <c r="BH25" s="462">
        <f>IF(AND(AT25&lt;&gt;0,AM25="Y"),UI*W25,0)</f>
        <v>0</v>
      </c>
      <c r="BI25" s="462">
        <f>IF(AND(AT25&lt;&gt;0,N25&lt;&gt;"NR"),DHR*W25,0)</f>
        <v>0</v>
      </c>
      <c r="BJ25" s="462">
        <f>IF(AT25&lt;&gt;0,WC*W25,0)</f>
        <v>0</v>
      </c>
      <c r="BK25" s="462">
        <f>IF(OR(AND(AT25&lt;&gt;0,AJ25&lt;&gt;"PF",AN25&lt;&gt;"NE",AG25&lt;&gt;"A"),AND(AL25="E",OR(AT25=1,AT25=3))),Sick*W25,0)</f>
        <v>0</v>
      </c>
      <c r="BL25" s="462">
        <f t="shared" si="5"/>
        <v>0</v>
      </c>
      <c r="BM25" s="462">
        <f t="shared" si="6"/>
        <v>0</v>
      </c>
      <c r="BN25" s="462">
        <f>IF(AND(AT25=1,AK25="E",AU25&gt;=0.75,AW25=1),HealthBY,IF(AND(AT25=1,AK25="E",AU25&gt;=0.75),HealthBY*P25,IF(AND(AT25=1,AK25="E",AU25&gt;=0.5,AW25=1),PTHealthBY,IF(AND(AT25=1,AK25="E",AU25&gt;=0.5),PTHealthBY*P25,0))))</f>
        <v>0</v>
      </c>
      <c r="BO25" s="462">
        <f>IF(AND(AT25=3,AK25="E",AV25&gt;=0.75,AW25=1),HealthBY,IF(AND(AT25=3,AK25="E",AV25&gt;=0.75),HealthBY*P25,IF(AND(AT25=3,AK25="E",AV25&gt;=0.5,AW25=1),PTHealthBY,IF(AND(AT25=3,AK25="E",AV25&gt;=0.5),PTHealthBY*P25,0))))</f>
        <v>0</v>
      </c>
      <c r="BP25" s="462">
        <f>IF(AND(AT25&lt;&gt;0,(AX25+BA25)&gt;=MAXSSDIBY),SSDIBY*MAXSSDIBY*P25,IF(AT25&lt;&gt;0,SSDIBY*W25,0))</f>
        <v>0</v>
      </c>
      <c r="BQ25" s="462">
        <f>IF(AT25&lt;&gt;0,SSHIBY*W25,0)</f>
        <v>0</v>
      </c>
      <c r="BR25" s="462">
        <f>IF(AND(AT25&lt;&gt;0,AN25&lt;&gt;"NE"),VLOOKUP(AN25,Retirement_Rates,4,FALSE)*W25,0)</f>
        <v>0</v>
      </c>
      <c r="BS25" s="462">
        <f>IF(AND(AT25&lt;&gt;0,AJ25&lt;&gt;"PF"),LifeBY*W25,0)</f>
        <v>0</v>
      </c>
      <c r="BT25" s="462">
        <f>IF(AND(AT25&lt;&gt;0,AM25="Y"),UIBY*W25,0)</f>
        <v>0</v>
      </c>
      <c r="BU25" s="462">
        <f>IF(AND(AT25&lt;&gt;0,N25&lt;&gt;"NR"),DHRBY*W25,0)</f>
        <v>0</v>
      </c>
      <c r="BV25" s="462">
        <f>IF(AT25&lt;&gt;0,WCBY*W25,0)</f>
        <v>0</v>
      </c>
      <c r="BW25" s="462">
        <f>IF(OR(AND(AT25&lt;&gt;0,AJ25&lt;&gt;"PF",AN25&lt;&gt;"NE",AG25&lt;&gt;"A"),AND(AL25="E",OR(AT25=1,AT25=3))),SickBY*W25,0)</f>
        <v>0</v>
      </c>
      <c r="BX25" s="462">
        <f t="shared" si="7"/>
        <v>0</v>
      </c>
      <c r="BY25" s="462">
        <f t="shared" si="8"/>
        <v>0</v>
      </c>
      <c r="BZ25" s="462">
        <f t="shared" si="9"/>
        <v>0</v>
      </c>
      <c r="CA25" s="462">
        <f t="shared" si="10"/>
        <v>0</v>
      </c>
      <c r="CB25" s="462">
        <f t="shared" si="11"/>
        <v>0</v>
      </c>
      <c r="CC25" s="462">
        <f>IF(AT25&lt;&gt;0,SSHICHG*Y25,0)</f>
        <v>0</v>
      </c>
      <c r="CD25" s="462">
        <f>IF(AND(AT25&lt;&gt;0,AN25&lt;&gt;"NE"),VLOOKUP(AN25,Retirement_Rates,5,FALSE)*Y25,0)</f>
        <v>0</v>
      </c>
      <c r="CE25" s="462">
        <f>IF(AND(AT25&lt;&gt;0,AJ25&lt;&gt;"PF"),LifeCHG*Y25,0)</f>
        <v>0</v>
      </c>
      <c r="CF25" s="462">
        <f>IF(AND(AT25&lt;&gt;0,AM25="Y"),UICHG*Y25,0)</f>
        <v>0</v>
      </c>
      <c r="CG25" s="462">
        <f>IF(AND(AT25&lt;&gt;0,N25&lt;&gt;"NR"),DHRCHG*Y25,0)</f>
        <v>0</v>
      </c>
      <c r="CH25" s="462">
        <f>IF(AT25&lt;&gt;0,WCCHG*Y25,0)</f>
        <v>0</v>
      </c>
      <c r="CI25" s="462">
        <f>IF(OR(AND(AT25&lt;&gt;0,AJ25&lt;&gt;"PF",AN25&lt;&gt;"NE",AG25&lt;&gt;"A"),AND(AL25="E",OR(AT25=1,AT25=3))),SickCHG*Y25,0)</f>
        <v>0</v>
      </c>
      <c r="CJ25" s="462">
        <f t="shared" si="12"/>
        <v>0</v>
      </c>
      <c r="CK25" s="462" t="str">
        <f t="shared" si="13"/>
        <v/>
      </c>
      <c r="CL25" s="462" t="str">
        <f t="shared" si="14"/>
        <v/>
      </c>
      <c r="CM25" s="462" t="str">
        <f t="shared" si="15"/>
        <v/>
      </c>
      <c r="CN25" s="462" t="str">
        <f t="shared" si="16"/>
        <v>0450-04</v>
      </c>
    </row>
    <row r="26" spans="1:92" ht="15" thickBot="1" x14ac:dyDescent="0.35">
      <c r="A26" s="376" t="s">
        <v>161</v>
      </c>
      <c r="B26" s="376" t="s">
        <v>162</v>
      </c>
      <c r="C26" s="376" t="s">
        <v>330</v>
      </c>
      <c r="D26" s="376" t="s">
        <v>313</v>
      </c>
      <c r="E26" s="376" t="s">
        <v>314</v>
      </c>
      <c r="F26" s="382" t="s">
        <v>315</v>
      </c>
      <c r="G26" s="376" t="s">
        <v>167</v>
      </c>
      <c r="H26" s="378"/>
      <c r="I26" s="378"/>
      <c r="J26" s="376" t="s">
        <v>168</v>
      </c>
      <c r="K26" s="376" t="s">
        <v>316</v>
      </c>
      <c r="L26" s="376" t="s">
        <v>216</v>
      </c>
      <c r="M26" s="376" t="s">
        <v>171</v>
      </c>
      <c r="N26" s="376" t="s">
        <v>172</v>
      </c>
      <c r="O26" s="379">
        <v>1</v>
      </c>
      <c r="P26" s="460">
        <v>0</v>
      </c>
      <c r="Q26" s="460">
        <v>0</v>
      </c>
      <c r="R26" s="380">
        <v>80</v>
      </c>
      <c r="S26" s="460">
        <v>0</v>
      </c>
      <c r="T26" s="380">
        <v>0</v>
      </c>
      <c r="U26" s="380">
        <v>0</v>
      </c>
      <c r="V26" s="380">
        <v>23.97</v>
      </c>
      <c r="W26" s="380">
        <v>0</v>
      </c>
      <c r="X26" s="380">
        <v>0</v>
      </c>
      <c r="Y26" s="380">
        <v>0</v>
      </c>
      <c r="Z26" s="380">
        <v>0</v>
      </c>
      <c r="AA26" s="376" t="s">
        <v>331</v>
      </c>
      <c r="AB26" s="376" t="s">
        <v>332</v>
      </c>
      <c r="AC26" s="376" t="s">
        <v>333</v>
      </c>
      <c r="AD26" s="376" t="s">
        <v>334</v>
      </c>
      <c r="AE26" s="376" t="s">
        <v>316</v>
      </c>
      <c r="AF26" s="376" t="s">
        <v>311</v>
      </c>
      <c r="AG26" s="376" t="s">
        <v>178</v>
      </c>
      <c r="AH26" s="381">
        <v>31.15</v>
      </c>
      <c r="AI26" s="381">
        <v>6266.2</v>
      </c>
      <c r="AJ26" s="376" t="s">
        <v>179</v>
      </c>
      <c r="AK26" s="376" t="s">
        <v>180</v>
      </c>
      <c r="AL26" s="376" t="s">
        <v>181</v>
      </c>
      <c r="AM26" s="376" t="s">
        <v>182</v>
      </c>
      <c r="AN26" s="376" t="s">
        <v>68</v>
      </c>
      <c r="AO26" s="379">
        <v>80</v>
      </c>
      <c r="AP26" s="460">
        <v>1</v>
      </c>
      <c r="AQ26" s="460">
        <v>0</v>
      </c>
      <c r="AR26" s="458" t="s">
        <v>183</v>
      </c>
      <c r="AS26" s="462">
        <f t="shared" si="0"/>
        <v>0</v>
      </c>
      <c r="AT26">
        <f t="shared" si="1"/>
        <v>0</v>
      </c>
      <c r="AU26" s="462" t="str">
        <f>IF(AT26=0,"",IF(AND(AT26=1,M26="F",SUMIF(C2:C170,C26,AS2:AS170)&lt;=1),SUMIF(C2:C170,C26,AS2:AS170),IF(AND(AT26=1,M26="F",SUMIF(C2:C170,C26,AS2:AS170)&gt;1),1,"")))</f>
        <v/>
      </c>
      <c r="AV26" s="462" t="str">
        <f>IF(AT26=0,"",IF(AND(AT26=3,M26="F",SUMIF(C2:C170,C26,AS2:AS170)&lt;=1),SUMIF(C2:C170,C26,AS2:AS170),IF(AND(AT26=3,M26="F",SUMIF(C2:C170,C26,AS2:AS170)&gt;1),1,"")))</f>
        <v/>
      </c>
      <c r="AW26" s="462">
        <f>SUMIF(C2:C170,C26,O2:O170)</f>
        <v>2</v>
      </c>
      <c r="AX26" s="462">
        <f>IF(AND(M26="F",AS26&lt;&gt;0),SUMIF(C2:C170,C26,W2:W170),0)</f>
        <v>0</v>
      </c>
      <c r="AY26" s="462" t="str">
        <f t="shared" si="2"/>
        <v/>
      </c>
      <c r="AZ26" s="462" t="str">
        <f t="shared" si="3"/>
        <v/>
      </c>
      <c r="BA26" s="462">
        <f t="shared" si="4"/>
        <v>0</v>
      </c>
      <c r="BB26" s="462">
        <f>IF(AND(AT26=1,AK26="E",AU26&gt;=0.75,AW26=1),Health,IF(AND(AT26=1,AK26="E",AU26&gt;=0.75),Health*P26,IF(AND(AT26=1,AK26="E",AU26&gt;=0.5,AW26=1),PTHealth,IF(AND(AT26=1,AK26="E",AU26&gt;=0.5),PTHealth*P26,0))))</f>
        <v>0</v>
      </c>
      <c r="BC26" s="462">
        <f>IF(AND(AT26=3,AK26="E",AV26&gt;=0.75,AW26=1),Health,IF(AND(AT26=3,AK26="E",AV26&gt;=0.75),Health*P26,IF(AND(AT26=3,AK26="E",AV26&gt;=0.5,AW26=1),PTHealth,IF(AND(AT26=3,AK26="E",AV26&gt;=0.5),PTHealth*P26,0))))</f>
        <v>0</v>
      </c>
      <c r="BD26" s="462">
        <f>IF(AND(AT26&lt;&gt;0,AX26&gt;=MAXSSDI),SSDI*MAXSSDI*P26,IF(AT26&lt;&gt;0,SSDI*W26,0))</f>
        <v>0</v>
      </c>
      <c r="BE26" s="462">
        <f>IF(AT26&lt;&gt;0,SSHI*W26,0)</f>
        <v>0</v>
      </c>
      <c r="BF26" s="462">
        <f>IF(AND(AT26&lt;&gt;0,AN26&lt;&gt;"NE"),VLOOKUP(AN26,Retirement_Rates,3,FALSE)*W26,0)</f>
        <v>0</v>
      </c>
      <c r="BG26" s="462">
        <f>IF(AND(AT26&lt;&gt;0,AJ26&lt;&gt;"PF"),Life*W26,0)</f>
        <v>0</v>
      </c>
      <c r="BH26" s="462">
        <f>IF(AND(AT26&lt;&gt;0,AM26="Y"),UI*W26,0)</f>
        <v>0</v>
      </c>
      <c r="BI26" s="462">
        <f>IF(AND(AT26&lt;&gt;0,N26&lt;&gt;"NR"),DHR*W26,0)</f>
        <v>0</v>
      </c>
      <c r="BJ26" s="462">
        <f>IF(AT26&lt;&gt;0,WC*W26,0)</f>
        <v>0</v>
      </c>
      <c r="BK26" s="462">
        <f>IF(OR(AND(AT26&lt;&gt;0,AJ26&lt;&gt;"PF",AN26&lt;&gt;"NE",AG26&lt;&gt;"A"),AND(AL26="E",OR(AT26=1,AT26=3))),Sick*W26,0)</f>
        <v>0</v>
      </c>
      <c r="BL26" s="462">
        <f t="shared" si="5"/>
        <v>0</v>
      </c>
      <c r="BM26" s="462">
        <f t="shared" si="6"/>
        <v>0</v>
      </c>
      <c r="BN26" s="462">
        <f>IF(AND(AT26=1,AK26="E",AU26&gt;=0.75,AW26=1),HealthBY,IF(AND(AT26=1,AK26="E",AU26&gt;=0.75),HealthBY*P26,IF(AND(AT26=1,AK26="E",AU26&gt;=0.5,AW26=1),PTHealthBY,IF(AND(AT26=1,AK26="E",AU26&gt;=0.5),PTHealthBY*P26,0))))</f>
        <v>0</v>
      </c>
      <c r="BO26" s="462">
        <f>IF(AND(AT26=3,AK26="E",AV26&gt;=0.75,AW26=1),HealthBY,IF(AND(AT26=3,AK26="E",AV26&gt;=0.75),HealthBY*P26,IF(AND(AT26=3,AK26="E",AV26&gt;=0.5,AW26=1),PTHealthBY,IF(AND(AT26=3,AK26="E",AV26&gt;=0.5),PTHealthBY*P26,0))))</f>
        <v>0</v>
      </c>
      <c r="BP26" s="462">
        <f>IF(AND(AT26&lt;&gt;0,(AX26+BA26)&gt;=MAXSSDIBY),SSDIBY*MAXSSDIBY*P26,IF(AT26&lt;&gt;0,SSDIBY*W26,0))</f>
        <v>0</v>
      </c>
      <c r="BQ26" s="462">
        <f>IF(AT26&lt;&gt;0,SSHIBY*W26,0)</f>
        <v>0</v>
      </c>
      <c r="BR26" s="462">
        <f>IF(AND(AT26&lt;&gt;0,AN26&lt;&gt;"NE"),VLOOKUP(AN26,Retirement_Rates,4,FALSE)*W26,0)</f>
        <v>0</v>
      </c>
      <c r="BS26" s="462">
        <f>IF(AND(AT26&lt;&gt;0,AJ26&lt;&gt;"PF"),LifeBY*W26,0)</f>
        <v>0</v>
      </c>
      <c r="BT26" s="462">
        <f>IF(AND(AT26&lt;&gt;0,AM26="Y"),UIBY*W26,0)</f>
        <v>0</v>
      </c>
      <c r="BU26" s="462">
        <f>IF(AND(AT26&lt;&gt;0,N26&lt;&gt;"NR"),DHRBY*W26,0)</f>
        <v>0</v>
      </c>
      <c r="BV26" s="462">
        <f>IF(AT26&lt;&gt;0,WCBY*W26,0)</f>
        <v>0</v>
      </c>
      <c r="BW26" s="462">
        <f>IF(OR(AND(AT26&lt;&gt;0,AJ26&lt;&gt;"PF",AN26&lt;&gt;"NE",AG26&lt;&gt;"A"),AND(AL26="E",OR(AT26=1,AT26=3))),SickBY*W26,0)</f>
        <v>0</v>
      </c>
      <c r="BX26" s="462">
        <f t="shared" si="7"/>
        <v>0</v>
      </c>
      <c r="BY26" s="462">
        <f t="shared" si="8"/>
        <v>0</v>
      </c>
      <c r="BZ26" s="462">
        <f t="shared" si="9"/>
        <v>0</v>
      </c>
      <c r="CA26" s="462">
        <f t="shared" si="10"/>
        <v>0</v>
      </c>
      <c r="CB26" s="462">
        <f t="shared" si="11"/>
        <v>0</v>
      </c>
      <c r="CC26" s="462">
        <f>IF(AT26&lt;&gt;0,SSHICHG*Y26,0)</f>
        <v>0</v>
      </c>
      <c r="CD26" s="462">
        <f>IF(AND(AT26&lt;&gt;0,AN26&lt;&gt;"NE"),VLOOKUP(AN26,Retirement_Rates,5,FALSE)*Y26,0)</f>
        <v>0</v>
      </c>
      <c r="CE26" s="462">
        <f>IF(AND(AT26&lt;&gt;0,AJ26&lt;&gt;"PF"),LifeCHG*Y26,0)</f>
        <v>0</v>
      </c>
      <c r="CF26" s="462">
        <f>IF(AND(AT26&lt;&gt;0,AM26="Y"),UICHG*Y26,0)</f>
        <v>0</v>
      </c>
      <c r="CG26" s="462">
        <f>IF(AND(AT26&lt;&gt;0,N26&lt;&gt;"NR"),DHRCHG*Y26,0)</f>
        <v>0</v>
      </c>
      <c r="CH26" s="462">
        <f>IF(AT26&lt;&gt;0,WCCHG*Y26,0)</f>
        <v>0</v>
      </c>
      <c r="CI26" s="462">
        <f>IF(OR(AND(AT26&lt;&gt;0,AJ26&lt;&gt;"PF",AN26&lt;&gt;"NE",AG26&lt;&gt;"A"),AND(AL26="E",OR(AT26=1,AT26=3))),SickCHG*Y26,0)</f>
        <v>0</v>
      </c>
      <c r="CJ26" s="462">
        <f t="shared" si="12"/>
        <v>0</v>
      </c>
      <c r="CK26" s="462" t="str">
        <f t="shared" si="13"/>
        <v/>
      </c>
      <c r="CL26" s="462" t="str">
        <f t="shared" si="14"/>
        <v/>
      </c>
      <c r="CM26" s="462" t="str">
        <f t="shared" si="15"/>
        <v/>
      </c>
      <c r="CN26" s="462" t="str">
        <f t="shared" si="16"/>
        <v>0450-04</v>
      </c>
    </row>
    <row r="27" spans="1:92" ht="15" thickBot="1" x14ac:dyDescent="0.35">
      <c r="A27" s="376" t="s">
        <v>161</v>
      </c>
      <c r="B27" s="376" t="s">
        <v>162</v>
      </c>
      <c r="C27" s="376" t="s">
        <v>335</v>
      </c>
      <c r="D27" s="376" t="s">
        <v>263</v>
      </c>
      <c r="E27" s="376" t="s">
        <v>314</v>
      </c>
      <c r="F27" s="382" t="s">
        <v>315</v>
      </c>
      <c r="G27" s="376" t="s">
        <v>167</v>
      </c>
      <c r="H27" s="378"/>
      <c r="I27" s="378"/>
      <c r="J27" s="376" t="s">
        <v>168</v>
      </c>
      <c r="K27" s="376" t="s">
        <v>321</v>
      </c>
      <c r="L27" s="376" t="s">
        <v>216</v>
      </c>
      <c r="M27" s="376" t="s">
        <v>171</v>
      </c>
      <c r="N27" s="376" t="s">
        <v>172</v>
      </c>
      <c r="O27" s="379">
        <v>1</v>
      </c>
      <c r="P27" s="460">
        <v>0</v>
      </c>
      <c r="Q27" s="460">
        <v>0</v>
      </c>
      <c r="R27" s="380">
        <v>80</v>
      </c>
      <c r="S27" s="460">
        <v>0</v>
      </c>
      <c r="T27" s="380">
        <v>66146.740000000005</v>
      </c>
      <c r="U27" s="380">
        <v>0</v>
      </c>
      <c r="V27" s="380">
        <v>25303.27</v>
      </c>
      <c r="W27" s="380">
        <v>0</v>
      </c>
      <c r="X27" s="380">
        <v>0</v>
      </c>
      <c r="Y27" s="380">
        <v>0</v>
      </c>
      <c r="Z27" s="380">
        <v>0</v>
      </c>
      <c r="AA27" s="376" t="s">
        <v>336</v>
      </c>
      <c r="AB27" s="376" t="s">
        <v>337</v>
      </c>
      <c r="AC27" s="376" t="s">
        <v>338</v>
      </c>
      <c r="AD27" s="376" t="s">
        <v>339</v>
      </c>
      <c r="AE27" s="376" t="s">
        <v>321</v>
      </c>
      <c r="AF27" s="376" t="s">
        <v>311</v>
      </c>
      <c r="AG27" s="376" t="s">
        <v>178</v>
      </c>
      <c r="AH27" s="381">
        <v>32.17</v>
      </c>
      <c r="AI27" s="381">
        <v>4190.2</v>
      </c>
      <c r="AJ27" s="376" t="s">
        <v>179</v>
      </c>
      <c r="AK27" s="376" t="s">
        <v>180</v>
      </c>
      <c r="AL27" s="376" t="s">
        <v>181</v>
      </c>
      <c r="AM27" s="376" t="s">
        <v>182</v>
      </c>
      <c r="AN27" s="376" t="s">
        <v>68</v>
      </c>
      <c r="AO27" s="379">
        <v>80</v>
      </c>
      <c r="AP27" s="460">
        <v>1</v>
      </c>
      <c r="AQ27" s="460">
        <v>0</v>
      </c>
      <c r="AR27" s="458" t="s">
        <v>183</v>
      </c>
      <c r="AS27" s="462">
        <f t="shared" si="0"/>
        <v>0</v>
      </c>
      <c r="AT27">
        <f t="shared" si="1"/>
        <v>0</v>
      </c>
      <c r="AU27" s="462" t="str">
        <f>IF(AT27=0,"",IF(AND(AT27=1,M27="F",SUMIF(C2:C170,C27,AS2:AS170)&lt;=1),SUMIF(C2:C170,C27,AS2:AS170),IF(AND(AT27=1,M27="F",SUMIF(C2:C170,C27,AS2:AS170)&gt;1),1,"")))</f>
        <v/>
      </c>
      <c r="AV27" s="462" t="str">
        <f>IF(AT27=0,"",IF(AND(AT27=3,M27="F",SUMIF(C2:C170,C27,AS2:AS170)&lt;=1),SUMIF(C2:C170,C27,AS2:AS170),IF(AND(AT27=3,M27="F",SUMIF(C2:C170,C27,AS2:AS170)&gt;1),1,"")))</f>
        <v/>
      </c>
      <c r="AW27" s="462">
        <f>SUMIF(C2:C170,C27,O2:O170)</f>
        <v>2</v>
      </c>
      <c r="AX27" s="462">
        <f>IF(AND(M27="F",AS27&lt;&gt;0),SUMIF(C2:C170,C27,W2:W170),0)</f>
        <v>0</v>
      </c>
      <c r="AY27" s="462" t="str">
        <f t="shared" si="2"/>
        <v/>
      </c>
      <c r="AZ27" s="462" t="str">
        <f t="shared" si="3"/>
        <v/>
      </c>
      <c r="BA27" s="462">
        <f t="shared" si="4"/>
        <v>0</v>
      </c>
      <c r="BB27" s="462">
        <f>IF(AND(AT27=1,AK27="E",AU27&gt;=0.75,AW27=1),Health,IF(AND(AT27=1,AK27="E",AU27&gt;=0.75),Health*P27,IF(AND(AT27=1,AK27="E",AU27&gt;=0.5,AW27=1),PTHealth,IF(AND(AT27=1,AK27="E",AU27&gt;=0.5),PTHealth*P27,0))))</f>
        <v>0</v>
      </c>
      <c r="BC27" s="462">
        <f>IF(AND(AT27=3,AK27="E",AV27&gt;=0.75,AW27=1),Health,IF(AND(AT27=3,AK27="E",AV27&gt;=0.75),Health*P27,IF(AND(AT27=3,AK27="E",AV27&gt;=0.5,AW27=1),PTHealth,IF(AND(AT27=3,AK27="E",AV27&gt;=0.5),PTHealth*P27,0))))</f>
        <v>0</v>
      </c>
      <c r="BD27" s="462">
        <f>IF(AND(AT27&lt;&gt;0,AX27&gt;=MAXSSDI),SSDI*MAXSSDI*P27,IF(AT27&lt;&gt;0,SSDI*W27,0))</f>
        <v>0</v>
      </c>
      <c r="BE27" s="462">
        <f>IF(AT27&lt;&gt;0,SSHI*W27,0)</f>
        <v>0</v>
      </c>
      <c r="BF27" s="462">
        <f>IF(AND(AT27&lt;&gt;0,AN27&lt;&gt;"NE"),VLOOKUP(AN27,Retirement_Rates,3,FALSE)*W27,0)</f>
        <v>0</v>
      </c>
      <c r="BG27" s="462">
        <f>IF(AND(AT27&lt;&gt;0,AJ27&lt;&gt;"PF"),Life*W27,0)</f>
        <v>0</v>
      </c>
      <c r="BH27" s="462">
        <f>IF(AND(AT27&lt;&gt;0,AM27="Y"),UI*W27,0)</f>
        <v>0</v>
      </c>
      <c r="BI27" s="462">
        <f>IF(AND(AT27&lt;&gt;0,N27&lt;&gt;"NR"),DHR*W27,0)</f>
        <v>0</v>
      </c>
      <c r="BJ27" s="462">
        <f>IF(AT27&lt;&gt;0,WC*W27,0)</f>
        <v>0</v>
      </c>
      <c r="BK27" s="462">
        <f>IF(OR(AND(AT27&lt;&gt;0,AJ27&lt;&gt;"PF",AN27&lt;&gt;"NE",AG27&lt;&gt;"A"),AND(AL27="E",OR(AT27=1,AT27=3))),Sick*W27,0)</f>
        <v>0</v>
      </c>
      <c r="BL27" s="462">
        <f t="shared" si="5"/>
        <v>0</v>
      </c>
      <c r="BM27" s="462">
        <f t="shared" si="6"/>
        <v>0</v>
      </c>
      <c r="BN27" s="462">
        <f>IF(AND(AT27=1,AK27="E",AU27&gt;=0.75,AW27=1),HealthBY,IF(AND(AT27=1,AK27="E",AU27&gt;=0.75),HealthBY*P27,IF(AND(AT27=1,AK27="E",AU27&gt;=0.5,AW27=1),PTHealthBY,IF(AND(AT27=1,AK27="E",AU27&gt;=0.5),PTHealthBY*P27,0))))</f>
        <v>0</v>
      </c>
      <c r="BO27" s="462">
        <f>IF(AND(AT27=3,AK27="E",AV27&gt;=0.75,AW27=1),HealthBY,IF(AND(AT27=3,AK27="E",AV27&gt;=0.75),HealthBY*P27,IF(AND(AT27=3,AK27="E",AV27&gt;=0.5,AW27=1),PTHealthBY,IF(AND(AT27=3,AK27="E",AV27&gt;=0.5),PTHealthBY*P27,0))))</f>
        <v>0</v>
      </c>
      <c r="BP27" s="462">
        <f>IF(AND(AT27&lt;&gt;0,(AX27+BA27)&gt;=MAXSSDIBY),SSDIBY*MAXSSDIBY*P27,IF(AT27&lt;&gt;0,SSDIBY*W27,0))</f>
        <v>0</v>
      </c>
      <c r="BQ27" s="462">
        <f>IF(AT27&lt;&gt;0,SSHIBY*W27,0)</f>
        <v>0</v>
      </c>
      <c r="BR27" s="462">
        <f>IF(AND(AT27&lt;&gt;0,AN27&lt;&gt;"NE"),VLOOKUP(AN27,Retirement_Rates,4,FALSE)*W27,0)</f>
        <v>0</v>
      </c>
      <c r="BS27" s="462">
        <f>IF(AND(AT27&lt;&gt;0,AJ27&lt;&gt;"PF"),LifeBY*W27,0)</f>
        <v>0</v>
      </c>
      <c r="BT27" s="462">
        <f>IF(AND(AT27&lt;&gt;0,AM27="Y"),UIBY*W27,0)</f>
        <v>0</v>
      </c>
      <c r="BU27" s="462">
        <f>IF(AND(AT27&lt;&gt;0,N27&lt;&gt;"NR"),DHRBY*W27,0)</f>
        <v>0</v>
      </c>
      <c r="BV27" s="462">
        <f>IF(AT27&lt;&gt;0,WCBY*W27,0)</f>
        <v>0</v>
      </c>
      <c r="BW27" s="462">
        <f>IF(OR(AND(AT27&lt;&gt;0,AJ27&lt;&gt;"PF",AN27&lt;&gt;"NE",AG27&lt;&gt;"A"),AND(AL27="E",OR(AT27=1,AT27=3))),SickBY*W27,0)</f>
        <v>0</v>
      </c>
      <c r="BX27" s="462">
        <f t="shared" si="7"/>
        <v>0</v>
      </c>
      <c r="BY27" s="462">
        <f t="shared" si="8"/>
        <v>0</v>
      </c>
      <c r="BZ27" s="462">
        <f t="shared" si="9"/>
        <v>0</v>
      </c>
      <c r="CA27" s="462">
        <f t="shared" si="10"/>
        <v>0</v>
      </c>
      <c r="CB27" s="462">
        <f t="shared" si="11"/>
        <v>0</v>
      </c>
      <c r="CC27" s="462">
        <f>IF(AT27&lt;&gt;0,SSHICHG*Y27,0)</f>
        <v>0</v>
      </c>
      <c r="CD27" s="462">
        <f>IF(AND(AT27&lt;&gt;0,AN27&lt;&gt;"NE"),VLOOKUP(AN27,Retirement_Rates,5,FALSE)*Y27,0)</f>
        <v>0</v>
      </c>
      <c r="CE27" s="462">
        <f>IF(AND(AT27&lt;&gt;0,AJ27&lt;&gt;"PF"),LifeCHG*Y27,0)</f>
        <v>0</v>
      </c>
      <c r="CF27" s="462">
        <f>IF(AND(AT27&lt;&gt;0,AM27="Y"),UICHG*Y27,0)</f>
        <v>0</v>
      </c>
      <c r="CG27" s="462">
        <f>IF(AND(AT27&lt;&gt;0,N27&lt;&gt;"NR"),DHRCHG*Y27,0)</f>
        <v>0</v>
      </c>
      <c r="CH27" s="462">
        <f>IF(AT27&lt;&gt;0,WCCHG*Y27,0)</f>
        <v>0</v>
      </c>
      <c r="CI27" s="462">
        <f>IF(OR(AND(AT27&lt;&gt;0,AJ27&lt;&gt;"PF",AN27&lt;&gt;"NE",AG27&lt;&gt;"A"),AND(AL27="E",OR(AT27=1,AT27=3))),SickCHG*Y27,0)</f>
        <v>0</v>
      </c>
      <c r="CJ27" s="462">
        <f t="shared" si="12"/>
        <v>0</v>
      </c>
      <c r="CK27" s="462" t="str">
        <f t="shared" si="13"/>
        <v/>
      </c>
      <c r="CL27" s="462" t="str">
        <f t="shared" si="14"/>
        <v/>
      </c>
      <c r="CM27" s="462" t="str">
        <f t="shared" si="15"/>
        <v/>
      </c>
      <c r="CN27" s="462" t="str">
        <f t="shared" si="16"/>
        <v>0450-04</v>
      </c>
    </row>
    <row r="28" spans="1:92" ht="15" thickBot="1" x14ac:dyDescent="0.35">
      <c r="A28" s="376" t="s">
        <v>161</v>
      </c>
      <c r="B28" s="376" t="s">
        <v>162</v>
      </c>
      <c r="C28" s="376" t="s">
        <v>340</v>
      </c>
      <c r="D28" s="376" t="s">
        <v>263</v>
      </c>
      <c r="E28" s="376" t="s">
        <v>314</v>
      </c>
      <c r="F28" s="382" t="s">
        <v>315</v>
      </c>
      <c r="G28" s="376" t="s">
        <v>167</v>
      </c>
      <c r="H28" s="378"/>
      <c r="I28" s="378"/>
      <c r="J28" s="376" t="s">
        <v>168</v>
      </c>
      <c r="K28" s="376" t="s">
        <v>321</v>
      </c>
      <c r="L28" s="376" t="s">
        <v>216</v>
      </c>
      <c r="M28" s="376" t="s">
        <v>171</v>
      </c>
      <c r="N28" s="376" t="s">
        <v>172</v>
      </c>
      <c r="O28" s="379">
        <v>1</v>
      </c>
      <c r="P28" s="460">
        <v>0</v>
      </c>
      <c r="Q28" s="460">
        <v>0</v>
      </c>
      <c r="R28" s="380">
        <v>80</v>
      </c>
      <c r="S28" s="460">
        <v>0</v>
      </c>
      <c r="T28" s="380">
        <v>30844.799999999999</v>
      </c>
      <c r="U28" s="380">
        <v>0</v>
      </c>
      <c r="V28" s="380">
        <v>13194.93</v>
      </c>
      <c r="W28" s="380">
        <v>0</v>
      </c>
      <c r="X28" s="380">
        <v>0</v>
      </c>
      <c r="Y28" s="380">
        <v>0</v>
      </c>
      <c r="Z28" s="380">
        <v>0</v>
      </c>
      <c r="AA28" s="376" t="s">
        <v>341</v>
      </c>
      <c r="AB28" s="376" t="s">
        <v>342</v>
      </c>
      <c r="AC28" s="376" t="s">
        <v>189</v>
      </c>
      <c r="AD28" s="376" t="s">
        <v>180</v>
      </c>
      <c r="AE28" s="376" t="s">
        <v>321</v>
      </c>
      <c r="AF28" s="376" t="s">
        <v>311</v>
      </c>
      <c r="AG28" s="376" t="s">
        <v>178</v>
      </c>
      <c r="AH28" s="381">
        <v>32.130000000000003</v>
      </c>
      <c r="AI28" s="379">
        <v>1040</v>
      </c>
      <c r="AJ28" s="376" t="s">
        <v>179</v>
      </c>
      <c r="AK28" s="376" t="s">
        <v>180</v>
      </c>
      <c r="AL28" s="376" t="s">
        <v>181</v>
      </c>
      <c r="AM28" s="376" t="s">
        <v>182</v>
      </c>
      <c r="AN28" s="376" t="s">
        <v>68</v>
      </c>
      <c r="AO28" s="379">
        <v>80</v>
      </c>
      <c r="AP28" s="460">
        <v>1</v>
      </c>
      <c r="AQ28" s="460">
        <v>0</v>
      </c>
      <c r="AR28" s="458" t="s">
        <v>183</v>
      </c>
      <c r="AS28" s="462">
        <f t="shared" si="0"/>
        <v>0</v>
      </c>
      <c r="AT28">
        <f t="shared" si="1"/>
        <v>0</v>
      </c>
      <c r="AU28" s="462" t="str">
        <f>IF(AT28=0,"",IF(AND(AT28=1,M28="F",SUMIF(C2:C170,C28,AS2:AS170)&lt;=1),SUMIF(C2:C170,C28,AS2:AS170),IF(AND(AT28=1,M28="F",SUMIF(C2:C170,C28,AS2:AS170)&gt;1),1,"")))</f>
        <v/>
      </c>
      <c r="AV28" s="462" t="str">
        <f>IF(AT28=0,"",IF(AND(AT28=3,M28="F",SUMIF(C2:C170,C28,AS2:AS170)&lt;=1),SUMIF(C2:C170,C28,AS2:AS170),IF(AND(AT28=3,M28="F",SUMIF(C2:C170,C28,AS2:AS170)&gt;1),1,"")))</f>
        <v/>
      </c>
      <c r="AW28" s="462">
        <f>SUMIF(C2:C170,C28,O2:O170)</f>
        <v>2</v>
      </c>
      <c r="AX28" s="462">
        <f>IF(AND(M28="F",AS28&lt;&gt;0),SUMIF(C2:C170,C28,W2:W170),0)</f>
        <v>0</v>
      </c>
      <c r="AY28" s="462" t="str">
        <f t="shared" si="2"/>
        <v/>
      </c>
      <c r="AZ28" s="462" t="str">
        <f t="shared" si="3"/>
        <v/>
      </c>
      <c r="BA28" s="462">
        <f t="shared" si="4"/>
        <v>0</v>
      </c>
      <c r="BB28" s="462">
        <f>IF(AND(AT28=1,AK28="E",AU28&gt;=0.75,AW28=1),Health,IF(AND(AT28=1,AK28="E",AU28&gt;=0.75),Health*P28,IF(AND(AT28=1,AK28="E",AU28&gt;=0.5,AW28=1),PTHealth,IF(AND(AT28=1,AK28="E",AU28&gt;=0.5),PTHealth*P28,0))))</f>
        <v>0</v>
      </c>
      <c r="BC28" s="462">
        <f>IF(AND(AT28=3,AK28="E",AV28&gt;=0.75,AW28=1),Health,IF(AND(AT28=3,AK28="E",AV28&gt;=0.75),Health*P28,IF(AND(AT28=3,AK28="E",AV28&gt;=0.5,AW28=1),PTHealth,IF(AND(AT28=3,AK28="E",AV28&gt;=0.5),PTHealth*P28,0))))</f>
        <v>0</v>
      </c>
      <c r="BD28" s="462">
        <f>IF(AND(AT28&lt;&gt;0,AX28&gt;=MAXSSDI),SSDI*MAXSSDI*P28,IF(AT28&lt;&gt;0,SSDI*W28,0))</f>
        <v>0</v>
      </c>
      <c r="BE28" s="462">
        <f>IF(AT28&lt;&gt;0,SSHI*W28,0)</f>
        <v>0</v>
      </c>
      <c r="BF28" s="462">
        <f>IF(AND(AT28&lt;&gt;0,AN28&lt;&gt;"NE"),VLOOKUP(AN28,Retirement_Rates,3,FALSE)*W28,0)</f>
        <v>0</v>
      </c>
      <c r="BG28" s="462">
        <f>IF(AND(AT28&lt;&gt;0,AJ28&lt;&gt;"PF"),Life*W28,0)</f>
        <v>0</v>
      </c>
      <c r="BH28" s="462">
        <f>IF(AND(AT28&lt;&gt;0,AM28="Y"),UI*W28,0)</f>
        <v>0</v>
      </c>
      <c r="BI28" s="462">
        <f>IF(AND(AT28&lt;&gt;0,N28&lt;&gt;"NR"),DHR*W28,0)</f>
        <v>0</v>
      </c>
      <c r="BJ28" s="462">
        <f>IF(AT28&lt;&gt;0,WC*W28,0)</f>
        <v>0</v>
      </c>
      <c r="BK28" s="462">
        <f>IF(OR(AND(AT28&lt;&gt;0,AJ28&lt;&gt;"PF",AN28&lt;&gt;"NE",AG28&lt;&gt;"A"),AND(AL28="E",OR(AT28=1,AT28=3))),Sick*W28,0)</f>
        <v>0</v>
      </c>
      <c r="BL28" s="462">
        <f t="shared" si="5"/>
        <v>0</v>
      </c>
      <c r="BM28" s="462">
        <f t="shared" si="6"/>
        <v>0</v>
      </c>
      <c r="BN28" s="462">
        <f>IF(AND(AT28=1,AK28="E",AU28&gt;=0.75,AW28=1),HealthBY,IF(AND(AT28=1,AK28="E",AU28&gt;=0.75),HealthBY*P28,IF(AND(AT28=1,AK28="E",AU28&gt;=0.5,AW28=1),PTHealthBY,IF(AND(AT28=1,AK28="E",AU28&gt;=0.5),PTHealthBY*P28,0))))</f>
        <v>0</v>
      </c>
      <c r="BO28" s="462">
        <f>IF(AND(AT28=3,AK28="E",AV28&gt;=0.75,AW28=1),HealthBY,IF(AND(AT28=3,AK28="E",AV28&gt;=0.75),HealthBY*P28,IF(AND(AT28=3,AK28="E",AV28&gt;=0.5,AW28=1),PTHealthBY,IF(AND(AT28=3,AK28="E",AV28&gt;=0.5),PTHealthBY*P28,0))))</f>
        <v>0</v>
      </c>
      <c r="BP28" s="462">
        <f>IF(AND(AT28&lt;&gt;0,(AX28+BA28)&gt;=MAXSSDIBY),SSDIBY*MAXSSDIBY*P28,IF(AT28&lt;&gt;0,SSDIBY*W28,0))</f>
        <v>0</v>
      </c>
      <c r="BQ28" s="462">
        <f>IF(AT28&lt;&gt;0,SSHIBY*W28,0)</f>
        <v>0</v>
      </c>
      <c r="BR28" s="462">
        <f>IF(AND(AT28&lt;&gt;0,AN28&lt;&gt;"NE"),VLOOKUP(AN28,Retirement_Rates,4,FALSE)*W28,0)</f>
        <v>0</v>
      </c>
      <c r="BS28" s="462">
        <f>IF(AND(AT28&lt;&gt;0,AJ28&lt;&gt;"PF"),LifeBY*W28,0)</f>
        <v>0</v>
      </c>
      <c r="BT28" s="462">
        <f>IF(AND(AT28&lt;&gt;0,AM28="Y"),UIBY*W28,0)</f>
        <v>0</v>
      </c>
      <c r="BU28" s="462">
        <f>IF(AND(AT28&lt;&gt;0,N28&lt;&gt;"NR"),DHRBY*W28,0)</f>
        <v>0</v>
      </c>
      <c r="BV28" s="462">
        <f>IF(AT28&lt;&gt;0,WCBY*W28,0)</f>
        <v>0</v>
      </c>
      <c r="BW28" s="462">
        <f>IF(OR(AND(AT28&lt;&gt;0,AJ28&lt;&gt;"PF",AN28&lt;&gt;"NE",AG28&lt;&gt;"A"),AND(AL28="E",OR(AT28=1,AT28=3))),SickBY*W28,0)</f>
        <v>0</v>
      </c>
      <c r="BX28" s="462">
        <f t="shared" si="7"/>
        <v>0</v>
      </c>
      <c r="BY28" s="462">
        <f t="shared" si="8"/>
        <v>0</v>
      </c>
      <c r="BZ28" s="462">
        <f t="shared" si="9"/>
        <v>0</v>
      </c>
      <c r="CA28" s="462">
        <f t="shared" si="10"/>
        <v>0</v>
      </c>
      <c r="CB28" s="462">
        <f t="shared" si="11"/>
        <v>0</v>
      </c>
      <c r="CC28" s="462">
        <f>IF(AT28&lt;&gt;0,SSHICHG*Y28,0)</f>
        <v>0</v>
      </c>
      <c r="CD28" s="462">
        <f>IF(AND(AT28&lt;&gt;0,AN28&lt;&gt;"NE"),VLOOKUP(AN28,Retirement_Rates,5,FALSE)*Y28,0)</f>
        <v>0</v>
      </c>
      <c r="CE28" s="462">
        <f>IF(AND(AT28&lt;&gt;0,AJ28&lt;&gt;"PF"),LifeCHG*Y28,0)</f>
        <v>0</v>
      </c>
      <c r="CF28" s="462">
        <f>IF(AND(AT28&lt;&gt;0,AM28="Y"),UICHG*Y28,0)</f>
        <v>0</v>
      </c>
      <c r="CG28" s="462">
        <f>IF(AND(AT28&lt;&gt;0,N28&lt;&gt;"NR"),DHRCHG*Y28,0)</f>
        <v>0</v>
      </c>
      <c r="CH28" s="462">
        <f>IF(AT28&lt;&gt;0,WCCHG*Y28,0)</f>
        <v>0</v>
      </c>
      <c r="CI28" s="462">
        <f>IF(OR(AND(AT28&lt;&gt;0,AJ28&lt;&gt;"PF",AN28&lt;&gt;"NE",AG28&lt;&gt;"A"),AND(AL28="E",OR(AT28=1,AT28=3))),SickCHG*Y28,0)</f>
        <v>0</v>
      </c>
      <c r="CJ28" s="462">
        <f t="shared" si="12"/>
        <v>0</v>
      </c>
      <c r="CK28" s="462" t="str">
        <f t="shared" si="13"/>
        <v/>
      </c>
      <c r="CL28" s="462" t="str">
        <f t="shared" si="14"/>
        <v/>
      </c>
      <c r="CM28" s="462" t="str">
        <f t="shared" si="15"/>
        <v/>
      </c>
      <c r="CN28" s="462" t="str">
        <f t="shared" si="16"/>
        <v>0450-04</v>
      </c>
    </row>
    <row r="29" spans="1:92" ht="15" thickBot="1" x14ac:dyDescent="0.35">
      <c r="A29" s="376" t="s">
        <v>161</v>
      </c>
      <c r="B29" s="376" t="s">
        <v>162</v>
      </c>
      <c r="C29" s="376" t="s">
        <v>343</v>
      </c>
      <c r="D29" s="376" t="s">
        <v>313</v>
      </c>
      <c r="E29" s="376" t="s">
        <v>314</v>
      </c>
      <c r="F29" s="382" t="s">
        <v>315</v>
      </c>
      <c r="G29" s="376" t="s">
        <v>167</v>
      </c>
      <c r="H29" s="378"/>
      <c r="I29" s="378"/>
      <c r="J29" s="376" t="s">
        <v>168</v>
      </c>
      <c r="K29" s="376" t="s">
        <v>344</v>
      </c>
      <c r="L29" s="376" t="s">
        <v>181</v>
      </c>
      <c r="M29" s="376" t="s">
        <v>171</v>
      </c>
      <c r="N29" s="376" t="s">
        <v>172</v>
      </c>
      <c r="O29" s="379">
        <v>1</v>
      </c>
      <c r="P29" s="460">
        <v>1</v>
      </c>
      <c r="Q29" s="460">
        <v>1</v>
      </c>
      <c r="R29" s="380">
        <v>80</v>
      </c>
      <c r="S29" s="460">
        <v>1</v>
      </c>
      <c r="T29" s="380">
        <v>0</v>
      </c>
      <c r="U29" s="380">
        <v>0</v>
      </c>
      <c r="V29" s="380">
        <v>22.89</v>
      </c>
      <c r="W29" s="380">
        <v>86299.199999999997</v>
      </c>
      <c r="X29" s="380">
        <v>30251.75</v>
      </c>
      <c r="Y29" s="380">
        <v>86299.199999999997</v>
      </c>
      <c r="Z29" s="380">
        <v>29803</v>
      </c>
      <c r="AA29" s="376" t="s">
        <v>345</v>
      </c>
      <c r="AB29" s="376" t="s">
        <v>346</v>
      </c>
      <c r="AC29" s="376" t="s">
        <v>347</v>
      </c>
      <c r="AD29" s="376" t="s">
        <v>348</v>
      </c>
      <c r="AE29" s="376" t="s">
        <v>344</v>
      </c>
      <c r="AF29" s="376" t="s">
        <v>349</v>
      </c>
      <c r="AG29" s="376" t="s">
        <v>178</v>
      </c>
      <c r="AH29" s="381">
        <v>41.49</v>
      </c>
      <c r="AI29" s="381">
        <v>26481.5</v>
      </c>
      <c r="AJ29" s="376" t="s">
        <v>179</v>
      </c>
      <c r="AK29" s="376" t="s">
        <v>180</v>
      </c>
      <c r="AL29" s="376" t="s">
        <v>181</v>
      </c>
      <c r="AM29" s="376" t="s">
        <v>182</v>
      </c>
      <c r="AN29" s="376" t="s">
        <v>68</v>
      </c>
      <c r="AO29" s="379">
        <v>80</v>
      </c>
      <c r="AP29" s="460">
        <v>1</v>
      </c>
      <c r="AQ29" s="460">
        <v>1</v>
      </c>
      <c r="AR29" s="458" t="s">
        <v>183</v>
      </c>
      <c r="AS29" s="462">
        <f t="shared" si="0"/>
        <v>1</v>
      </c>
      <c r="AT29">
        <f t="shared" si="1"/>
        <v>1</v>
      </c>
      <c r="AU29" s="462">
        <f>IF(AT29=0,"",IF(AND(AT29=1,M29="F",SUMIF(C2:C170,C29,AS2:AS170)&lt;=1),SUMIF(C2:C170,C29,AS2:AS170),IF(AND(AT29=1,M29="F",SUMIF(C2:C170,C29,AS2:AS170)&gt;1),1,"")))</f>
        <v>1</v>
      </c>
      <c r="AV29" s="462" t="str">
        <f>IF(AT29=0,"",IF(AND(AT29=3,M29="F",SUMIF(C2:C170,C29,AS2:AS170)&lt;=1),SUMIF(C2:C170,C29,AS2:AS170),IF(AND(AT29=3,M29="F",SUMIF(C2:C170,C29,AS2:AS170)&gt;1),1,"")))</f>
        <v/>
      </c>
      <c r="AW29" s="462">
        <f>SUMIF(C2:C170,C29,O2:O170)</f>
        <v>2</v>
      </c>
      <c r="AX29" s="462">
        <f>IF(AND(M29="F",AS29&lt;&gt;0),SUMIF(C2:C170,C29,W2:W170),0)</f>
        <v>86299.199999999997</v>
      </c>
      <c r="AY29" s="462">
        <f t="shared" si="2"/>
        <v>86299.199999999997</v>
      </c>
      <c r="AZ29" s="462" t="str">
        <f t="shared" si="3"/>
        <v/>
      </c>
      <c r="BA29" s="462">
        <f t="shared" si="4"/>
        <v>0</v>
      </c>
      <c r="BB29" s="462">
        <f>IF(AND(AT29=1,AK29="E",AU29&gt;=0.75,AW29=1),Health,IF(AND(AT29=1,AK29="E",AU29&gt;=0.75),Health*P29,IF(AND(AT29=1,AK29="E",AU29&gt;=0.5,AW29=1),PTHealth,IF(AND(AT29=1,AK29="E",AU29&gt;=0.5),PTHealth*P29,0))))</f>
        <v>11650</v>
      </c>
      <c r="BC29" s="462">
        <f>IF(AND(AT29=3,AK29="E",AV29&gt;=0.75,AW29=1),Health,IF(AND(AT29=3,AK29="E",AV29&gt;=0.75),Health*P29,IF(AND(AT29=3,AK29="E",AV29&gt;=0.5,AW29=1),PTHealth,IF(AND(AT29=3,AK29="E",AV29&gt;=0.5),PTHealth*P29,0))))</f>
        <v>0</v>
      </c>
      <c r="BD29" s="462">
        <f>IF(AND(AT29&lt;&gt;0,AX29&gt;=MAXSSDI),SSDI*MAXSSDI*P29,IF(AT29&lt;&gt;0,SSDI*W29,0))</f>
        <v>5350.5504000000001</v>
      </c>
      <c r="BE29" s="462">
        <f>IF(AT29&lt;&gt;0,SSHI*W29,0)</f>
        <v>1251.3384000000001</v>
      </c>
      <c r="BF29" s="462">
        <f>IF(AND(AT29&lt;&gt;0,AN29&lt;&gt;"NE"),VLOOKUP(AN29,Retirement_Rates,3,FALSE)*W29,0)</f>
        <v>10304.12448</v>
      </c>
      <c r="BG29" s="462">
        <f>IF(AND(AT29&lt;&gt;0,AJ29&lt;&gt;"PF"),Life*W29,0)</f>
        <v>622.21723199999997</v>
      </c>
      <c r="BH29" s="462">
        <f>IF(AND(AT29&lt;&gt;0,AM29="Y"),UI*W29,0)</f>
        <v>422.86607999999995</v>
      </c>
      <c r="BI29" s="462">
        <f>IF(AND(AT29&lt;&gt;0,N29&lt;&gt;"NR"),DHR*W29,0)</f>
        <v>478.09756799999997</v>
      </c>
      <c r="BJ29" s="462">
        <f>IF(AT29&lt;&gt;0,WC*W29,0)</f>
        <v>172.5984</v>
      </c>
      <c r="BK29" s="462">
        <f>IF(OR(AND(AT29&lt;&gt;0,AJ29&lt;&gt;"PF",AN29&lt;&gt;"NE",AG29&lt;&gt;"A"),AND(AL29="E",OR(AT29=1,AT29=3))),Sick*W29,0)</f>
        <v>0</v>
      </c>
      <c r="BL29" s="462">
        <f t="shared" si="5"/>
        <v>18601.792559999998</v>
      </c>
      <c r="BM29" s="462">
        <f t="shared" si="6"/>
        <v>0</v>
      </c>
      <c r="BN29" s="462">
        <f>IF(AND(AT29=1,AK29="E",AU29&gt;=0.75,AW29=1),HealthBY,IF(AND(AT29=1,AK29="E",AU29&gt;=0.75),HealthBY*P29,IF(AND(AT29=1,AK29="E",AU29&gt;=0.5,AW29=1),PTHealthBY,IF(AND(AT29=1,AK29="E",AU29&gt;=0.5),PTHealthBY*P29,0))))</f>
        <v>11650</v>
      </c>
      <c r="BO29" s="462">
        <f>IF(AND(AT29=3,AK29="E",AV29&gt;=0.75,AW29=1),HealthBY,IF(AND(AT29=3,AK29="E",AV29&gt;=0.75),HealthBY*P29,IF(AND(AT29=3,AK29="E",AV29&gt;=0.5,AW29=1),PTHealthBY,IF(AND(AT29=3,AK29="E",AV29&gt;=0.5),PTHealthBY*P29,0))))</f>
        <v>0</v>
      </c>
      <c r="BP29" s="462">
        <f>IF(AND(AT29&lt;&gt;0,(AX29+BA29)&gt;=MAXSSDIBY),SSDIBY*MAXSSDIBY*P29,IF(AT29&lt;&gt;0,SSDIBY*W29,0))</f>
        <v>5350.5504000000001</v>
      </c>
      <c r="BQ29" s="462">
        <f>IF(AT29&lt;&gt;0,SSHIBY*W29,0)</f>
        <v>1251.3384000000001</v>
      </c>
      <c r="BR29" s="462">
        <f>IF(AND(AT29&lt;&gt;0,AN29&lt;&gt;"NE"),VLOOKUP(AN29,Retirement_Rates,4,FALSE)*W29,0)</f>
        <v>10304.12448</v>
      </c>
      <c r="BS29" s="462">
        <f>IF(AND(AT29&lt;&gt;0,AJ29&lt;&gt;"PF"),LifeBY*W29,0)</f>
        <v>622.21723199999997</v>
      </c>
      <c r="BT29" s="462">
        <f>IF(AND(AT29&lt;&gt;0,AM29="Y"),UIBY*W29,0)</f>
        <v>0</v>
      </c>
      <c r="BU29" s="462">
        <f>IF(AND(AT29&lt;&gt;0,N29&lt;&gt;"NR"),DHRBY*W29,0)</f>
        <v>478.09756799999997</v>
      </c>
      <c r="BV29" s="462">
        <f>IF(AT29&lt;&gt;0,WCBY*W29,0)</f>
        <v>146.70863999999997</v>
      </c>
      <c r="BW29" s="462">
        <f>IF(OR(AND(AT29&lt;&gt;0,AJ29&lt;&gt;"PF",AN29&lt;&gt;"NE",AG29&lt;&gt;"A"),AND(AL29="E",OR(AT29=1,AT29=3))),SickBY*W29,0)</f>
        <v>0</v>
      </c>
      <c r="BX29" s="462">
        <f t="shared" si="7"/>
        <v>18153.03672</v>
      </c>
      <c r="BY29" s="462">
        <f t="shared" si="8"/>
        <v>0</v>
      </c>
      <c r="BZ29" s="462">
        <f t="shared" si="9"/>
        <v>0</v>
      </c>
      <c r="CA29" s="462">
        <f t="shared" si="10"/>
        <v>0</v>
      </c>
      <c r="CB29" s="462">
        <f t="shared" si="11"/>
        <v>0</v>
      </c>
      <c r="CC29" s="462">
        <f>IF(AT29&lt;&gt;0,SSHICHG*Y29,0)</f>
        <v>0</v>
      </c>
      <c r="CD29" s="462">
        <f>IF(AND(AT29&lt;&gt;0,AN29&lt;&gt;"NE"),VLOOKUP(AN29,Retirement_Rates,5,FALSE)*Y29,0)</f>
        <v>0</v>
      </c>
      <c r="CE29" s="462">
        <f>IF(AND(AT29&lt;&gt;0,AJ29&lt;&gt;"PF"),LifeCHG*Y29,0)</f>
        <v>0</v>
      </c>
      <c r="CF29" s="462">
        <f>IF(AND(AT29&lt;&gt;0,AM29="Y"),UICHG*Y29,0)</f>
        <v>-422.86607999999995</v>
      </c>
      <c r="CG29" s="462">
        <f>IF(AND(AT29&lt;&gt;0,N29&lt;&gt;"NR"),DHRCHG*Y29,0)</f>
        <v>0</v>
      </c>
      <c r="CH29" s="462">
        <f>IF(AT29&lt;&gt;0,WCCHG*Y29,0)</f>
        <v>-25.88976000000001</v>
      </c>
      <c r="CI29" s="462">
        <f>IF(OR(AND(AT29&lt;&gt;0,AJ29&lt;&gt;"PF",AN29&lt;&gt;"NE",AG29&lt;&gt;"A"),AND(AL29="E",OR(AT29=1,AT29=3))),SickCHG*Y29,0)</f>
        <v>0</v>
      </c>
      <c r="CJ29" s="462">
        <f t="shared" si="12"/>
        <v>-448.75583999999998</v>
      </c>
      <c r="CK29" s="462" t="str">
        <f t="shared" si="13"/>
        <v/>
      </c>
      <c r="CL29" s="462" t="str">
        <f t="shared" si="14"/>
        <v/>
      </c>
      <c r="CM29" s="462" t="str">
        <f t="shared" si="15"/>
        <v/>
      </c>
      <c r="CN29" s="462" t="str">
        <f t="shared" si="16"/>
        <v>0450-04</v>
      </c>
    </row>
    <row r="30" spans="1:92" ht="15" thickBot="1" x14ac:dyDescent="0.35">
      <c r="A30" s="376" t="s">
        <v>161</v>
      </c>
      <c r="B30" s="376" t="s">
        <v>162</v>
      </c>
      <c r="C30" s="376" t="s">
        <v>350</v>
      </c>
      <c r="D30" s="376" t="s">
        <v>263</v>
      </c>
      <c r="E30" s="376" t="s">
        <v>314</v>
      </c>
      <c r="F30" s="382" t="s">
        <v>315</v>
      </c>
      <c r="G30" s="376" t="s">
        <v>167</v>
      </c>
      <c r="H30" s="378"/>
      <c r="I30" s="378"/>
      <c r="J30" s="376" t="s">
        <v>168</v>
      </c>
      <c r="K30" s="376" t="s">
        <v>321</v>
      </c>
      <c r="L30" s="376" t="s">
        <v>216</v>
      </c>
      <c r="M30" s="376" t="s">
        <v>171</v>
      </c>
      <c r="N30" s="376" t="s">
        <v>172</v>
      </c>
      <c r="O30" s="379">
        <v>1</v>
      </c>
      <c r="P30" s="460">
        <v>1</v>
      </c>
      <c r="Q30" s="460">
        <v>1</v>
      </c>
      <c r="R30" s="380">
        <v>80</v>
      </c>
      <c r="S30" s="460">
        <v>1</v>
      </c>
      <c r="T30" s="380">
        <v>0</v>
      </c>
      <c r="U30" s="380">
        <v>0</v>
      </c>
      <c r="V30" s="380">
        <v>0</v>
      </c>
      <c r="W30" s="380">
        <v>78936</v>
      </c>
      <c r="X30" s="380">
        <v>28664.62</v>
      </c>
      <c r="Y30" s="380">
        <v>78936</v>
      </c>
      <c r="Z30" s="380">
        <v>28254.16</v>
      </c>
      <c r="AA30" s="376" t="s">
        <v>351</v>
      </c>
      <c r="AB30" s="376" t="s">
        <v>352</v>
      </c>
      <c r="AC30" s="376" t="s">
        <v>269</v>
      </c>
      <c r="AD30" s="376" t="s">
        <v>353</v>
      </c>
      <c r="AE30" s="376" t="s">
        <v>321</v>
      </c>
      <c r="AF30" s="376" t="s">
        <v>311</v>
      </c>
      <c r="AG30" s="376" t="s">
        <v>178</v>
      </c>
      <c r="AH30" s="381">
        <v>37.950000000000003</v>
      </c>
      <c r="AI30" s="381">
        <v>58495.4</v>
      </c>
      <c r="AJ30" s="376" t="s">
        <v>179</v>
      </c>
      <c r="AK30" s="376" t="s">
        <v>180</v>
      </c>
      <c r="AL30" s="376" t="s">
        <v>181</v>
      </c>
      <c r="AM30" s="376" t="s">
        <v>182</v>
      </c>
      <c r="AN30" s="376" t="s">
        <v>68</v>
      </c>
      <c r="AO30" s="379">
        <v>80</v>
      </c>
      <c r="AP30" s="460">
        <v>1</v>
      </c>
      <c r="AQ30" s="460">
        <v>1</v>
      </c>
      <c r="AR30" s="458" t="s">
        <v>183</v>
      </c>
      <c r="AS30" s="462">
        <f t="shared" si="0"/>
        <v>1</v>
      </c>
      <c r="AT30">
        <f t="shared" si="1"/>
        <v>1</v>
      </c>
      <c r="AU30" s="462">
        <f>IF(AT30=0,"",IF(AND(AT30=1,M30="F",SUMIF(C2:C170,C30,AS2:AS170)&lt;=1),SUMIF(C2:C170,C30,AS2:AS170),IF(AND(AT30=1,M30="F",SUMIF(C2:C170,C30,AS2:AS170)&gt;1),1,"")))</f>
        <v>1</v>
      </c>
      <c r="AV30" s="462" t="str">
        <f>IF(AT30=0,"",IF(AND(AT30=3,M30="F",SUMIF(C2:C170,C30,AS2:AS170)&lt;=1),SUMIF(C2:C170,C30,AS2:AS170),IF(AND(AT30=3,M30="F",SUMIF(C2:C170,C30,AS2:AS170)&gt;1),1,"")))</f>
        <v/>
      </c>
      <c r="AW30" s="462">
        <f>SUMIF(C2:C170,C30,O2:O170)</f>
        <v>2</v>
      </c>
      <c r="AX30" s="462">
        <f>IF(AND(M30="F",AS30&lt;&gt;0),SUMIF(C2:C170,C30,W2:W170),0)</f>
        <v>78936</v>
      </c>
      <c r="AY30" s="462">
        <f t="shared" si="2"/>
        <v>78936</v>
      </c>
      <c r="AZ30" s="462" t="str">
        <f t="shared" si="3"/>
        <v/>
      </c>
      <c r="BA30" s="462">
        <f t="shared" si="4"/>
        <v>0</v>
      </c>
      <c r="BB30" s="462">
        <f>IF(AND(AT30=1,AK30="E",AU30&gt;=0.75,AW30=1),Health,IF(AND(AT30=1,AK30="E",AU30&gt;=0.75),Health*P30,IF(AND(AT30=1,AK30="E",AU30&gt;=0.5,AW30=1),PTHealth,IF(AND(AT30=1,AK30="E",AU30&gt;=0.5),PTHealth*P30,0))))</f>
        <v>11650</v>
      </c>
      <c r="BC30" s="462">
        <f>IF(AND(AT30=3,AK30="E",AV30&gt;=0.75,AW30=1),Health,IF(AND(AT30=3,AK30="E",AV30&gt;=0.75),Health*P30,IF(AND(AT30=3,AK30="E",AV30&gt;=0.5,AW30=1),PTHealth,IF(AND(AT30=3,AK30="E",AV30&gt;=0.5),PTHealth*P30,0))))</f>
        <v>0</v>
      </c>
      <c r="BD30" s="462">
        <f>IF(AND(AT30&lt;&gt;0,AX30&gt;=MAXSSDI),SSDI*MAXSSDI*P30,IF(AT30&lt;&gt;0,SSDI*W30,0))</f>
        <v>4894.0320000000002</v>
      </c>
      <c r="BE30" s="462">
        <f>IF(AT30&lt;&gt;0,SSHI*W30,0)</f>
        <v>1144.5720000000001</v>
      </c>
      <c r="BF30" s="462">
        <f>IF(AND(AT30&lt;&gt;0,AN30&lt;&gt;"NE"),VLOOKUP(AN30,Retirement_Rates,3,FALSE)*W30,0)</f>
        <v>9424.9584000000013</v>
      </c>
      <c r="BG30" s="462">
        <f>IF(AND(AT30&lt;&gt;0,AJ30&lt;&gt;"PF"),Life*W30,0)</f>
        <v>569.12855999999999</v>
      </c>
      <c r="BH30" s="462">
        <f>IF(AND(AT30&lt;&gt;0,AM30="Y"),UI*W30,0)</f>
        <v>386.78640000000001</v>
      </c>
      <c r="BI30" s="462">
        <f>IF(AND(AT30&lt;&gt;0,N30&lt;&gt;"NR"),DHR*W30,0)</f>
        <v>437.30543999999998</v>
      </c>
      <c r="BJ30" s="462">
        <f>IF(AT30&lt;&gt;0,WC*W30,0)</f>
        <v>157.87200000000001</v>
      </c>
      <c r="BK30" s="462">
        <f>IF(OR(AND(AT30&lt;&gt;0,AJ30&lt;&gt;"PF",AN30&lt;&gt;"NE",AG30&lt;&gt;"A"),AND(AL30="E",OR(AT30=1,AT30=3))),Sick*W30,0)</f>
        <v>0</v>
      </c>
      <c r="BL30" s="462">
        <f t="shared" si="5"/>
        <v>17014.6548</v>
      </c>
      <c r="BM30" s="462">
        <f t="shared" si="6"/>
        <v>0</v>
      </c>
      <c r="BN30" s="462">
        <f>IF(AND(AT30=1,AK30="E",AU30&gt;=0.75,AW30=1),HealthBY,IF(AND(AT30=1,AK30="E",AU30&gt;=0.75),HealthBY*P30,IF(AND(AT30=1,AK30="E",AU30&gt;=0.5,AW30=1),PTHealthBY,IF(AND(AT30=1,AK30="E",AU30&gt;=0.5),PTHealthBY*P30,0))))</f>
        <v>11650</v>
      </c>
      <c r="BO30" s="462">
        <f>IF(AND(AT30=3,AK30="E",AV30&gt;=0.75,AW30=1),HealthBY,IF(AND(AT30=3,AK30="E",AV30&gt;=0.75),HealthBY*P30,IF(AND(AT30=3,AK30="E",AV30&gt;=0.5,AW30=1),PTHealthBY,IF(AND(AT30=3,AK30="E",AV30&gt;=0.5),PTHealthBY*P30,0))))</f>
        <v>0</v>
      </c>
      <c r="BP30" s="462">
        <f>IF(AND(AT30&lt;&gt;0,(AX30+BA30)&gt;=MAXSSDIBY),SSDIBY*MAXSSDIBY*P30,IF(AT30&lt;&gt;0,SSDIBY*W30,0))</f>
        <v>4894.0320000000002</v>
      </c>
      <c r="BQ30" s="462">
        <f>IF(AT30&lt;&gt;0,SSHIBY*W30,0)</f>
        <v>1144.5720000000001</v>
      </c>
      <c r="BR30" s="462">
        <f>IF(AND(AT30&lt;&gt;0,AN30&lt;&gt;"NE"),VLOOKUP(AN30,Retirement_Rates,4,FALSE)*W30,0)</f>
        <v>9424.9584000000013</v>
      </c>
      <c r="BS30" s="462">
        <f>IF(AND(AT30&lt;&gt;0,AJ30&lt;&gt;"PF"),LifeBY*W30,0)</f>
        <v>569.12855999999999</v>
      </c>
      <c r="BT30" s="462">
        <f>IF(AND(AT30&lt;&gt;0,AM30="Y"),UIBY*W30,0)</f>
        <v>0</v>
      </c>
      <c r="BU30" s="462">
        <f>IF(AND(AT30&lt;&gt;0,N30&lt;&gt;"NR"),DHRBY*W30,0)</f>
        <v>437.30543999999998</v>
      </c>
      <c r="BV30" s="462">
        <f>IF(AT30&lt;&gt;0,WCBY*W30,0)</f>
        <v>134.19119999999998</v>
      </c>
      <c r="BW30" s="462">
        <f>IF(OR(AND(AT30&lt;&gt;0,AJ30&lt;&gt;"PF",AN30&lt;&gt;"NE",AG30&lt;&gt;"A"),AND(AL30="E",OR(AT30=1,AT30=3))),SickBY*W30,0)</f>
        <v>0</v>
      </c>
      <c r="BX30" s="462">
        <f t="shared" si="7"/>
        <v>16604.187600000001</v>
      </c>
      <c r="BY30" s="462">
        <f t="shared" si="8"/>
        <v>0</v>
      </c>
      <c r="BZ30" s="462">
        <f t="shared" si="9"/>
        <v>0</v>
      </c>
      <c r="CA30" s="462">
        <f t="shared" si="10"/>
        <v>0</v>
      </c>
      <c r="CB30" s="462">
        <f t="shared" si="11"/>
        <v>0</v>
      </c>
      <c r="CC30" s="462">
        <f>IF(AT30&lt;&gt;0,SSHICHG*Y30,0)</f>
        <v>0</v>
      </c>
      <c r="CD30" s="462">
        <f>IF(AND(AT30&lt;&gt;0,AN30&lt;&gt;"NE"),VLOOKUP(AN30,Retirement_Rates,5,FALSE)*Y30,0)</f>
        <v>0</v>
      </c>
      <c r="CE30" s="462">
        <f>IF(AND(AT30&lt;&gt;0,AJ30&lt;&gt;"PF"),LifeCHG*Y30,0)</f>
        <v>0</v>
      </c>
      <c r="CF30" s="462">
        <f>IF(AND(AT30&lt;&gt;0,AM30="Y"),UICHG*Y30,0)</f>
        <v>-386.78640000000001</v>
      </c>
      <c r="CG30" s="462">
        <f>IF(AND(AT30&lt;&gt;0,N30&lt;&gt;"NR"),DHRCHG*Y30,0)</f>
        <v>0</v>
      </c>
      <c r="CH30" s="462">
        <f>IF(AT30&lt;&gt;0,WCCHG*Y30,0)</f>
        <v>-23.680800000000012</v>
      </c>
      <c r="CI30" s="462">
        <f>IF(OR(AND(AT30&lt;&gt;0,AJ30&lt;&gt;"PF",AN30&lt;&gt;"NE",AG30&lt;&gt;"A"),AND(AL30="E",OR(AT30=1,AT30=3))),SickCHG*Y30,0)</f>
        <v>0</v>
      </c>
      <c r="CJ30" s="462">
        <f t="shared" si="12"/>
        <v>-410.46720000000005</v>
      </c>
      <c r="CK30" s="462" t="str">
        <f t="shared" si="13"/>
        <v/>
      </c>
      <c r="CL30" s="462" t="str">
        <f t="shared" si="14"/>
        <v/>
      </c>
      <c r="CM30" s="462" t="str">
        <f t="shared" si="15"/>
        <v/>
      </c>
      <c r="CN30" s="462" t="str">
        <f t="shared" si="16"/>
        <v>0450-04</v>
      </c>
    </row>
    <row r="31" spans="1:92" ht="15" thickBot="1" x14ac:dyDescent="0.35">
      <c r="A31" s="376" t="s">
        <v>161</v>
      </c>
      <c r="B31" s="376" t="s">
        <v>162</v>
      </c>
      <c r="C31" s="376" t="s">
        <v>354</v>
      </c>
      <c r="D31" s="376" t="s">
        <v>263</v>
      </c>
      <c r="E31" s="376" t="s">
        <v>314</v>
      </c>
      <c r="F31" s="382" t="s">
        <v>315</v>
      </c>
      <c r="G31" s="376" t="s">
        <v>167</v>
      </c>
      <c r="H31" s="378"/>
      <c r="I31" s="378"/>
      <c r="J31" s="376" t="s">
        <v>168</v>
      </c>
      <c r="K31" s="376" t="s">
        <v>321</v>
      </c>
      <c r="L31" s="376" t="s">
        <v>216</v>
      </c>
      <c r="M31" s="376" t="s">
        <v>265</v>
      </c>
      <c r="N31" s="376" t="s">
        <v>172</v>
      </c>
      <c r="O31" s="379">
        <v>0</v>
      </c>
      <c r="P31" s="460">
        <v>0</v>
      </c>
      <c r="Q31" s="460">
        <v>0</v>
      </c>
      <c r="R31" s="380">
        <v>80</v>
      </c>
      <c r="S31" s="460">
        <v>0</v>
      </c>
      <c r="T31" s="380">
        <v>35640.910000000003</v>
      </c>
      <c r="U31" s="380">
        <v>0</v>
      </c>
      <c r="V31" s="380">
        <v>12735.97</v>
      </c>
      <c r="W31" s="380">
        <v>0</v>
      </c>
      <c r="X31" s="380">
        <v>0</v>
      </c>
      <c r="Y31" s="380">
        <v>0</v>
      </c>
      <c r="Z31" s="380">
        <v>0</v>
      </c>
      <c r="AA31" s="378"/>
      <c r="AB31" s="378"/>
      <c r="AC31" s="378"/>
      <c r="AD31" s="378"/>
      <c r="AE31" s="378"/>
      <c r="AF31" s="378"/>
      <c r="AG31" s="378"/>
      <c r="AH31" s="379">
        <v>0</v>
      </c>
      <c r="AI31" s="379">
        <v>0</v>
      </c>
      <c r="AJ31" s="378"/>
      <c r="AK31" s="378"/>
      <c r="AL31" s="376" t="s">
        <v>181</v>
      </c>
      <c r="AM31" s="378"/>
      <c r="AN31" s="378"/>
      <c r="AO31" s="379">
        <v>0</v>
      </c>
      <c r="AP31" s="460">
        <v>0</v>
      </c>
      <c r="AQ31" s="460">
        <v>0</v>
      </c>
      <c r="AR31" s="459"/>
      <c r="AS31" s="462">
        <f t="shared" si="0"/>
        <v>0</v>
      </c>
      <c r="AT31">
        <f t="shared" si="1"/>
        <v>0</v>
      </c>
      <c r="AU31" s="462" t="str">
        <f>IF(AT31=0,"",IF(AND(AT31=1,M31="F",SUMIF(C2:C170,C31,AS2:AS170)&lt;=1),SUMIF(C2:C170,C31,AS2:AS170),IF(AND(AT31=1,M31="F",SUMIF(C2:C170,C31,AS2:AS170)&gt;1),1,"")))</f>
        <v/>
      </c>
      <c r="AV31" s="462" t="str">
        <f>IF(AT31=0,"",IF(AND(AT31=3,M31="F",SUMIF(C2:C170,C31,AS2:AS170)&lt;=1),SUMIF(C2:C170,C31,AS2:AS170),IF(AND(AT31=3,M31="F",SUMIF(C2:C170,C31,AS2:AS170)&gt;1),1,"")))</f>
        <v/>
      </c>
      <c r="AW31" s="462">
        <f>SUMIF(C2:C170,C31,O2:O170)</f>
        <v>0</v>
      </c>
      <c r="AX31" s="462">
        <f>IF(AND(M31="F",AS31&lt;&gt;0),SUMIF(C2:C170,C31,W2:W170),0)</f>
        <v>0</v>
      </c>
      <c r="AY31" s="462" t="str">
        <f t="shared" si="2"/>
        <v/>
      </c>
      <c r="AZ31" s="462" t="str">
        <f t="shared" si="3"/>
        <v/>
      </c>
      <c r="BA31" s="462">
        <f t="shared" si="4"/>
        <v>0</v>
      </c>
      <c r="BB31" s="462">
        <f>IF(AND(AT31=1,AK31="E",AU31&gt;=0.75,AW31=1),Health,IF(AND(AT31=1,AK31="E",AU31&gt;=0.75),Health*P31,IF(AND(AT31=1,AK31="E",AU31&gt;=0.5,AW31=1),PTHealth,IF(AND(AT31=1,AK31="E",AU31&gt;=0.5),PTHealth*P31,0))))</f>
        <v>0</v>
      </c>
      <c r="BC31" s="462">
        <f>IF(AND(AT31=3,AK31="E",AV31&gt;=0.75,AW31=1),Health,IF(AND(AT31=3,AK31="E",AV31&gt;=0.75),Health*P31,IF(AND(AT31=3,AK31="E",AV31&gt;=0.5,AW31=1),PTHealth,IF(AND(AT31=3,AK31="E",AV31&gt;=0.5),PTHealth*P31,0))))</f>
        <v>0</v>
      </c>
      <c r="BD31" s="462">
        <f>IF(AND(AT31&lt;&gt;0,AX31&gt;=MAXSSDI),SSDI*MAXSSDI*P31,IF(AT31&lt;&gt;0,SSDI*W31,0))</f>
        <v>0</v>
      </c>
      <c r="BE31" s="462">
        <f>IF(AT31&lt;&gt;0,SSHI*W31,0)</f>
        <v>0</v>
      </c>
      <c r="BF31" s="462">
        <f>IF(AND(AT31&lt;&gt;0,AN31&lt;&gt;"NE"),VLOOKUP(AN31,Retirement_Rates,3,FALSE)*W31,0)</f>
        <v>0</v>
      </c>
      <c r="BG31" s="462">
        <f>IF(AND(AT31&lt;&gt;0,AJ31&lt;&gt;"PF"),Life*W31,0)</f>
        <v>0</v>
      </c>
      <c r="BH31" s="462">
        <f>IF(AND(AT31&lt;&gt;0,AM31="Y"),UI*W31,0)</f>
        <v>0</v>
      </c>
      <c r="BI31" s="462">
        <f>IF(AND(AT31&lt;&gt;0,N31&lt;&gt;"NR"),DHR*W31,0)</f>
        <v>0</v>
      </c>
      <c r="BJ31" s="462">
        <f>IF(AT31&lt;&gt;0,WC*W31,0)</f>
        <v>0</v>
      </c>
      <c r="BK31" s="462">
        <f>IF(OR(AND(AT31&lt;&gt;0,AJ31&lt;&gt;"PF",AN31&lt;&gt;"NE",AG31&lt;&gt;"A"),AND(AL31="E",OR(AT31=1,AT31=3))),Sick*W31,0)</f>
        <v>0</v>
      </c>
      <c r="BL31" s="462">
        <f t="shared" si="5"/>
        <v>0</v>
      </c>
      <c r="BM31" s="462">
        <f t="shared" si="6"/>
        <v>0</v>
      </c>
      <c r="BN31" s="462">
        <f>IF(AND(AT31=1,AK31="E",AU31&gt;=0.75,AW31=1),HealthBY,IF(AND(AT31=1,AK31="E",AU31&gt;=0.75),HealthBY*P31,IF(AND(AT31=1,AK31="E",AU31&gt;=0.5,AW31=1),PTHealthBY,IF(AND(AT31=1,AK31="E",AU31&gt;=0.5),PTHealthBY*P31,0))))</f>
        <v>0</v>
      </c>
      <c r="BO31" s="462">
        <f>IF(AND(AT31=3,AK31="E",AV31&gt;=0.75,AW31=1),HealthBY,IF(AND(AT31=3,AK31="E",AV31&gt;=0.75),HealthBY*P31,IF(AND(AT31=3,AK31="E",AV31&gt;=0.5,AW31=1),PTHealthBY,IF(AND(AT31=3,AK31="E",AV31&gt;=0.5),PTHealthBY*P31,0))))</f>
        <v>0</v>
      </c>
      <c r="BP31" s="462">
        <f>IF(AND(AT31&lt;&gt;0,(AX31+BA31)&gt;=MAXSSDIBY),SSDIBY*MAXSSDIBY*P31,IF(AT31&lt;&gt;0,SSDIBY*W31,0))</f>
        <v>0</v>
      </c>
      <c r="BQ31" s="462">
        <f>IF(AT31&lt;&gt;0,SSHIBY*W31,0)</f>
        <v>0</v>
      </c>
      <c r="BR31" s="462">
        <f>IF(AND(AT31&lt;&gt;0,AN31&lt;&gt;"NE"),VLOOKUP(AN31,Retirement_Rates,4,FALSE)*W31,0)</f>
        <v>0</v>
      </c>
      <c r="BS31" s="462">
        <f>IF(AND(AT31&lt;&gt;0,AJ31&lt;&gt;"PF"),LifeBY*W31,0)</f>
        <v>0</v>
      </c>
      <c r="BT31" s="462">
        <f>IF(AND(AT31&lt;&gt;0,AM31="Y"),UIBY*W31,0)</f>
        <v>0</v>
      </c>
      <c r="BU31" s="462">
        <f>IF(AND(AT31&lt;&gt;0,N31&lt;&gt;"NR"),DHRBY*W31,0)</f>
        <v>0</v>
      </c>
      <c r="BV31" s="462">
        <f>IF(AT31&lt;&gt;0,WCBY*W31,0)</f>
        <v>0</v>
      </c>
      <c r="BW31" s="462">
        <f>IF(OR(AND(AT31&lt;&gt;0,AJ31&lt;&gt;"PF",AN31&lt;&gt;"NE",AG31&lt;&gt;"A"),AND(AL31="E",OR(AT31=1,AT31=3))),SickBY*W31,0)</f>
        <v>0</v>
      </c>
      <c r="BX31" s="462">
        <f t="shared" si="7"/>
        <v>0</v>
      </c>
      <c r="BY31" s="462">
        <f t="shared" si="8"/>
        <v>0</v>
      </c>
      <c r="BZ31" s="462">
        <f t="shared" si="9"/>
        <v>0</v>
      </c>
      <c r="CA31" s="462">
        <f t="shared" si="10"/>
        <v>0</v>
      </c>
      <c r="CB31" s="462">
        <f t="shared" si="11"/>
        <v>0</v>
      </c>
      <c r="CC31" s="462">
        <f>IF(AT31&lt;&gt;0,SSHICHG*Y31,0)</f>
        <v>0</v>
      </c>
      <c r="CD31" s="462">
        <f>IF(AND(AT31&lt;&gt;0,AN31&lt;&gt;"NE"),VLOOKUP(AN31,Retirement_Rates,5,FALSE)*Y31,0)</f>
        <v>0</v>
      </c>
      <c r="CE31" s="462">
        <f>IF(AND(AT31&lt;&gt;0,AJ31&lt;&gt;"PF"),LifeCHG*Y31,0)</f>
        <v>0</v>
      </c>
      <c r="CF31" s="462">
        <f>IF(AND(AT31&lt;&gt;0,AM31="Y"),UICHG*Y31,0)</f>
        <v>0</v>
      </c>
      <c r="CG31" s="462">
        <f>IF(AND(AT31&lt;&gt;0,N31&lt;&gt;"NR"),DHRCHG*Y31,0)</f>
        <v>0</v>
      </c>
      <c r="CH31" s="462">
        <f>IF(AT31&lt;&gt;0,WCCHG*Y31,0)</f>
        <v>0</v>
      </c>
      <c r="CI31" s="462">
        <f>IF(OR(AND(AT31&lt;&gt;0,AJ31&lt;&gt;"PF",AN31&lt;&gt;"NE",AG31&lt;&gt;"A"),AND(AL31="E",OR(AT31=1,AT31=3))),SickCHG*Y31,0)</f>
        <v>0</v>
      </c>
      <c r="CJ31" s="462">
        <f t="shared" si="12"/>
        <v>0</v>
      </c>
      <c r="CK31" s="462" t="str">
        <f t="shared" si="13"/>
        <v/>
      </c>
      <c r="CL31" s="462" t="str">
        <f t="shared" si="14"/>
        <v/>
      </c>
      <c r="CM31" s="462" t="str">
        <f t="shared" si="15"/>
        <v/>
      </c>
      <c r="CN31" s="462" t="str">
        <f t="shared" si="16"/>
        <v>0450-04</v>
      </c>
    </row>
    <row r="32" spans="1:92" ht="15" thickBot="1" x14ac:dyDescent="0.35">
      <c r="A32" s="376" t="s">
        <v>161</v>
      </c>
      <c r="B32" s="376" t="s">
        <v>162</v>
      </c>
      <c r="C32" s="376" t="s">
        <v>355</v>
      </c>
      <c r="D32" s="376" t="s">
        <v>356</v>
      </c>
      <c r="E32" s="376" t="s">
        <v>314</v>
      </c>
      <c r="F32" s="382" t="s">
        <v>357</v>
      </c>
      <c r="G32" s="376" t="s">
        <v>167</v>
      </c>
      <c r="H32" s="378"/>
      <c r="I32" s="378"/>
      <c r="J32" s="376" t="s">
        <v>168</v>
      </c>
      <c r="K32" s="376" t="s">
        <v>358</v>
      </c>
      <c r="L32" s="376" t="s">
        <v>176</v>
      </c>
      <c r="M32" s="376" t="s">
        <v>171</v>
      </c>
      <c r="N32" s="376" t="s">
        <v>172</v>
      </c>
      <c r="O32" s="379">
        <v>1</v>
      </c>
      <c r="P32" s="460">
        <v>1</v>
      </c>
      <c r="Q32" s="460">
        <v>1</v>
      </c>
      <c r="R32" s="380">
        <v>80</v>
      </c>
      <c r="S32" s="460">
        <v>1</v>
      </c>
      <c r="T32" s="380">
        <v>51402.95</v>
      </c>
      <c r="U32" s="380">
        <v>0</v>
      </c>
      <c r="V32" s="380">
        <v>22245.68</v>
      </c>
      <c r="W32" s="380">
        <v>52228.800000000003</v>
      </c>
      <c r="X32" s="380">
        <v>22907.87</v>
      </c>
      <c r="Y32" s="380">
        <v>52228.800000000003</v>
      </c>
      <c r="Z32" s="380">
        <v>22636.28</v>
      </c>
      <c r="AA32" s="376" t="s">
        <v>359</v>
      </c>
      <c r="AB32" s="376" t="s">
        <v>360</v>
      </c>
      <c r="AC32" s="376" t="s">
        <v>361</v>
      </c>
      <c r="AD32" s="376" t="s">
        <v>228</v>
      </c>
      <c r="AE32" s="376" t="s">
        <v>358</v>
      </c>
      <c r="AF32" s="376" t="s">
        <v>190</v>
      </c>
      <c r="AG32" s="376" t="s">
        <v>178</v>
      </c>
      <c r="AH32" s="381">
        <v>25.11</v>
      </c>
      <c r="AI32" s="381">
        <v>2799.6</v>
      </c>
      <c r="AJ32" s="376" t="s">
        <v>179</v>
      </c>
      <c r="AK32" s="376" t="s">
        <v>180</v>
      </c>
      <c r="AL32" s="376" t="s">
        <v>181</v>
      </c>
      <c r="AM32" s="376" t="s">
        <v>182</v>
      </c>
      <c r="AN32" s="376" t="s">
        <v>68</v>
      </c>
      <c r="AO32" s="379">
        <v>80</v>
      </c>
      <c r="AP32" s="460">
        <v>1</v>
      </c>
      <c r="AQ32" s="460">
        <v>1</v>
      </c>
      <c r="AR32" s="458" t="s">
        <v>183</v>
      </c>
      <c r="AS32" s="462">
        <f t="shared" si="0"/>
        <v>1</v>
      </c>
      <c r="AT32">
        <f t="shared" si="1"/>
        <v>1</v>
      </c>
      <c r="AU32" s="462">
        <f>IF(AT32=0,"",IF(AND(AT32=1,M32="F",SUMIF(C2:C170,C32,AS2:AS170)&lt;=1),SUMIF(C2:C170,C32,AS2:AS170),IF(AND(AT32=1,M32="F",SUMIF(C2:C170,C32,AS2:AS170)&gt;1),1,"")))</f>
        <v>1</v>
      </c>
      <c r="AV32" s="462" t="str">
        <f>IF(AT32=0,"",IF(AND(AT32=3,M32="F",SUMIF(C2:C170,C32,AS2:AS170)&lt;=1),SUMIF(C2:C170,C32,AS2:AS170),IF(AND(AT32=3,M32="F",SUMIF(C2:C170,C32,AS2:AS170)&gt;1),1,"")))</f>
        <v/>
      </c>
      <c r="AW32" s="462">
        <f>SUMIF(C2:C170,C32,O2:O170)</f>
        <v>1</v>
      </c>
      <c r="AX32" s="462">
        <f>IF(AND(M32="F",AS32&lt;&gt;0),SUMIF(C2:C170,C32,W2:W170),0)</f>
        <v>52228.800000000003</v>
      </c>
      <c r="AY32" s="462">
        <f t="shared" si="2"/>
        <v>52228.800000000003</v>
      </c>
      <c r="AZ32" s="462" t="str">
        <f t="shared" si="3"/>
        <v/>
      </c>
      <c r="BA32" s="462">
        <f t="shared" si="4"/>
        <v>0</v>
      </c>
      <c r="BB32" s="462">
        <f>IF(AND(AT32=1,AK32="E",AU32&gt;=0.75,AW32=1),Health,IF(AND(AT32=1,AK32="E",AU32&gt;=0.75),Health*P32,IF(AND(AT32=1,AK32="E",AU32&gt;=0.5,AW32=1),PTHealth,IF(AND(AT32=1,AK32="E",AU32&gt;=0.5),PTHealth*P32,0))))</f>
        <v>11650</v>
      </c>
      <c r="BC32" s="462">
        <f>IF(AND(AT32=3,AK32="E",AV32&gt;=0.75,AW32=1),Health,IF(AND(AT32=3,AK32="E",AV32&gt;=0.75),Health*P32,IF(AND(AT32=3,AK32="E",AV32&gt;=0.5,AW32=1),PTHealth,IF(AND(AT32=3,AK32="E",AV32&gt;=0.5),PTHealth*P32,0))))</f>
        <v>0</v>
      </c>
      <c r="BD32" s="462">
        <f>IF(AND(AT32&lt;&gt;0,AX32&gt;=MAXSSDI),SSDI*MAXSSDI*P32,IF(AT32&lt;&gt;0,SSDI*W32,0))</f>
        <v>3238.1856000000002</v>
      </c>
      <c r="BE32" s="462">
        <f>IF(AT32&lt;&gt;0,SSHI*W32,0)</f>
        <v>757.31760000000008</v>
      </c>
      <c r="BF32" s="462">
        <f>IF(AND(AT32&lt;&gt;0,AN32&lt;&gt;"NE"),VLOOKUP(AN32,Retirement_Rates,3,FALSE)*W32,0)</f>
        <v>6236.1187200000004</v>
      </c>
      <c r="BG32" s="462">
        <f>IF(AND(AT32&lt;&gt;0,AJ32&lt;&gt;"PF"),Life*W32,0)</f>
        <v>376.56964800000003</v>
      </c>
      <c r="BH32" s="462">
        <f>IF(AND(AT32&lt;&gt;0,AM32="Y"),UI*W32,0)</f>
        <v>255.92112</v>
      </c>
      <c r="BI32" s="462">
        <f>IF(AND(AT32&lt;&gt;0,N32&lt;&gt;"NR"),DHR*W32,0)</f>
        <v>289.34755200000001</v>
      </c>
      <c r="BJ32" s="462">
        <f>IF(AT32&lt;&gt;0,WC*W32,0)</f>
        <v>104.45760000000001</v>
      </c>
      <c r="BK32" s="462">
        <f>IF(OR(AND(AT32&lt;&gt;0,AJ32&lt;&gt;"PF",AN32&lt;&gt;"NE",AG32&lt;&gt;"A"),AND(AL32="E",OR(AT32=1,AT32=3))),Sick*W32,0)</f>
        <v>0</v>
      </c>
      <c r="BL32" s="462">
        <f t="shared" si="5"/>
        <v>11257.917840000002</v>
      </c>
      <c r="BM32" s="462">
        <f t="shared" si="6"/>
        <v>0</v>
      </c>
      <c r="BN32" s="462">
        <f>IF(AND(AT32=1,AK32="E",AU32&gt;=0.75,AW32=1),HealthBY,IF(AND(AT32=1,AK32="E",AU32&gt;=0.75),HealthBY*P32,IF(AND(AT32=1,AK32="E",AU32&gt;=0.5,AW32=1),PTHealthBY,IF(AND(AT32=1,AK32="E",AU32&gt;=0.5),PTHealthBY*P32,0))))</f>
        <v>11650</v>
      </c>
      <c r="BO32" s="462">
        <f>IF(AND(AT32=3,AK32="E",AV32&gt;=0.75,AW32=1),HealthBY,IF(AND(AT32=3,AK32="E",AV32&gt;=0.75),HealthBY*P32,IF(AND(AT32=3,AK32="E",AV32&gt;=0.5,AW32=1),PTHealthBY,IF(AND(AT32=3,AK32="E",AV32&gt;=0.5),PTHealthBY*P32,0))))</f>
        <v>0</v>
      </c>
      <c r="BP32" s="462">
        <f>IF(AND(AT32&lt;&gt;0,(AX32+BA32)&gt;=MAXSSDIBY),SSDIBY*MAXSSDIBY*P32,IF(AT32&lt;&gt;0,SSDIBY*W32,0))</f>
        <v>3238.1856000000002</v>
      </c>
      <c r="BQ32" s="462">
        <f>IF(AT32&lt;&gt;0,SSHIBY*W32,0)</f>
        <v>757.31760000000008</v>
      </c>
      <c r="BR32" s="462">
        <f>IF(AND(AT32&lt;&gt;0,AN32&lt;&gt;"NE"),VLOOKUP(AN32,Retirement_Rates,4,FALSE)*W32,0)</f>
        <v>6236.1187200000004</v>
      </c>
      <c r="BS32" s="462">
        <f>IF(AND(AT32&lt;&gt;0,AJ32&lt;&gt;"PF"),LifeBY*W32,0)</f>
        <v>376.56964800000003</v>
      </c>
      <c r="BT32" s="462">
        <f>IF(AND(AT32&lt;&gt;0,AM32="Y"),UIBY*W32,0)</f>
        <v>0</v>
      </c>
      <c r="BU32" s="462">
        <f>IF(AND(AT32&lt;&gt;0,N32&lt;&gt;"NR"),DHRBY*W32,0)</f>
        <v>289.34755200000001</v>
      </c>
      <c r="BV32" s="462">
        <f>IF(AT32&lt;&gt;0,WCBY*W32,0)</f>
        <v>88.788960000000003</v>
      </c>
      <c r="BW32" s="462">
        <f>IF(OR(AND(AT32&lt;&gt;0,AJ32&lt;&gt;"PF",AN32&lt;&gt;"NE",AG32&lt;&gt;"A"),AND(AL32="E",OR(AT32=1,AT32=3))),SickBY*W32,0)</f>
        <v>0</v>
      </c>
      <c r="BX32" s="462">
        <f t="shared" si="7"/>
        <v>10986.328080000001</v>
      </c>
      <c r="BY32" s="462">
        <f t="shared" si="8"/>
        <v>0</v>
      </c>
      <c r="BZ32" s="462">
        <f t="shared" si="9"/>
        <v>0</v>
      </c>
      <c r="CA32" s="462">
        <f t="shared" si="10"/>
        <v>0</v>
      </c>
      <c r="CB32" s="462">
        <f t="shared" si="11"/>
        <v>0</v>
      </c>
      <c r="CC32" s="462">
        <f>IF(AT32&lt;&gt;0,SSHICHG*Y32,0)</f>
        <v>0</v>
      </c>
      <c r="CD32" s="462">
        <f>IF(AND(AT32&lt;&gt;0,AN32&lt;&gt;"NE"),VLOOKUP(AN32,Retirement_Rates,5,FALSE)*Y32,0)</f>
        <v>0</v>
      </c>
      <c r="CE32" s="462">
        <f>IF(AND(AT32&lt;&gt;0,AJ32&lt;&gt;"PF"),LifeCHG*Y32,0)</f>
        <v>0</v>
      </c>
      <c r="CF32" s="462">
        <f>IF(AND(AT32&lt;&gt;0,AM32="Y"),UICHG*Y32,0)</f>
        <v>-255.92112</v>
      </c>
      <c r="CG32" s="462">
        <f>IF(AND(AT32&lt;&gt;0,N32&lt;&gt;"NR"),DHRCHG*Y32,0)</f>
        <v>0</v>
      </c>
      <c r="CH32" s="462">
        <f>IF(AT32&lt;&gt;0,WCCHG*Y32,0)</f>
        <v>-15.668640000000009</v>
      </c>
      <c r="CI32" s="462">
        <f>IF(OR(AND(AT32&lt;&gt;0,AJ32&lt;&gt;"PF",AN32&lt;&gt;"NE",AG32&lt;&gt;"A"),AND(AL32="E",OR(AT32=1,AT32=3))),SickCHG*Y32,0)</f>
        <v>0</v>
      </c>
      <c r="CJ32" s="462">
        <f t="shared" si="12"/>
        <v>-271.58976000000001</v>
      </c>
      <c r="CK32" s="462" t="str">
        <f t="shared" si="13"/>
        <v/>
      </c>
      <c r="CL32" s="462" t="str">
        <f t="shared" si="14"/>
        <v/>
      </c>
      <c r="CM32" s="462" t="str">
        <f t="shared" si="15"/>
        <v/>
      </c>
      <c r="CN32" s="462" t="str">
        <f t="shared" si="16"/>
        <v>0450-22</v>
      </c>
    </row>
    <row r="33" spans="1:92" ht="15" thickBot="1" x14ac:dyDescent="0.35">
      <c r="A33" s="376" t="s">
        <v>161</v>
      </c>
      <c r="B33" s="376" t="s">
        <v>162</v>
      </c>
      <c r="C33" s="376" t="s">
        <v>362</v>
      </c>
      <c r="D33" s="376" t="s">
        <v>356</v>
      </c>
      <c r="E33" s="376" t="s">
        <v>314</v>
      </c>
      <c r="F33" s="382" t="s">
        <v>357</v>
      </c>
      <c r="G33" s="376" t="s">
        <v>167</v>
      </c>
      <c r="H33" s="378"/>
      <c r="I33" s="378"/>
      <c r="J33" s="376" t="s">
        <v>168</v>
      </c>
      <c r="K33" s="376" t="s">
        <v>358</v>
      </c>
      <c r="L33" s="376" t="s">
        <v>176</v>
      </c>
      <c r="M33" s="376" t="s">
        <v>171</v>
      </c>
      <c r="N33" s="376" t="s">
        <v>172</v>
      </c>
      <c r="O33" s="379">
        <v>1</v>
      </c>
      <c r="P33" s="460">
        <v>1</v>
      </c>
      <c r="Q33" s="460">
        <v>1</v>
      </c>
      <c r="R33" s="380">
        <v>80</v>
      </c>
      <c r="S33" s="460">
        <v>1</v>
      </c>
      <c r="T33" s="380">
        <v>0</v>
      </c>
      <c r="U33" s="380">
        <v>0</v>
      </c>
      <c r="V33" s="380">
        <v>0</v>
      </c>
      <c r="W33" s="380">
        <v>52228.800000000003</v>
      </c>
      <c r="X33" s="380">
        <v>22907.87</v>
      </c>
      <c r="Y33" s="380">
        <v>52228.800000000003</v>
      </c>
      <c r="Z33" s="380">
        <v>22636.28</v>
      </c>
      <c r="AA33" s="376" t="s">
        <v>363</v>
      </c>
      <c r="AB33" s="376" t="s">
        <v>364</v>
      </c>
      <c r="AC33" s="376" t="s">
        <v>365</v>
      </c>
      <c r="AD33" s="376" t="s">
        <v>176</v>
      </c>
      <c r="AE33" s="376" t="s">
        <v>358</v>
      </c>
      <c r="AF33" s="376" t="s">
        <v>190</v>
      </c>
      <c r="AG33" s="376" t="s">
        <v>178</v>
      </c>
      <c r="AH33" s="381">
        <v>25.11</v>
      </c>
      <c r="AI33" s="379">
        <v>1280</v>
      </c>
      <c r="AJ33" s="376" t="s">
        <v>179</v>
      </c>
      <c r="AK33" s="376" t="s">
        <v>180</v>
      </c>
      <c r="AL33" s="376" t="s">
        <v>181</v>
      </c>
      <c r="AM33" s="376" t="s">
        <v>182</v>
      </c>
      <c r="AN33" s="376" t="s">
        <v>68</v>
      </c>
      <c r="AO33" s="379">
        <v>80</v>
      </c>
      <c r="AP33" s="460">
        <v>1</v>
      </c>
      <c r="AQ33" s="460">
        <v>1</v>
      </c>
      <c r="AR33" s="458" t="s">
        <v>183</v>
      </c>
      <c r="AS33" s="462">
        <f t="shared" si="0"/>
        <v>1</v>
      </c>
      <c r="AT33">
        <f t="shared" si="1"/>
        <v>1</v>
      </c>
      <c r="AU33" s="462">
        <f>IF(AT33=0,"",IF(AND(AT33=1,M33="F",SUMIF(C2:C170,C33,AS2:AS170)&lt;=1),SUMIF(C2:C170,C33,AS2:AS170),IF(AND(AT33=1,M33="F",SUMIF(C2:C170,C33,AS2:AS170)&gt;1),1,"")))</f>
        <v>1</v>
      </c>
      <c r="AV33" s="462" t="str">
        <f>IF(AT33=0,"",IF(AND(AT33=3,M33="F",SUMIF(C2:C170,C33,AS2:AS170)&lt;=1),SUMIF(C2:C170,C33,AS2:AS170),IF(AND(AT33=3,M33="F",SUMIF(C2:C170,C33,AS2:AS170)&gt;1),1,"")))</f>
        <v/>
      </c>
      <c r="AW33" s="462">
        <f>SUMIF(C2:C170,C33,O2:O170)</f>
        <v>2</v>
      </c>
      <c r="AX33" s="462">
        <f>IF(AND(M33="F",AS33&lt;&gt;0),SUMIF(C2:C170,C33,W2:W170),0)</f>
        <v>52228.800000000003</v>
      </c>
      <c r="AY33" s="462">
        <f t="shared" si="2"/>
        <v>52228.800000000003</v>
      </c>
      <c r="AZ33" s="462" t="str">
        <f t="shared" si="3"/>
        <v/>
      </c>
      <c r="BA33" s="462">
        <f t="shared" si="4"/>
        <v>0</v>
      </c>
      <c r="BB33" s="462">
        <f>IF(AND(AT33=1,AK33="E",AU33&gt;=0.75,AW33=1),Health,IF(AND(AT33=1,AK33="E",AU33&gt;=0.75),Health*P33,IF(AND(AT33=1,AK33="E",AU33&gt;=0.5,AW33=1),PTHealth,IF(AND(AT33=1,AK33="E",AU33&gt;=0.5),PTHealth*P33,0))))</f>
        <v>11650</v>
      </c>
      <c r="BC33" s="462">
        <f>IF(AND(AT33=3,AK33="E",AV33&gt;=0.75,AW33=1),Health,IF(AND(AT33=3,AK33="E",AV33&gt;=0.75),Health*P33,IF(AND(AT33=3,AK33="E",AV33&gt;=0.5,AW33=1),PTHealth,IF(AND(AT33=3,AK33="E",AV33&gt;=0.5),PTHealth*P33,0))))</f>
        <v>0</v>
      </c>
      <c r="BD33" s="462">
        <f>IF(AND(AT33&lt;&gt;0,AX33&gt;=MAXSSDI),SSDI*MAXSSDI*P33,IF(AT33&lt;&gt;0,SSDI*W33,0))</f>
        <v>3238.1856000000002</v>
      </c>
      <c r="BE33" s="462">
        <f>IF(AT33&lt;&gt;0,SSHI*W33,0)</f>
        <v>757.31760000000008</v>
      </c>
      <c r="BF33" s="462">
        <f>IF(AND(AT33&lt;&gt;0,AN33&lt;&gt;"NE"),VLOOKUP(AN33,Retirement_Rates,3,FALSE)*W33,0)</f>
        <v>6236.1187200000004</v>
      </c>
      <c r="BG33" s="462">
        <f>IF(AND(AT33&lt;&gt;0,AJ33&lt;&gt;"PF"),Life*W33,0)</f>
        <v>376.56964800000003</v>
      </c>
      <c r="BH33" s="462">
        <f>IF(AND(AT33&lt;&gt;0,AM33="Y"),UI*W33,0)</f>
        <v>255.92112</v>
      </c>
      <c r="BI33" s="462">
        <f>IF(AND(AT33&lt;&gt;0,N33&lt;&gt;"NR"),DHR*W33,0)</f>
        <v>289.34755200000001</v>
      </c>
      <c r="BJ33" s="462">
        <f>IF(AT33&lt;&gt;0,WC*W33,0)</f>
        <v>104.45760000000001</v>
      </c>
      <c r="BK33" s="462">
        <f>IF(OR(AND(AT33&lt;&gt;0,AJ33&lt;&gt;"PF",AN33&lt;&gt;"NE",AG33&lt;&gt;"A"),AND(AL33="E",OR(AT33=1,AT33=3))),Sick*W33,0)</f>
        <v>0</v>
      </c>
      <c r="BL33" s="462">
        <f t="shared" si="5"/>
        <v>11257.917840000002</v>
      </c>
      <c r="BM33" s="462">
        <f t="shared" si="6"/>
        <v>0</v>
      </c>
      <c r="BN33" s="462">
        <f>IF(AND(AT33=1,AK33="E",AU33&gt;=0.75,AW33=1),HealthBY,IF(AND(AT33=1,AK33="E",AU33&gt;=0.75),HealthBY*P33,IF(AND(AT33=1,AK33="E",AU33&gt;=0.5,AW33=1),PTHealthBY,IF(AND(AT33=1,AK33="E",AU33&gt;=0.5),PTHealthBY*P33,0))))</f>
        <v>11650</v>
      </c>
      <c r="BO33" s="462">
        <f>IF(AND(AT33=3,AK33="E",AV33&gt;=0.75,AW33=1),HealthBY,IF(AND(AT33=3,AK33="E",AV33&gt;=0.75),HealthBY*P33,IF(AND(AT33=3,AK33="E",AV33&gt;=0.5,AW33=1),PTHealthBY,IF(AND(AT33=3,AK33="E",AV33&gt;=0.5),PTHealthBY*P33,0))))</f>
        <v>0</v>
      </c>
      <c r="BP33" s="462">
        <f>IF(AND(AT33&lt;&gt;0,(AX33+BA33)&gt;=MAXSSDIBY),SSDIBY*MAXSSDIBY*P33,IF(AT33&lt;&gt;0,SSDIBY*W33,0))</f>
        <v>3238.1856000000002</v>
      </c>
      <c r="BQ33" s="462">
        <f>IF(AT33&lt;&gt;0,SSHIBY*W33,0)</f>
        <v>757.31760000000008</v>
      </c>
      <c r="BR33" s="462">
        <f>IF(AND(AT33&lt;&gt;0,AN33&lt;&gt;"NE"),VLOOKUP(AN33,Retirement_Rates,4,FALSE)*W33,0)</f>
        <v>6236.1187200000004</v>
      </c>
      <c r="BS33" s="462">
        <f>IF(AND(AT33&lt;&gt;0,AJ33&lt;&gt;"PF"),LifeBY*W33,0)</f>
        <v>376.56964800000003</v>
      </c>
      <c r="BT33" s="462">
        <f>IF(AND(AT33&lt;&gt;0,AM33="Y"),UIBY*W33,0)</f>
        <v>0</v>
      </c>
      <c r="BU33" s="462">
        <f>IF(AND(AT33&lt;&gt;0,N33&lt;&gt;"NR"),DHRBY*W33,0)</f>
        <v>289.34755200000001</v>
      </c>
      <c r="BV33" s="462">
        <f>IF(AT33&lt;&gt;0,WCBY*W33,0)</f>
        <v>88.788960000000003</v>
      </c>
      <c r="BW33" s="462">
        <f>IF(OR(AND(AT33&lt;&gt;0,AJ33&lt;&gt;"PF",AN33&lt;&gt;"NE",AG33&lt;&gt;"A"),AND(AL33="E",OR(AT33=1,AT33=3))),SickBY*W33,0)</f>
        <v>0</v>
      </c>
      <c r="BX33" s="462">
        <f t="shared" si="7"/>
        <v>10986.328080000001</v>
      </c>
      <c r="BY33" s="462">
        <f t="shared" si="8"/>
        <v>0</v>
      </c>
      <c r="BZ33" s="462">
        <f t="shared" si="9"/>
        <v>0</v>
      </c>
      <c r="CA33" s="462">
        <f t="shared" si="10"/>
        <v>0</v>
      </c>
      <c r="CB33" s="462">
        <f t="shared" si="11"/>
        <v>0</v>
      </c>
      <c r="CC33" s="462">
        <f>IF(AT33&lt;&gt;0,SSHICHG*Y33,0)</f>
        <v>0</v>
      </c>
      <c r="CD33" s="462">
        <f>IF(AND(AT33&lt;&gt;0,AN33&lt;&gt;"NE"),VLOOKUP(AN33,Retirement_Rates,5,FALSE)*Y33,0)</f>
        <v>0</v>
      </c>
      <c r="CE33" s="462">
        <f>IF(AND(AT33&lt;&gt;0,AJ33&lt;&gt;"PF"),LifeCHG*Y33,0)</f>
        <v>0</v>
      </c>
      <c r="CF33" s="462">
        <f>IF(AND(AT33&lt;&gt;0,AM33="Y"),UICHG*Y33,0)</f>
        <v>-255.92112</v>
      </c>
      <c r="CG33" s="462">
        <f>IF(AND(AT33&lt;&gt;0,N33&lt;&gt;"NR"),DHRCHG*Y33,0)</f>
        <v>0</v>
      </c>
      <c r="CH33" s="462">
        <f>IF(AT33&lt;&gt;0,WCCHG*Y33,0)</f>
        <v>-15.668640000000009</v>
      </c>
      <c r="CI33" s="462">
        <f>IF(OR(AND(AT33&lt;&gt;0,AJ33&lt;&gt;"PF",AN33&lt;&gt;"NE",AG33&lt;&gt;"A"),AND(AL33="E",OR(AT33=1,AT33=3))),SickCHG*Y33,0)</f>
        <v>0</v>
      </c>
      <c r="CJ33" s="462">
        <f t="shared" si="12"/>
        <v>-271.58976000000001</v>
      </c>
      <c r="CK33" s="462" t="str">
        <f t="shared" si="13"/>
        <v/>
      </c>
      <c r="CL33" s="462" t="str">
        <f t="shared" si="14"/>
        <v/>
      </c>
      <c r="CM33" s="462" t="str">
        <f t="shared" si="15"/>
        <v/>
      </c>
      <c r="CN33" s="462" t="str">
        <f t="shared" si="16"/>
        <v>0450-22</v>
      </c>
    </row>
    <row r="34" spans="1:92" ht="15" thickBot="1" x14ac:dyDescent="0.35">
      <c r="A34" s="376" t="s">
        <v>161</v>
      </c>
      <c r="B34" s="376" t="s">
        <v>162</v>
      </c>
      <c r="C34" s="376" t="s">
        <v>366</v>
      </c>
      <c r="D34" s="376" t="s">
        <v>313</v>
      </c>
      <c r="E34" s="376" t="s">
        <v>314</v>
      </c>
      <c r="F34" s="382" t="s">
        <v>357</v>
      </c>
      <c r="G34" s="376" t="s">
        <v>167</v>
      </c>
      <c r="H34" s="378"/>
      <c r="I34" s="378"/>
      <c r="J34" s="376" t="s">
        <v>168</v>
      </c>
      <c r="K34" s="376" t="s">
        <v>316</v>
      </c>
      <c r="L34" s="376" t="s">
        <v>216</v>
      </c>
      <c r="M34" s="376" t="s">
        <v>171</v>
      </c>
      <c r="N34" s="376" t="s">
        <v>172</v>
      </c>
      <c r="O34" s="379">
        <v>1</v>
      </c>
      <c r="P34" s="460">
        <v>1</v>
      </c>
      <c r="Q34" s="460">
        <v>1</v>
      </c>
      <c r="R34" s="380">
        <v>80</v>
      </c>
      <c r="S34" s="460">
        <v>1</v>
      </c>
      <c r="T34" s="380">
        <v>0</v>
      </c>
      <c r="U34" s="380">
        <v>0</v>
      </c>
      <c r="V34" s="380">
        <v>0</v>
      </c>
      <c r="W34" s="380">
        <v>74568</v>
      </c>
      <c r="X34" s="380">
        <v>27723.09</v>
      </c>
      <c r="Y34" s="380">
        <v>74568</v>
      </c>
      <c r="Z34" s="380">
        <v>27335.34</v>
      </c>
      <c r="AA34" s="376" t="s">
        <v>367</v>
      </c>
      <c r="AB34" s="376" t="s">
        <v>368</v>
      </c>
      <c r="AC34" s="376" t="s">
        <v>369</v>
      </c>
      <c r="AD34" s="376" t="s">
        <v>370</v>
      </c>
      <c r="AE34" s="376" t="s">
        <v>316</v>
      </c>
      <c r="AF34" s="376" t="s">
        <v>311</v>
      </c>
      <c r="AG34" s="376" t="s">
        <v>178</v>
      </c>
      <c r="AH34" s="381">
        <v>35.85</v>
      </c>
      <c r="AI34" s="381">
        <v>26032.5</v>
      </c>
      <c r="AJ34" s="376" t="s">
        <v>179</v>
      </c>
      <c r="AK34" s="376" t="s">
        <v>180</v>
      </c>
      <c r="AL34" s="376" t="s">
        <v>181</v>
      </c>
      <c r="AM34" s="376" t="s">
        <v>182</v>
      </c>
      <c r="AN34" s="376" t="s">
        <v>68</v>
      </c>
      <c r="AO34" s="379">
        <v>80</v>
      </c>
      <c r="AP34" s="460">
        <v>1</v>
      </c>
      <c r="AQ34" s="460">
        <v>1</v>
      </c>
      <c r="AR34" s="458" t="s">
        <v>183</v>
      </c>
      <c r="AS34" s="462">
        <f t="shared" si="0"/>
        <v>1</v>
      </c>
      <c r="AT34">
        <f t="shared" si="1"/>
        <v>1</v>
      </c>
      <c r="AU34" s="462">
        <f>IF(AT34=0,"",IF(AND(AT34=1,M34="F",SUMIF(C2:C170,C34,AS2:AS170)&lt;=1),SUMIF(C2:C170,C34,AS2:AS170),IF(AND(AT34=1,M34="F",SUMIF(C2:C170,C34,AS2:AS170)&gt;1),1,"")))</f>
        <v>1</v>
      </c>
      <c r="AV34" s="462" t="str">
        <f>IF(AT34=0,"",IF(AND(AT34=3,M34="F",SUMIF(C2:C170,C34,AS2:AS170)&lt;=1),SUMIF(C2:C170,C34,AS2:AS170),IF(AND(AT34=3,M34="F",SUMIF(C2:C170,C34,AS2:AS170)&gt;1),1,"")))</f>
        <v/>
      </c>
      <c r="AW34" s="462">
        <f>SUMIF(C2:C170,C34,O2:O170)</f>
        <v>2</v>
      </c>
      <c r="AX34" s="462">
        <f>IF(AND(M34="F",AS34&lt;&gt;0),SUMIF(C2:C170,C34,W2:W170),0)</f>
        <v>74568</v>
      </c>
      <c r="AY34" s="462">
        <f t="shared" si="2"/>
        <v>74568</v>
      </c>
      <c r="AZ34" s="462" t="str">
        <f t="shared" si="3"/>
        <v/>
      </c>
      <c r="BA34" s="462">
        <f t="shared" si="4"/>
        <v>0</v>
      </c>
      <c r="BB34" s="462">
        <f>IF(AND(AT34=1,AK34="E",AU34&gt;=0.75,AW34=1),Health,IF(AND(AT34=1,AK34="E",AU34&gt;=0.75),Health*P34,IF(AND(AT34=1,AK34="E",AU34&gt;=0.5,AW34=1),PTHealth,IF(AND(AT34=1,AK34="E",AU34&gt;=0.5),PTHealth*P34,0))))</f>
        <v>11650</v>
      </c>
      <c r="BC34" s="462">
        <f>IF(AND(AT34=3,AK34="E",AV34&gt;=0.75,AW34=1),Health,IF(AND(AT34=3,AK34="E",AV34&gt;=0.75),Health*P34,IF(AND(AT34=3,AK34="E",AV34&gt;=0.5,AW34=1),PTHealth,IF(AND(AT34=3,AK34="E",AV34&gt;=0.5),PTHealth*P34,0))))</f>
        <v>0</v>
      </c>
      <c r="BD34" s="462">
        <f>IF(AND(AT34&lt;&gt;0,AX34&gt;=MAXSSDI),SSDI*MAXSSDI*P34,IF(AT34&lt;&gt;0,SSDI*W34,0))</f>
        <v>4623.2160000000003</v>
      </c>
      <c r="BE34" s="462">
        <f>IF(AT34&lt;&gt;0,SSHI*W34,0)</f>
        <v>1081.2360000000001</v>
      </c>
      <c r="BF34" s="462">
        <f>IF(AND(AT34&lt;&gt;0,AN34&lt;&gt;"NE"),VLOOKUP(AN34,Retirement_Rates,3,FALSE)*W34,0)</f>
        <v>8903.4192000000003</v>
      </c>
      <c r="BG34" s="462">
        <f>IF(AND(AT34&lt;&gt;0,AJ34&lt;&gt;"PF"),Life*W34,0)</f>
        <v>537.63527999999997</v>
      </c>
      <c r="BH34" s="462">
        <f>IF(AND(AT34&lt;&gt;0,AM34="Y"),UI*W34,0)</f>
        <v>365.38319999999999</v>
      </c>
      <c r="BI34" s="462">
        <f>IF(AND(AT34&lt;&gt;0,N34&lt;&gt;"NR"),DHR*W34,0)</f>
        <v>413.10672</v>
      </c>
      <c r="BJ34" s="462">
        <f>IF(AT34&lt;&gt;0,WC*W34,0)</f>
        <v>149.136</v>
      </c>
      <c r="BK34" s="462">
        <f>IF(OR(AND(AT34&lt;&gt;0,AJ34&lt;&gt;"PF",AN34&lt;&gt;"NE",AG34&lt;&gt;"A"),AND(AL34="E",OR(AT34=1,AT34=3))),Sick*W34,0)</f>
        <v>0</v>
      </c>
      <c r="BL34" s="462">
        <f t="shared" si="5"/>
        <v>16073.132400000002</v>
      </c>
      <c r="BM34" s="462">
        <f t="shared" si="6"/>
        <v>0</v>
      </c>
      <c r="BN34" s="462">
        <f>IF(AND(AT34=1,AK34="E",AU34&gt;=0.75,AW34=1),HealthBY,IF(AND(AT34=1,AK34="E",AU34&gt;=0.75),HealthBY*P34,IF(AND(AT34=1,AK34="E",AU34&gt;=0.5,AW34=1),PTHealthBY,IF(AND(AT34=1,AK34="E",AU34&gt;=0.5),PTHealthBY*P34,0))))</f>
        <v>11650</v>
      </c>
      <c r="BO34" s="462">
        <f>IF(AND(AT34=3,AK34="E",AV34&gt;=0.75,AW34=1),HealthBY,IF(AND(AT34=3,AK34="E",AV34&gt;=0.75),HealthBY*P34,IF(AND(AT34=3,AK34="E",AV34&gt;=0.5,AW34=1),PTHealthBY,IF(AND(AT34=3,AK34="E",AV34&gt;=0.5),PTHealthBY*P34,0))))</f>
        <v>0</v>
      </c>
      <c r="BP34" s="462">
        <f>IF(AND(AT34&lt;&gt;0,(AX34+BA34)&gt;=MAXSSDIBY),SSDIBY*MAXSSDIBY*P34,IF(AT34&lt;&gt;0,SSDIBY*W34,0))</f>
        <v>4623.2160000000003</v>
      </c>
      <c r="BQ34" s="462">
        <f>IF(AT34&lt;&gt;0,SSHIBY*W34,0)</f>
        <v>1081.2360000000001</v>
      </c>
      <c r="BR34" s="462">
        <f>IF(AND(AT34&lt;&gt;0,AN34&lt;&gt;"NE"),VLOOKUP(AN34,Retirement_Rates,4,FALSE)*W34,0)</f>
        <v>8903.4192000000003</v>
      </c>
      <c r="BS34" s="462">
        <f>IF(AND(AT34&lt;&gt;0,AJ34&lt;&gt;"PF"),LifeBY*W34,0)</f>
        <v>537.63527999999997</v>
      </c>
      <c r="BT34" s="462">
        <f>IF(AND(AT34&lt;&gt;0,AM34="Y"),UIBY*W34,0)</f>
        <v>0</v>
      </c>
      <c r="BU34" s="462">
        <f>IF(AND(AT34&lt;&gt;0,N34&lt;&gt;"NR"),DHRBY*W34,0)</f>
        <v>413.10672</v>
      </c>
      <c r="BV34" s="462">
        <f>IF(AT34&lt;&gt;0,WCBY*W34,0)</f>
        <v>126.76559999999999</v>
      </c>
      <c r="BW34" s="462">
        <f>IF(OR(AND(AT34&lt;&gt;0,AJ34&lt;&gt;"PF",AN34&lt;&gt;"NE",AG34&lt;&gt;"A"),AND(AL34="E",OR(AT34=1,AT34=3))),SickBY*W34,0)</f>
        <v>0</v>
      </c>
      <c r="BX34" s="462">
        <f t="shared" si="7"/>
        <v>15685.378800000002</v>
      </c>
      <c r="BY34" s="462">
        <f t="shared" si="8"/>
        <v>0</v>
      </c>
      <c r="BZ34" s="462">
        <f t="shared" si="9"/>
        <v>0</v>
      </c>
      <c r="CA34" s="462">
        <f t="shared" si="10"/>
        <v>0</v>
      </c>
      <c r="CB34" s="462">
        <f t="shared" si="11"/>
        <v>0</v>
      </c>
      <c r="CC34" s="462">
        <f>IF(AT34&lt;&gt;0,SSHICHG*Y34,0)</f>
        <v>0</v>
      </c>
      <c r="CD34" s="462">
        <f>IF(AND(AT34&lt;&gt;0,AN34&lt;&gt;"NE"),VLOOKUP(AN34,Retirement_Rates,5,FALSE)*Y34,0)</f>
        <v>0</v>
      </c>
      <c r="CE34" s="462">
        <f>IF(AND(AT34&lt;&gt;0,AJ34&lt;&gt;"PF"),LifeCHG*Y34,0)</f>
        <v>0</v>
      </c>
      <c r="CF34" s="462">
        <f>IF(AND(AT34&lt;&gt;0,AM34="Y"),UICHG*Y34,0)</f>
        <v>-365.38319999999999</v>
      </c>
      <c r="CG34" s="462">
        <f>IF(AND(AT34&lt;&gt;0,N34&lt;&gt;"NR"),DHRCHG*Y34,0)</f>
        <v>0</v>
      </c>
      <c r="CH34" s="462">
        <f>IF(AT34&lt;&gt;0,WCCHG*Y34,0)</f>
        <v>-22.370400000000011</v>
      </c>
      <c r="CI34" s="462">
        <f>IF(OR(AND(AT34&lt;&gt;0,AJ34&lt;&gt;"PF",AN34&lt;&gt;"NE",AG34&lt;&gt;"A"),AND(AL34="E",OR(AT34=1,AT34=3))),SickCHG*Y34,0)</f>
        <v>0</v>
      </c>
      <c r="CJ34" s="462">
        <f t="shared" si="12"/>
        <v>-387.75360000000001</v>
      </c>
      <c r="CK34" s="462" t="str">
        <f t="shared" si="13"/>
        <v/>
      </c>
      <c r="CL34" s="462" t="str">
        <f t="shared" si="14"/>
        <v/>
      </c>
      <c r="CM34" s="462" t="str">
        <f t="shared" si="15"/>
        <v/>
      </c>
      <c r="CN34" s="462" t="str">
        <f t="shared" si="16"/>
        <v>0450-22</v>
      </c>
    </row>
    <row r="35" spans="1:92" ht="15" thickBot="1" x14ac:dyDescent="0.35">
      <c r="A35" s="376" t="s">
        <v>161</v>
      </c>
      <c r="B35" s="376" t="s">
        <v>162</v>
      </c>
      <c r="C35" s="376" t="s">
        <v>371</v>
      </c>
      <c r="D35" s="376" t="s">
        <v>356</v>
      </c>
      <c r="E35" s="376" t="s">
        <v>314</v>
      </c>
      <c r="F35" s="382" t="s">
        <v>357</v>
      </c>
      <c r="G35" s="376" t="s">
        <v>167</v>
      </c>
      <c r="H35" s="378"/>
      <c r="I35" s="378"/>
      <c r="J35" s="376" t="s">
        <v>168</v>
      </c>
      <c r="K35" s="376" t="s">
        <v>372</v>
      </c>
      <c r="L35" s="376" t="s">
        <v>220</v>
      </c>
      <c r="M35" s="376" t="s">
        <v>171</v>
      </c>
      <c r="N35" s="376" t="s">
        <v>172</v>
      </c>
      <c r="O35" s="379">
        <v>1</v>
      </c>
      <c r="P35" s="460">
        <v>0</v>
      </c>
      <c r="Q35" s="460">
        <v>0</v>
      </c>
      <c r="R35" s="380">
        <v>80</v>
      </c>
      <c r="S35" s="460">
        <v>0</v>
      </c>
      <c r="T35" s="380">
        <v>60684.5</v>
      </c>
      <c r="U35" s="380">
        <v>0</v>
      </c>
      <c r="V35" s="380">
        <v>24362.59</v>
      </c>
      <c r="W35" s="380">
        <v>0</v>
      </c>
      <c r="X35" s="380">
        <v>0</v>
      </c>
      <c r="Y35" s="380">
        <v>0</v>
      </c>
      <c r="Z35" s="380">
        <v>0</v>
      </c>
      <c r="AA35" s="376" t="s">
        <v>373</v>
      </c>
      <c r="AB35" s="376" t="s">
        <v>374</v>
      </c>
      <c r="AC35" s="376" t="s">
        <v>375</v>
      </c>
      <c r="AD35" s="376" t="s">
        <v>376</v>
      </c>
      <c r="AE35" s="376" t="s">
        <v>372</v>
      </c>
      <c r="AF35" s="376" t="s">
        <v>224</v>
      </c>
      <c r="AG35" s="376" t="s">
        <v>178</v>
      </c>
      <c r="AH35" s="381">
        <v>30.39</v>
      </c>
      <c r="AI35" s="381">
        <v>11822.6</v>
      </c>
      <c r="AJ35" s="376" t="s">
        <v>179</v>
      </c>
      <c r="AK35" s="376" t="s">
        <v>180</v>
      </c>
      <c r="AL35" s="376" t="s">
        <v>181</v>
      </c>
      <c r="AM35" s="376" t="s">
        <v>182</v>
      </c>
      <c r="AN35" s="376" t="s">
        <v>68</v>
      </c>
      <c r="AO35" s="379">
        <v>80</v>
      </c>
      <c r="AP35" s="460">
        <v>1</v>
      </c>
      <c r="AQ35" s="460">
        <v>0</v>
      </c>
      <c r="AR35" s="458" t="s">
        <v>183</v>
      </c>
      <c r="AS35" s="462">
        <f t="shared" si="0"/>
        <v>0</v>
      </c>
      <c r="AT35">
        <f t="shared" si="1"/>
        <v>0</v>
      </c>
      <c r="AU35" s="462" t="str">
        <f>IF(AT35=0,"",IF(AND(AT35=1,M35="F",SUMIF(C2:C170,C35,AS2:AS170)&lt;=1),SUMIF(C2:C170,C35,AS2:AS170),IF(AND(AT35=1,M35="F",SUMIF(C2:C170,C35,AS2:AS170)&gt;1),1,"")))</f>
        <v/>
      </c>
      <c r="AV35" s="462" t="str">
        <f>IF(AT35=0,"",IF(AND(AT35=3,M35="F",SUMIF(C2:C170,C35,AS2:AS170)&lt;=1),SUMIF(C2:C170,C35,AS2:AS170),IF(AND(AT35=3,M35="F",SUMIF(C2:C170,C35,AS2:AS170)&gt;1),1,"")))</f>
        <v/>
      </c>
      <c r="AW35" s="462">
        <f>SUMIF(C2:C170,C35,O2:O170)</f>
        <v>2</v>
      </c>
      <c r="AX35" s="462">
        <f>IF(AND(M35="F",AS35&lt;&gt;0),SUMIF(C2:C170,C35,W2:W170),0)</f>
        <v>0</v>
      </c>
      <c r="AY35" s="462" t="str">
        <f t="shared" si="2"/>
        <v/>
      </c>
      <c r="AZ35" s="462" t="str">
        <f t="shared" si="3"/>
        <v/>
      </c>
      <c r="BA35" s="462">
        <f t="shared" si="4"/>
        <v>0</v>
      </c>
      <c r="BB35" s="462">
        <f>IF(AND(AT35=1,AK35="E",AU35&gt;=0.75,AW35=1),Health,IF(AND(AT35=1,AK35="E",AU35&gt;=0.75),Health*P35,IF(AND(AT35=1,AK35="E",AU35&gt;=0.5,AW35=1),PTHealth,IF(AND(AT35=1,AK35="E",AU35&gt;=0.5),PTHealth*P35,0))))</f>
        <v>0</v>
      </c>
      <c r="BC35" s="462">
        <f>IF(AND(AT35=3,AK35="E",AV35&gt;=0.75,AW35=1),Health,IF(AND(AT35=3,AK35="E",AV35&gt;=0.75),Health*P35,IF(AND(AT35=3,AK35="E",AV35&gt;=0.5,AW35=1),PTHealth,IF(AND(AT35=3,AK35="E",AV35&gt;=0.5),PTHealth*P35,0))))</f>
        <v>0</v>
      </c>
      <c r="BD35" s="462">
        <f>IF(AND(AT35&lt;&gt;0,AX35&gt;=MAXSSDI),SSDI*MAXSSDI*P35,IF(AT35&lt;&gt;0,SSDI*W35,0))</f>
        <v>0</v>
      </c>
      <c r="BE35" s="462">
        <f>IF(AT35&lt;&gt;0,SSHI*W35,0)</f>
        <v>0</v>
      </c>
      <c r="BF35" s="462">
        <f>IF(AND(AT35&lt;&gt;0,AN35&lt;&gt;"NE"),VLOOKUP(AN35,Retirement_Rates,3,FALSE)*W35,0)</f>
        <v>0</v>
      </c>
      <c r="BG35" s="462">
        <f>IF(AND(AT35&lt;&gt;0,AJ35&lt;&gt;"PF"),Life*W35,0)</f>
        <v>0</v>
      </c>
      <c r="BH35" s="462">
        <f>IF(AND(AT35&lt;&gt;0,AM35="Y"),UI*W35,0)</f>
        <v>0</v>
      </c>
      <c r="BI35" s="462">
        <f>IF(AND(AT35&lt;&gt;0,N35&lt;&gt;"NR"),DHR*W35,0)</f>
        <v>0</v>
      </c>
      <c r="BJ35" s="462">
        <f>IF(AT35&lt;&gt;0,WC*W35,0)</f>
        <v>0</v>
      </c>
      <c r="BK35" s="462">
        <f>IF(OR(AND(AT35&lt;&gt;0,AJ35&lt;&gt;"PF",AN35&lt;&gt;"NE",AG35&lt;&gt;"A"),AND(AL35="E",OR(AT35=1,AT35=3))),Sick*W35,0)</f>
        <v>0</v>
      </c>
      <c r="BL35" s="462">
        <f t="shared" si="5"/>
        <v>0</v>
      </c>
      <c r="BM35" s="462">
        <f t="shared" si="6"/>
        <v>0</v>
      </c>
      <c r="BN35" s="462">
        <f>IF(AND(AT35=1,AK35="E",AU35&gt;=0.75,AW35=1),HealthBY,IF(AND(AT35=1,AK35="E",AU35&gt;=0.75),HealthBY*P35,IF(AND(AT35=1,AK35="E",AU35&gt;=0.5,AW35=1),PTHealthBY,IF(AND(AT35=1,AK35="E",AU35&gt;=0.5),PTHealthBY*P35,0))))</f>
        <v>0</v>
      </c>
      <c r="BO35" s="462">
        <f>IF(AND(AT35=3,AK35="E",AV35&gt;=0.75,AW35=1),HealthBY,IF(AND(AT35=3,AK35="E",AV35&gt;=0.75),HealthBY*P35,IF(AND(AT35=3,AK35="E",AV35&gt;=0.5,AW35=1),PTHealthBY,IF(AND(AT35=3,AK35="E",AV35&gt;=0.5),PTHealthBY*P35,0))))</f>
        <v>0</v>
      </c>
      <c r="BP35" s="462">
        <f>IF(AND(AT35&lt;&gt;0,(AX35+BA35)&gt;=MAXSSDIBY),SSDIBY*MAXSSDIBY*P35,IF(AT35&lt;&gt;0,SSDIBY*W35,0))</f>
        <v>0</v>
      </c>
      <c r="BQ35" s="462">
        <f>IF(AT35&lt;&gt;0,SSHIBY*W35,0)</f>
        <v>0</v>
      </c>
      <c r="BR35" s="462">
        <f>IF(AND(AT35&lt;&gt;0,AN35&lt;&gt;"NE"),VLOOKUP(AN35,Retirement_Rates,4,FALSE)*W35,0)</f>
        <v>0</v>
      </c>
      <c r="BS35" s="462">
        <f>IF(AND(AT35&lt;&gt;0,AJ35&lt;&gt;"PF"),LifeBY*W35,0)</f>
        <v>0</v>
      </c>
      <c r="BT35" s="462">
        <f>IF(AND(AT35&lt;&gt;0,AM35="Y"),UIBY*W35,0)</f>
        <v>0</v>
      </c>
      <c r="BU35" s="462">
        <f>IF(AND(AT35&lt;&gt;0,N35&lt;&gt;"NR"),DHRBY*W35,0)</f>
        <v>0</v>
      </c>
      <c r="BV35" s="462">
        <f>IF(AT35&lt;&gt;0,WCBY*W35,0)</f>
        <v>0</v>
      </c>
      <c r="BW35" s="462">
        <f>IF(OR(AND(AT35&lt;&gt;0,AJ35&lt;&gt;"PF",AN35&lt;&gt;"NE",AG35&lt;&gt;"A"),AND(AL35="E",OR(AT35=1,AT35=3))),SickBY*W35,0)</f>
        <v>0</v>
      </c>
      <c r="BX35" s="462">
        <f t="shared" si="7"/>
        <v>0</v>
      </c>
      <c r="BY35" s="462">
        <f t="shared" si="8"/>
        <v>0</v>
      </c>
      <c r="BZ35" s="462">
        <f t="shared" si="9"/>
        <v>0</v>
      </c>
      <c r="CA35" s="462">
        <f t="shared" si="10"/>
        <v>0</v>
      </c>
      <c r="CB35" s="462">
        <f t="shared" si="11"/>
        <v>0</v>
      </c>
      <c r="CC35" s="462">
        <f>IF(AT35&lt;&gt;0,SSHICHG*Y35,0)</f>
        <v>0</v>
      </c>
      <c r="CD35" s="462">
        <f>IF(AND(AT35&lt;&gt;0,AN35&lt;&gt;"NE"),VLOOKUP(AN35,Retirement_Rates,5,FALSE)*Y35,0)</f>
        <v>0</v>
      </c>
      <c r="CE35" s="462">
        <f>IF(AND(AT35&lt;&gt;0,AJ35&lt;&gt;"PF"),LifeCHG*Y35,0)</f>
        <v>0</v>
      </c>
      <c r="CF35" s="462">
        <f>IF(AND(AT35&lt;&gt;0,AM35="Y"),UICHG*Y35,0)</f>
        <v>0</v>
      </c>
      <c r="CG35" s="462">
        <f>IF(AND(AT35&lt;&gt;0,N35&lt;&gt;"NR"),DHRCHG*Y35,0)</f>
        <v>0</v>
      </c>
      <c r="CH35" s="462">
        <f>IF(AT35&lt;&gt;0,WCCHG*Y35,0)</f>
        <v>0</v>
      </c>
      <c r="CI35" s="462">
        <f>IF(OR(AND(AT35&lt;&gt;0,AJ35&lt;&gt;"PF",AN35&lt;&gt;"NE",AG35&lt;&gt;"A"),AND(AL35="E",OR(AT35=1,AT35=3))),SickCHG*Y35,0)</f>
        <v>0</v>
      </c>
      <c r="CJ35" s="462">
        <f t="shared" si="12"/>
        <v>0</v>
      </c>
      <c r="CK35" s="462" t="str">
        <f t="shared" si="13"/>
        <v/>
      </c>
      <c r="CL35" s="462" t="str">
        <f t="shared" si="14"/>
        <v/>
      </c>
      <c r="CM35" s="462" t="str">
        <f t="shared" si="15"/>
        <v/>
      </c>
      <c r="CN35" s="462" t="str">
        <f t="shared" si="16"/>
        <v>0450-22</v>
      </c>
    </row>
    <row r="36" spans="1:92" ht="15" thickBot="1" x14ac:dyDescent="0.35">
      <c r="A36" s="376" t="s">
        <v>161</v>
      </c>
      <c r="B36" s="376" t="s">
        <v>162</v>
      </c>
      <c r="C36" s="376" t="s">
        <v>377</v>
      </c>
      <c r="D36" s="376" t="s">
        <v>313</v>
      </c>
      <c r="E36" s="376" t="s">
        <v>314</v>
      </c>
      <c r="F36" s="382" t="s">
        <v>357</v>
      </c>
      <c r="G36" s="376" t="s">
        <v>167</v>
      </c>
      <c r="H36" s="378"/>
      <c r="I36" s="378"/>
      <c r="J36" s="376" t="s">
        <v>168</v>
      </c>
      <c r="K36" s="376" t="s">
        <v>344</v>
      </c>
      <c r="L36" s="376" t="s">
        <v>181</v>
      </c>
      <c r="M36" s="376" t="s">
        <v>171</v>
      </c>
      <c r="N36" s="376" t="s">
        <v>172</v>
      </c>
      <c r="O36" s="379">
        <v>1</v>
      </c>
      <c r="P36" s="460">
        <v>1</v>
      </c>
      <c r="Q36" s="460">
        <v>1</v>
      </c>
      <c r="R36" s="380">
        <v>80</v>
      </c>
      <c r="S36" s="460">
        <v>1</v>
      </c>
      <c r="T36" s="380">
        <v>0</v>
      </c>
      <c r="U36" s="380">
        <v>0</v>
      </c>
      <c r="V36" s="380">
        <v>0</v>
      </c>
      <c r="W36" s="380">
        <v>88504</v>
      </c>
      <c r="X36" s="380">
        <v>30726.99</v>
      </c>
      <c r="Y36" s="380">
        <v>88504</v>
      </c>
      <c r="Z36" s="380">
        <v>30266.78</v>
      </c>
      <c r="AA36" s="376" t="s">
        <v>378</v>
      </c>
      <c r="AB36" s="376" t="s">
        <v>379</v>
      </c>
      <c r="AC36" s="376" t="s">
        <v>194</v>
      </c>
      <c r="AD36" s="376" t="s">
        <v>270</v>
      </c>
      <c r="AE36" s="376" t="s">
        <v>344</v>
      </c>
      <c r="AF36" s="376" t="s">
        <v>349</v>
      </c>
      <c r="AG36" s="376" t="s">
        <v>178</v>
      </c>
      <c r="AH36" s="381">
        <v>42.55</v>
      </c>
      <c r="AI36" s="379">
        <v>35952</v>
      </c>
      <c r="AJ36" s="376" t="s">
        <v>179</v>
      </c>
      <c r="AK36" s="376" t="s">
        <v>180</v>
      </c>
      <c r="AL36" s="376" t="s">
        <v>181</v>
      </c>
      <c r="AM36" s="376" t="s">
        <v>182</v>
      </c>
      <c r="AN36" s="376" t="s">
        <v>68</v>
      </c>
      <c r="AO36" s="379">
        <v>80</v>
      </c>
      <c r="AP36" s="460">
        <v>1</v>
      </c>
      <c r="AQ36" s="460">
        <v>1</v>
      </c>
      <c r="AR36" s="458" t="s">
        <v>183</v>
      </c>
      <c r="AS36" s="462">
        <f t="shared" si="0"/>
        <v>1</v>
      </c>
      <c r="AT36">
        <f t="shared" si="1"/>
        <v>1</v>
      </c>
      <c r="AU36" s="462">
        <f>IF(AT36=0,"",IF(AND(AT36=1,M36="F",SUMIF(C2:C170,C36,AS2:AS170)&lt;=1),SUMIF(C2:C170,C36,AS2:AS170),IF(AND(AT36=1,M36="F",SUMIF(C2:C170,C36,AS2:AS170)&gt;1),1,"")))</f>
        <v>1</v>
      </c>
      <c r="AV36" s="462" t="str">
        <f>IF(AT36=0,"",IF(AND(AT36=3,M36="F",SUMIF(C2:C170,C36,AS2:AS170)&lt;=1),SUMIF(C2:C170,C36,AS2:AS170),IF(AND(AT36=3,M36="F",SUMIF(C2:C170,C36,AS2:AS170)&gt;1),1,"")))</f>
        <v/>
      </c>
      <c r="AW36" s="462">
        <f>SUMIF(C2:C170,C36,O2:O170)</f>
        <v>2</v>
      </c>
      <c r="AX36" s="462">
        <f>IF(AND(M36="F",AS36&lt;&gt;0),SUMIF(C2:C170,C36,W2:W170),0)</f>
        <v>88504</v>
      </c>
      <c r="AY36" s="462">
        <f t="shared" si="2"/>
        <v>88504</v>
      </c>
      <c r="AZ36" s="462" t="str">
        <f t="shared" si="3"/>
        <v/>
      </c>
      <c r="BA36" s="462">
        <f t="shared" si="4"/>
        <v>0</v>
      </c>
      <c r="BB36" s="462">
        <f>IF(AND(AT36=1,AK36="E",AU36&gt;=0.75,AW36=1),Health,IF(AND(AT36=1,AK36="E",AU36&gt;=0.75),Health*P36,IF(AND(AT36=1,AK36="E",AU36&gt;=0.5,AW36=1),PTHealth,IF(AND(AT36=1,AK36="E",AU36&gt;=0.5),PTHealth*P36,0))))</f>
        <v>11650</v>
      </c>
      <c r="BC36" s="462">
        <f>IF(AND(AT36=3,AK36="E",AV36&gt;=0.75,AW36=1),Health,IF(AND(AT36=3,AK36="E",AV36&gt;=0.75),Health*P36,IF(AND(AT36=3,AK36="E",AV36&gt;=0.5,AW36=1),PTHealth,IF(AND(AT36=3,AK36="E",AV36&gt;=0.5),PTHealth*P36,0))))</f>
        <v>0</v>
      </c>
      <c r="BD36" s="462">
        <f>IF(AND(AT36&lt;&gt;0,AX36&gt;=MAXSSDI),SSDI*MAXSSDI*P36,IF(AT36&lt;&gt;0,SSDI*W36,0))</f>
        <v>5487.2479999999996</v>
      </c>
      <c r="BE36" s="462">
        <f>IF(AT36&lt;&gt;0,SSHI*W36,0)</f>
        <v>1283.308</v>
      </c>
      <c r="BF36" s="462">
        <f>IF(AND(AT36&lt;&gt;0,AN36&lt;&gt;"NE"),VLOOKUP(AN36,Retirement_Rates,3,FALSE)*W36,0)</f>
        <v>10567.3776</v>
      </c>
      <c r="BG36" s="462">
        <f>IF(AND(AT36&lt;&gt;0,AJ36&lt;&gt;"PF"),Life*W36,0)</f>
        <v>638.11383999999998</v>
      </c>
      <c r="BH36" s="462">
        <f>IF(AND(AT36&lt;&gt;0,AM36="Y"),UI*W36,0)</f>
        <v>433.6696</v>
      </c>
      <c r="BI36" s="462">
        <f>IF(AND(AT36&lt;&gt;0,N36&lt;&gt;"NR"),DHR*W36,0)</f>
        <v>490.31216000000001</v>
      </c>
      <c r="BJ36" s="462">
        <f>IF(AT36&lt;&gt;0,WC*W36,0)</f>
        <v>177.00800000000001</v>
      </c>
      <c r="BK36" s="462">
        <f>IF(OR(AND(AT36&lt;&gt;0,AJ36&lt;&gt;"PF",AN36&lt;&gt;"NE",AG36&lt;&gt;"A"),AND(AL36="E",OR(AT36=1,AT36=3))),Sick*W36,0)</f>
        <v>0</v>
      </c>
      <c r="BL36" s="462">
        <f t="shared" si="5"/>
        <v>19077.037200000006</v>
      </c>
      <c r="BM36" s="462">
        <f t="shared" si="6"/>
        <v>0</v>
      </c>
      <c r="BN36" s="462">
        <f>IF(AND(AT36=1,AK36="E",AU36&gt;=0.75,AW36=1),HealthBY,IF(AND(AT36=1,AK36="E",AU36&gt;=0.75),HealthBY*P36,IF(AND(AT36=1,AK36="E",AU36&gt;=0.5,AW36=1),PTHealthBY,IF(AND(AT36=1,AK36="E",AU36&gt;=0.5),PTHealthBY*P36,0))))</f>
        <v>11650</v>
      </c>
      <c r="BO36" s="462">
        <f>IF(AND(AT36=3,AK36="E",AV36&gt;=0.75,AW36=1),HealthBY,IF(AND(AT36=3,AK36="E",AV36&gt;=0.75),HealthBY*P36,IF(AND(AT36=3,AK36="E",AV36&gt;=0.5,AW36=1),PTHealthBY,IF(AND(AT36=3,AK36="E",AV36&gt;=0.5),PTHealthBY*P36,0))))</f>
        <v>0</v>
      </c>
      <c r="BP36" s="462">
        <f>IF(AND(AT36&lt;&gt;0,(AX36+BA36)&gt;=MAXSSDIBY),SSDIBY*MAXSSDIBY*P36,IF(AT36&lt;&gt;0,SSDIBY*W36,0))</f>
        <v>5487.2479999999996</v>
      </c>
      <c r="BQ36" s="462">
        <f>IF(AT36&lt;&gt;0,SSHIBY*W36,0)</f>
        <v>1283.308</v>
      </c>
      <c r="BR36" s="462">
        <f>IF(AND(AT36&lt;&gt;0,AN36&lt;&gt;"NE"),VLOOKUP(AN36,Retirement_Rates,4,FALSE)*W36,0)</f>
        <v>10567.3776</v>
      </c>
      <c r="BS36" s="462">
        <f>IF(AND(AT36&lt;&gt;0,AJ36&lt;&gt;"PF"),LifeBY*W36,0)</f>
        <v>638.11383999999998</v>
      </c>
      <c r="BT36" s="462">
        <f>IF(AND(AT36&lt;&gt;0,AM36="Y"),UIBY*W36,0)</f>
        <v>0</v>
      </c>
      <c r="BU36" s="462">
        <f>IF(AND(AT36&lt;&gt;0,N36&lt;&gt;"NR"),DHRBY*W36,0)</f>
        <v>490.31216000000001</v>
      </c>
      <c r="BV36" s="462">
        <f>IF(AT36&lt;&gt;0,WCBY*W36,0)</f>
        <v>150.45679999999999</v>
      </c>
      <c r="BW36" s="462">
        <f>IF(OR(AND(AT36&lt;&gt;0,AJ36&lt;&gt;"PF",AN36&lt;&gt;"NE",AG36&lt;&gt;"A"),AND(AL36="E",OR(AT36=1,AT36=3))),SickBY*W36,0)</f>
        <v>0</v>
      </c>
      <c r="BX36" s="462">
        <f t="shared" si="7"/>
        <v>18616.816400000003</v>
      </c>
      <c r="BY36" s="462">
        <f t="shared" si="8"/>
        <v>0</v>
      </c>
      <c r="BZ36" s="462">
        <f t="shared" si="9"/>
        <v>0</v>
      </c>
      <c r="CA36" s="462">
        <f t="shared" si="10"/>
        <v>0</v>
      </c>
      <c r="CB36" s="462">
        <f t="shared" si="11"/>
        <v>0</v>
      </c>
      <c r="CC36" s="462">
        <f>IF(AT36&lt;&gt;0,SSHICHG*Y36,0)</f>
        <v>0</v>
      </c>
      <c r="CD36" s="462">
        <f>IF(AND(AT36&lt;&gt;0,AN36&lt;&gt;"NE"),VLOOKUP(AN36,Retirement_Rates,5,FALSE)*Y36,0)</f>
        <v>0</v>
      </c>
      <c r="CE36" s="462">
        <f>IF(AND(AT36&lt;&gt;0,AJ36&lt;&gt;"PF"),LifeCHG*Y36,0)</f>
        <v>0</v>
      </c>
      <c r="CF36" s="462">
        <f>IF(AND(AT36&lt;&gt;0,AM36="Y"),UICHG*Y36,0)</f>
        <v>-433.6696</v>
      </c>
      <c r="CG36" s="462">
        <f>IF(AND(AT36&lt;&gt;0,N36&lt;&gt;"NR"),DHRCHG*Y36,0)</f>
        <v>0</v>
      </c>
      <c r="CH36" s="462">
        <f>IF(AT36&lt;&gt;0,WCCHG*Y36,0)</f>
        <v>-26.551200000000012</v>
      </c>
      <c r="CI36" s="462">
        <f>IF(OR(AND(AT36&lt;&gt;0,AJ36&lt;&gt;"PF",AN36&lt;&gt;"NE",AG36&lt;&gt;"A"),AND(AL36="E",OR(AT36=1,AT36=3))),SickCHG*Y36,0)</f>
        <v>0</v>
      </c>
      <c r="CJ36" s="462">
        <f t="shared" si="12"/>
        <v>-460.2208</v>
      </c>
      <c r="CK36" s="462" t="str">
        <f t="shared" si="13"/>
        <v/>
      </c>
      <c r="CL36" s="462" t="str">
        <f t="shared" si="14"/>
        <v/>
      </c>
      <c r="CM36" s="462" t="str">
        <f t="shared" si="15"/>
        <v/>
      </c>
      <c r="CN36" s="462" t="str">
        <f t="shared" si="16"/>
        <v>0450-22</v>
      </c>
    </row>
    <row r="37" spans="1:92" ht="15" thickBot="1" x14ac:dyDescent="0.35">
      <c r="A37" s="376" t="s">
        <v>161</v>
      </c>
      <c r="B37" s="376" t="s">
        <v>162</v>
      </c>
      <c r="C37" s="376" t="s">
        <v>380</v>
      </c>
      <c r="D37" s="376" t="s">
        <v>381</v>
      </c>
      <c r="E37" s="376" t="s">
        <v>314</v>
      </c>
      <c r="F37" s="382" t="s">
        <v>382</v>
      </c>
      <c r="G37" s="376" t="s">
        <v>167</v>
      </c>
      <c r="H37" s="378"/>
      <c r="I37" s="378"/>
      <c r="J37" s="376" t="s">
        <v>168</v>
      </c>
      <c r="K37" s="376" t="s">
        <v>383</v>
      </c>
      <c r="L37" s="376" t="s">
        <v>216</v>
      </c>
      <c r="M37" s="376" t="s">
        <v>171</v>
      </c>
      <c r="N37" s="376" t="s">
        <v>172</v>
      </c>
      <c r="O37" s="379">
        <v>1</v>
      </c>
      <c r="P37" s="460">
        <v>0</v>
      </c>
      <c r="Q37" s="460">
        <v>0</v>
      </c>
      <c r="R37" s="380">
        <v>80</v>
      </c>
      <c r="S37" s="460">
        <v>0</v>
      </c>
      <c r="T37" s="380">
        <v>55608</v>
      </c>
      <c r="U37" s="380">
        <v>0</v>
      </c>
      <c r="V37" s="380">
        <v>20934.080000000002</v>
      </c>
      <c r="W37" s="380">
        <v>0</v>
      </c>
      <c r="X37" s="380">
        <v>0</v>
      </c>
      <c r="Y37" s="380">
        <v>0</v>
      </c>
      <c r="Z37" s="380">
        <v>0</v>
      </c>
      <c r="AA37" s="376" t="s">
        <v>384</v>
      </c>
      <c r="AB37" s="376" t="s">
        <v>385</v>
      </c>
      <c r="AC37" s="376" t="s">
        <v>386</v>
      </c>
      <c r="AD37" s="376" t="s">
        <v>276</v>
      </c>
      <c r="AE37" s="376" t="s">
        <v>383</v>
      </c>
      <c r="AF37" s="376" t="s">
        <v>311</v>
      </c>
      <c r="AG37" s="376" t="s">
        <v>178</v>
      </c>
      <c r="AH37" s="381">
        <v>34.590000000000003</v>
      </c>
      <c r="AI37" s="381">
        <v>24642.1</v>
      </c>
      <c r="AJ37" s="376" t="s">
        <v>179</v>
      </c>
      <c r="AK37" s="376" t="s">
        <v>180</v>
      </c>
      <c r="AL37" s="376" t="s">
        <v>181</v>
      </c>
      <c r="AM37" s="376" t="s">
        <v>182</v>
      </c>
      <c r="AN37" s="376" t="s">
        <v>68</v>
      </c>
      <c r="AO37" s="379">
        <v>80</v>
      </c>
      <c r="AP37" s="460">
        <v>1</v>
      </c>
      <c r="AQ37" s="460">
        <v>0</v>
      </c>
      <c r="AR37" s="458" t="s">
        <v>183</v>
      </c>
      <c r="AS37" s="462">
        <f t="shared" si="0"/>
        <v>0</v>
      </c>
      <c r="AT37">
        <f t="shared" si="1"/>
        <v>0</v>
      </c>
      <c r="AU37" s="462" t="str">
        <f>IF(AT37=0,"",IF(AND(AT37=1,M37="F",SUMIF(C2:C170,C37,AS2:AS170)&lt;=1),SUMIF(C2:C170,C37,AS2:AS170),IF(AND(AT37=1,M37="F",SUMIF(C2:C170,C37,AS2:AS170)&gt;1),1,"")))</f>
        <v/>
      </c>
      <c r="AV37" s="462" t="str">
        <f>IF(AT37=0,"",IF(AND(AT37=3,M37="F",SUMIF(C2:C170,C37,AS2:AS170)&lt;=1),SUMIF(C2:C170,C37,AS2:AS170),IF(AND(AT37=3,M37="F",SUMIF(C2:C170,C37,AS2:AS170)&gt;1),1,"")))</f>
        <v/>
      </c>
      <c r="AW37" s="462">
        <f>SUMIF(C2:C170,C37,O2:O170)</f>
        <v>2</v>
      </c>
      <c r="AX37" s="462">
        <f>IF(AND(M37="F",AS37&lt;&gt;0),SUMIF(C2:C170,C37,W2:W170),0)</f>
        <v>0</v>
      </c>
      <c r="AY37" s="462" t="str">
        <f t="shared" si="2"/>
        <v/>
      </c>
      <c r="AZ37" s="462" t="str">
        <f t="shared" si="3"/>
        <v/>
      </c>
      <c r="BA37" s="462">
        <f t="shared" si="4"/>
        <v>0</v>
      </c>
      <c r="BB37" s="462">
        <f>IF(AND(AT37=1,AK37="E",AU37&gt;=0.75,AW37=1),Health,IF(AND(AT37=1,AK37="E",AU37&gt;=0.75),Health*P37,IF(AND(AT37=1,AK37="E",AU37&gt;=0.5,AW37=1),PTHealth,IF(AND(AT37=1,AK37="E",AU37&gt;=0.5),PTHealth*P37,0))))</f>
        <v>0</v>
      </c>
      <c r="BC37" s="462">
        <f>IF(AND(AT37=3,AK37="E",AV37&gt;=0.75,AW37=1),Health,IF(AND(AT37=3,AK37="E",AV37&gt;=0.75),Health*P37,IF(AND(AT37=3,AK37="E",AV37&gt;=0.5,AW37=1),PTHealth,IF(AND(AT37=3,AK37="E",AV37&gt;=0.5),PTHealth*P37,0))))</f>
        <v>0</v>
      </c>
      <c r="BD37" s="462">
        <f>IF(AND(AT37&lt;&gt;0,AX37&gt;=MAXSSDI),SSDI*MAXSSDI*P37,IF(AT37&lt;&gt;0,SSDI*W37,0))</f>
        <v>0</v>
      </c>
      <c r="BE37" s="462">
        <f>IF(AT37&lt;&gt;0,SSHI*W37,0)</f>
        <v>0</v>
      </c>
      <c r="BF37" s="462">
        <f>IF(AND(AT37&lt;&gt;0,AN37&lt;&gt;"NE"),VLOOKUP(AN37,Retirement_Rates,3,FALSE)*W37,0)</f>
        <v>0</v>
      </c>
      <c r="BG37" s="462">
        <f>IF(AND(AT37&lt;&gt;0,AJ37&lt;&gt;"PF"),Life*W37,0)</f>
        <v>0</v>
      </c>
      <c r="BH37" s="462">
        <f>IF(AND(AT37&lt;&gt;0,AM37="Y"),UI*W37,0)</f>
        <v>0</v>
      </c>
      <c r="BI37" s="462">
        <f>IF(AND(AT37&lt;&gt;0,N37&lt;&gt;"NR"),DHR*W37,0)</f>
        <v>0</v>
      </c>
      <c r="BJ37" s="462">
        <f>IF(AT37&lt;&gt;0,WC*W37,0)</f>
        <v>0</v>
      </c>
      <c r="BK37" s="462">
        <f>IF(OR(AND(AT37&lt;&gt;0,AJ37&lt;&gt;"PF",AN37&lt;&gt;"NE",AG37&lt;&gt;"A"),AND(AL37="E",OR(AT37=1,AT37=3))),Sick*W37,0)</f>
        <v>0</v>
      </c>
      <c r="BL37" s="462">
        <f t="shared" si="5"/>
        <v>0</v>
      </c>
      <c r="BM37" s="462">
        <f t="shared" si="6"/>
        <v>0</v>
      </c>
      <c r="BN37" s="462">
        <f>IF(AND(AT37=1,AK37="E",AU37&gt;=0.75,AW37=1),HealthBY,IF(AND(AT37=1,AK37="E",AU37&gt;=0.75),HealthBY*P37,IF(AND(AT37=1,AK37="E",AU37&gt;=0.5,AW37=1),PTHealthBY,IF(AND(AT37=1,AK37="E",AU37&gt;=0.5),PTHealthBY*P37,0))))</f>
        <v>0</v>
      </c>
      <c r="BO37" s="462">
        <f>IF(AND(AT37=3,AK37="E",AV37&gt;=0.75,AW37=1),HealthBY,IF(AND(AT37=3,AK37="E",AV37&gt;=0.75),HealthBY*P37,IF(AND(AT37=3,AK37="E",AV37&gt;=0.5,AW37=1),PTHealthBY,IF(AND(AT37=3,AK37="E",AV37&gt;=0.5),PTHealthBY*P37,0))))</f>
        <v>0</v>
      </c>
      <c r="BP37" s="462">
        <f>IF(AND(AT37&lt;&gt;0,(AX37+BA37)&gt;=MAXSSDIBY),SSDIBY*MAXSSDIBY*P37,IF(AT37&lt;&gt;0,SSDIBY*W37,0))</f>
        <v>0</v>
      </c>
      <c r="BQ37" s="462">
        <f>IF(AT37&lt;&gt;0,SSHIBY*W37,0)</f>
        <v>0</v>
      </c>
      <c r="BR37" s="462">
        <f>IF(AND(AT37&lt;&gt;0,AN37&lt;&gt;"NE"),VLOOKUP(AN37,Retirement_Rates,4,FALSE)*W37,0)</f>
        <v>0</v>
      </c>
      <c r="BS37" s="462">
        <f>IF(AND(AT37&lt;&gt;0,AJ37&lt;&gt;"PF"),LifeBY*W37,0)</f>
        <v>0</v>
      </c>
      <c r="BT37" s="462">
        <f>IF(AND(AT37&lt;&gt;0,AM37="Y"),UIBY*W37,0)</f>
        <v>0</v>
      </c>
      <c r="BU37" s="462">
        <f>IF(AND(AT37&lt;&gt;0,N37&lt;&gt;"NR"),DHRBY*W37,0)</f>
        <v>0</v>
      </c>
      <c r="BV37" s="462">
        <f>IF(AT37&lt;&gt;0,WCBY*W37,0)</f>
        <v>0</v>
      </c>
      <c r="BW37" s="462">
        <f>IF(OR(AND(AT37&lt;&gt;0,AJ37&lt;&gt;"PF",AN37&lt;&gt;"NE",AG37&lt;&gt;"A"),AND(AL37="E",OR(AT37=1,AT37=3))),SickBY*W37,0)</f>
        <v>0</v>
      </c>
      <c r="BX37" s="462">
        <f t="shared" si="7"/>
        <v>0</v>
      </c>
      <c r="BY37" s="462">
        <f t="shared" si="8"/>
        <v>0</v>
      </c>
      <c r="BZ37" s="462">
        <f t="shared" si="9"/>
        <v>0</v>
      </c>
      <c r="CA37" s="462">
        <f t="shared" si="10"/>
        <v>0</v>
      </c>
      <c r="CB37" s="462">
        <f t="shared" si="11"/>
        <v>0</v>
      </c>
      <c r="CC37" s="462">
        <f>IF(AT37&lt;&gt;0,SSHICHG*Y37,0)</f>
        <v>0</v>
      </c>
      <c r="CD37" s="462">
        <f>IF(AND(AT37&lt;&gt;0,AN37&lt;&gt;"NE"),VLOOKUP(AN37,Retirement_Rates,5,FALSE)*Y37,0)</f>
        <v>0</v>
      </c>
      <c r="CE37" s="462">
        <f>IF(AND(AT37&lt;&gt;0,AJ37&lt;&gt;"PF"),LifeCHG*Y37,0)</f>
        <v>0</v>
      </c>
      <c r="CF37" s="462">
        <f>IF(AND(AT37&lt;&gt;0,AM37="Y"),UICHG*Y37,0)</f>
        <v>0</v>
      </c>
      <c r="CG37" s="462">
        <f>IF(AND(AT37&lt;&gt;0,N37&lt;&gt;"NR"),DHRCHG*Y37,0)</f>
        <v>0</v>
      </c>
      <c r="CH37" s="462">
        <f>IF(AT37&lt;&gt;0,WCCHG*Y37,0)</f>
        <v>0</v>
      </c>
      <c r="CI37" s="462">
        <f>IF(OR(AND(AT37&lt;&gt;0,AJ37&lt;&gt;"PF",AN37&lt;&gt;"NE",AG37&lt;&gt;"A"),AND(AL37="E",OR(AT37=1,AT37=3))),SickCHG*Y37,0)</f>
        <v>0</v>
      </c>
      <c r="CJ37" s="462">
        <f t="shared" si="12"/>
        <v>0</v>
      </c>
      <c r="CK37" s="462" t="str">
        <f t="shared" si="13"/>
        <v/>
      </c>
      <c r="CL37" s="462" t="str">
        <f t="shared" si="14"/>
        <v/>
      </c>
      <c r="CM37" s="462" t="str">
        <f t="shared" si="15"/>
        <v/>
      </c>
      <c r="CN37" s="462" t="str">
        <f t="shared" si="16"/>
        <v>0450-35</v>
      </c>
    </row>
    <row r="38" spans="1:92" ht="15" thickBot="1" x14ac:dyDescent="0.35">
      <c r="A38" s="376" t="s">
        <v>161</v>
      </c>
      <c r="B38" s="376" t="s">
        <v>162</v>
      </c>
      <c r="C38" s="376" t="s">
        <v>266</v>
      </c>
      <c r="D38" s="376" t="s">
        <v>211</v>
      </c>
      <c r="E38" s="376" t="s">
        <v>314</v>
      </c>
      <c r="F38" s="382" t="s">
        <v>382</v>
      </c>
      <c r="G38" s="376" t="s">
        <v>167</v>
      </c>
      <c r="H38" s="378"/>
      <c r="I38" s="378"/>
      <c r="J38" s="376" t="s">
        <v>168</v>
      </c>
      <c r="K38" s="376" t="s">
        <v>212</v>
      </c>
      <c r="L38" s="376" t="s">
        <v>170</v>
      </c>
      <c r="M38" s="376" t="s">
        <v>171</v>
      </c>
      <c r="N38" s="376" t="s">
        <v>172</v>
      </c>
      <c r="O38" s="379">
        <v>1</v>
      </c>
      <c r="P38" s="460">
        <v>0</v>
      </c>
      <c r="Q38" s="460">
        <v>0</v>
      </c>
      <c r="R38" s="380">
        <v>80</v>
      </c>
      <c r="S38" s="460">
        <v>0</v>
      </c>
      <c r="T38" s="380">
        <v>70536.399999999994</v>
      </c>
      <c r="U38" s="380">
        <v>0</v>
      </c>
      <c r="V38" s="380">
        <v>25189.52</v>
      </c>
      <c r="W38" s="380">
        <v>0</v>
      </c>
      <c r="X38" s="380">
        <v>0</v>
      </c>
      <c r="Y38" s="380">
        <v>0</v>
      </c>
      <c r="Z38" s="380">
        <v>0</v>
      </c>
      <c r="AA38" s="376" t="s">
        <v>267</v>
      </c>
      <c r="AB38" s="376" t="s">
        <v>268</v>
      </c>
      <c r="AC38" s="376" t="s">
        <v>269</v>
      </c>
      <c r="AD38" s="376" t="s">
        <v>270</v>
      </c>
      <c r="AE38" s="376" t="s">
        <v>212</v>
      </c>
      <c r="AF38" s="376" t="s">
        <v>177</v>
      </c>
      <c r="AG38" s="376" t="s">
        <v>178</v>
      </c>
      <c r="AH38" s="381">
        <v>44.95</v>
      </c>
      <c r="AI38" s="381">
        <v>2059.1</v>
      </c>
      <c r="AJ38" s="376" t="s">
        <v>179</v>
      </c>
      <c r="AK38" s="376" t="s">
        <v>180</v>
      </c>
      <c r="AL38" s="376" t="s">
        <v>181</v>
      </c>
      <c r="AM38" s="376" t="s">
        <v>182</v>
      </c>
      <c r="AN38" s="376" t="s">
        <v>68</v>
      </c>
      <c r="AO38" s="379">
        <v>80</v>
      </c>
      <c r="AP38" s="460">
        <v>1</v>
      </c>
      <c r="AQ38" s="460">
        <v>0</v>
      </c>
      <c r="AR38" s="458" t="s">
        <v>183</v>
      </c>
      <c r="AS38" s="462">
        <f t="shared" si="0"/>
        <v>0</v>
      </c>
      <c r="AT38">
        <f t="shared" si="1"/>
        <v>0</v>
      </c>
      <c r="AU38" s="462" t="str">
        <f>IF(AT38=0,"",IF(AND(AT38=1,M38="F",SUMIF(C2:C170,C38,AS2:AS170)&lt;=1),SUMIF(C2:C170,C38,AS2:AS170),IF(AND(AT38=1,M38="F",SUMIF(C2:C170,C38,AS2:AS170)&gt;1),1,"")))</f>
        <v/>
      </c>
      <c r="AV38" s="462" t="str">
        <f>IF(AT38=0,"",IF(AND(AT38=3,M38="F",SUMIF(C2:C170,C38,AS2:AS170)&lt;=1),SUMIF(C2:C170,C38,AS2:AS170),IF(AND(AT38=3,M38="F",SUMIF(C2:C170,C38,AS2:AS170)&gt;1),1,"")))</f>
        <v/>
      </c>
      <c r="AW38" s="462">
        <f>SUMIF(C2:C170,C38,O2:O170)</f>
        <v>3</v>
      </c>
      <c r="AX38" s="462">
        <f>IF(AND(M38="F",AS38&lt;&gt;0),SUMIF(C2:C170,C38,W2:W170),0)</f>
        <v>0</v>
      </c>
      <c r="AY38" s="462" t="str">
        <f t="shared" si="2"/>
        <v/>
      </c>
      <c r="AZ38" s="462" t="str">
        <f t="shared" si="3"/>
        <v/>
      </c>
      <c r="BA38" s="462">
        <f t="shared" si="4"/>
        <v>0</v>
      </c>
      <c r="BB38" s="462">
        <f>IF(AND(AT38=1,AK38="E",AU38&gt;=0.75,AW38=1),Health,IF(AND(AT38=1,AK38="E",AU38&gt;=0.75),Health*P38,IF(AND(AT38=1,AK38="E",AU38&gt;=0.5,AW38=1),PTHealth,IF(AND(AT38=1,AK38="E",AU38&gt;=0.5),PTHealth*P38,0))))</f>
        <v>0</v>
      </c>
      <c r="BC38" s="462">
        <f>IF(AND(AT38=3,AK38="E",AV38&gt;=0.75,AW38=1),Health,IF(AND(AT38=3,AK38="E",AV38&gt;=0.75),Health*P38,IF(AND(AT38=3,AK38="E",AV38&gt;=0.5,AW38=1),PTHealth,IF(AND(AT38=3,AK38="E",AV38&gt;=0.5),PTHealth*P38,0))))</f>
        <v>0</v>
      </c>
      <c r="BD38" s="462">
        <f>IF(AND(AT38&lt;&gt;0,AX38&gt;=MAXSSDI),SSDI*MAXSSDI*P38,IF(AT38&lt;&gt;0,SSDI*W38,0))</f>
        <v>0</v>
      </c>
      <c r="BE38" s="462">
        <f>IF(AT38&lt;&gt;0,SSHI*W38,0)</f>
        <v>0</v>
      </c>
      <c r="BF38" s="462">
        <f>IF(AND(AT38&lt;&gt;0,AN38&lt;&gt;"NE"),VLOOKUP(AN38,Retirement_Rates,3,FALSE)*W38,0)</f>
        <v>0</v>
      </c>
      <c r="BG38" s="462">
        <f>IF(AND(AT38&lt;&gt;0,AJ38&lt;&gt;"PF"),Life*W38,0)</f>
        <v>0</v>
      </c>
      <c r="BH38" s="462">
        <f>IF(AND(AT38&lt;&gt;0,AM38="Y"),UI*W38,0)</f>
        <v>0</v>
      </c>
      <c r="BI38" s="462">
        <f>IF(AND(AT38&lt;&gt;0,N38&lt;&gt;"NR"),DHR*W38,0)</f>
        <v>0</v>
      </c>
      <c r="BJ38" s="462">
        <f>IF(AT38&lt;&gt;0,WC*W38,0)</f>
        <v>0</v>
      </c>
      <c r="BK38" s="462">
        <f>IF(OR(AND(AT38&lt;&gt;0,AJ38&lt;&gt;"PF",AN38&lt;&gt;"NE",AG38&lt;&gt;"A"),AND(AL38="E",OR(AT38=1,AT38=3))),Sick*W38,0)</f>
        <v>0</v>
      </c>
      <c r="BL38" s="462">
        <f t="shared" si="5"/>
        <v>0</v>
      </c>
      <c r="BM38" s="462">
        <f t="shared" si="6"/>
        <v>0</v>
      </c>
      <c r="BN38" s="462">
        <f>IF(AND(AT38=1,AK38="E",AU38&gt;=0.75,AW38=1),HealthBY,IF(AND(AT38=1,AK38="E",AU38&gt;=0.75),HealthBY*P38,IF(AND(AT38=1,AK38="E",AU38&gt;=0.5,AW38=1),PTHealthBY,IF(AND(AT38=1,AK38="E",AU38&gt;=0.5),PTHealthBY*P38,0))))</f>
        <v>0</v>
      </c>
      <c r="BO38" s="462">
        <f>IF(AND(AT38=3,AK38="E",AV38&gt;=0.75,AW38=1),HealthBY,IF(AND(AT38=3,AK38="E",AV38&gt;=0.75),HealthBY*P38,IF(AND(AT38=3,AK38="E",AV38&gt;=0.5,AW38=1),PTHealthBY,IF(AND(AT38=3,AK38="E",AV38&gt;=0.5),PTHealthBY*P38,0))))</f>
        <v>0</v>
      </c>
      <c r="BP38" s="462">
        <f>IF(AND(AT38&lt;&gt;0,(AX38+BA38)&gt;=MAXSSDIBY),SSDIBY*MAXSSDIBY*P38,IF(AT38&lt;&gt;0,SSDIBY*W38,0))</f>
        <v>0</v>
      </c>
      <c r="BQ38" s="462">
        <f>IF(AT38&lt;&gt;0,SSHIBY*W38,0)</f>
        <v>0</v>
      </c>
      <c r="BR38" s="462">
        <f>IF(AND(AT38&lt;&gt;0,AN38&lt;&gt;"NE"),VLOOKUP(AN38,Retirement_Rates,4,FALSE)*W38,0)</f>
        <v>0</v>
      </c>
      <c r="BS38" s="462">
        <f>IF(AND(AT38&lt;&gt;0,AJ38&lt;&gt;"PF"),LifeBY*W38,0)</f>
        <v>0</v>
      </c>
      <c r="BT38" s="462">
        <f>IF(AND(AT38&lt;&gt;0,AM38="Y"),UIBY*W38,0)</f>
        <v>0</v>
      </c>
      <c r="BU38" s="462">
        <f>IF(AND(AT38&lt;&gt;0,N38&lt;&gt;"NR"),DHRBY*W38,0)</f>
        <v>0</v>
      </c>
      <c r="BV38" s="462">
        <f>IF(AT38&lt;&gt;0,WCBY*W38,0)</f>
        <v>0</v>
      </c>
      <c r="BW38" s="462">
        <f>IF(OR(AND(AT38&lt;&gt;0,AJ38&lt;&gt;"PF",AN38&lt;&gt;"NE",AG38&lt;&gt;"A"),AND(AL38="E",OR(AT38=1,AT38=3))),SickBY*W38,0)</f>
        <v>0</v>
      </c>
      <c r="BX38" s="462">
        <f t="shared" si="7"/>
        <v>0</v>
      </c>
      <c r="BY38" s="462">
        <f t="shared" si="8"/>
        <v>0</v>
      </c>
      <c r="BZ38" s="462">
        <f t="shared" si="9"/>
        <v>0</v>
      </c>
      <c r="CA38" s="462">
        <f t="shared" si="10"/>
        <v>0</v>
      </c>
      <c r="CB38" s="462">
        <f t="shared" si="11"/>
        <v>0</v>
      </c>
      <c r="CC38" s="462">
        <f>IF(AT38&lt;&gt;0,SSHICHG*Y38,0)</f>
        <v>0</v>
      </c>
      <c r="CD38" s="462">
        <f>IF(AND(AT38&lt;&gt;0,AN38&lt;&gt;"NE"),VLOOKUP(AN38,Retirement_Rates,5,FALSE)*Y38,0)</f>
        <v>0</v>
      </c>
      <c r="CE38" s="462">
        <f>IF(AND(AT38&lt;&gt;0,AJ38&lt;&gt;"PF"),LifeCHG*Y38,0)</f>
        <v>0</v>
      </c>
      <c r="CF38" s="462">
        <f>IF(AND(AT38&lt;&gt;0,AM38="Y"),UICHG*Y38,0)</f>
        <v>0</v>
      </c>
      <c r="CG38" s="462">
        <f>IF(AND(AT38&lt;&gt;0,N38&lt;&gt;"NR"),DHRCHG*Y38,0)</f>
        <v>0</v>
      </c>
      <c r="CH38" s="462">
        <f>IF(AT38&lt;&gt;0,WCCHG*Y38,0)</f>
        <v>0</v>
      </c>
      <c r="CI38" s="462">
        <f>IF(OR(AND(AT38&lt;&gt;0,AJ38&lt;&gt;"PF",AN38&lt;&gt;"NE",AG38&lt;&gt;"A"),AND(AL38="E",OR(AT38=1,AT38=3))),SickCHG*Y38,0)</f>
        <v>0</v>
      </c>
      <c r="CJ38" s="462">
        <f t="shared" si="12"/>
        <v>0</v>
      </c>
      <c r="CK38" s="462" t="str">
        <f t="shared" si="13"/>
        <v/>
      </c>
      <c r="CL38" s="462" t="str">
        <f t="shared" si="14"/>
        <v/>
      </c>
      <c r="CM38" s="462" t="str">
        <f t="shared" si="15"/>
        <v/>
      </c>
      <c r="CN38" s="462" t="str">
        <f t="shared" si="16"/>
        <v>0450-35</v>
      </c>
    </row>
    <row r="39" spans="1:92" ht="15" thickBot="1" x14ac:dyDescent="0.35">
      <c r="A39" s="376" t="s">
        <v>161</v>
      </c>
      <c r="B39" s="376" t="s">
        <v>162</v>
      </c>
      <c r="C39" s="376" t="s">
        <v>271</v>
      </c>
      <c r="D39" s="376" t="s">
        <v>263</v>
      </c>
      <c r="E39" s="376" t="s">
        <v>314</v>
      </c>
      <c r="F39" s="382" t="s">
        <v>382</v>
      </c>
      <c r="G39" s="376" t="s">
        <v>167</v>
      </c>
      <c r="H39" s="378"/>
      <c r="I39" s="378"/>
      <c r="J39" s="376" t="s">
        <v>168</v>
      </c>
      <c r="K39" s="376" t="s">
        <v>272</v>
      </c>
      <c r="L39" s="376" t="s">
        <v>170</v>
      </c>
      <c r="M39" s="376" t="s">
        <v>171</v>
      </c>
      <c r="N39" s="376" t="s">
        <v>172</v>
      </c>
      <c r="O39" s="379">
        <v>1</v>
      </c>
      <c r="P39" s="460">
        <v>0</v>
      </c>
      <c r="Q39" s="460">
        <v>0</v>
      </c>
      <c r="R39" s="380">
        <v>80</v>
      </c>
      <c r="S39" s="460">
        <v>0</v>
      </c>
      <c r="T39" s="380">
        <v>76155.210000000006</v>
      </c>
      <c r="U39" s="380">
        <v>0</v>
      </c>
      <c r="V39" s="380">
        <v>25575.919999999998</v>
      </c>
      <c r="W39" s="380">
        <v>0</v>
      </c>
      <c r="X39" s="380">
        <v>0</v>
      </c>
      <c r="Y39" s="380">
        <v>0</v>
      </c>
      <c r="Z39" s="380">
        <v>0</v>
      </c>
      <c r="AA39" s="376" t="s">
        <v>273</v>
      </c>
      <c r="AB39" s="376" t="s">
        <v>274</v>
      </c>
      <c r="AC39" s="376" t="s">
        <v>275</v>
      </c>
      <c r="AD39" s="376" t="s">
        <v>276</v>
      </c>
      <c r="AE39" s="376" t="s">
        <v>272</v>
      </c>
      <c r="AF39" s="376" t="s">
        <v>177</v>
      </c>
      <c r="AG39" s="376" t="s">
        <v>178</v>
      </c>
      <c r="AH39" s="379">
        <v>45</v>
      </c>
      <c r="AI39" s="381">
        <v>2397.5</v>
      </c>
      <c r="AJ39" s="376" t="s">
        <v>179</v>
      </c>
      <c r="AK39" s="376" t="s">
        <v>180</v>
      </c>
      <c r="AL39" s="376" t="s">
        <v>181</v>
      </c>
      <c r="AM39" s="376" t="s">
        <v>182</v>
      </c>
      <c r="AN39" s="376" t="s">
        <v>68</v>
      </c>
      <c r="AO39" s="379">
        <v>80</v>
      </c>
      <c r="AP39" s="460">
        <v>1</v>
      </c>
      <c r="AQ39" s="460">
        <v>0</v>
      </c>
      <c r="AR39" s="458" t="s">
        <v>183</v>
      </c>
      <c r="AS39" s="462">
        <f t="shared" si="0"/>
        <v>0</v>
      </c>
      <c r="AT39">
        <f t="shared" si="1"/>
        <v>0</v>
      </c>
      <c r="AU39" s="462" t="str">
        <f>IF(AT39=0,"",IF(AND(AT39=1,M39="F",SUMIF(C2:C170,C39,AS2:AS170)&lt;=1),SUMIF(C2:C170,C39,AS2:AS170),IF(AND(AT39=1,M39="F",SUMIF(C2:C170,C39,AS2:AS170)&gt;1),1,"")))</f>
        <v/>
      </c>
      <c r="AV39" s="462" t="str">
        <f>IF(AT39=0,"",IF(AND(AT39=3,M39="F",SUMIF(C2:C170,C39,AS2:AS170)&lt;=1),SUMIF(C2:C170,C39,AS2:AS170),IF(AND(AT39=3,M39="F",SUMIF(C2:C170,C39,AS2:AS170)&gt;1),1,"")))</f>
        <v/>
      </c>
      <c r="AW39" s="462">
        <f>SUMIF(C2:C170,C39,O2:O170)</f>
        <v>3</v>
      </c>
      <c r="AX39" s="462">
        <f>IF(AND(M39="F",AS39&lt;&gt;0),SUMIF(C2:C170,C39,W2:W170),0)</f>
        <v>0</v>
      </c>
      <c r="AY39" s="462" t="str">
        <f t="shared" si="2"/>
        <v/>
      </c>
      <c r="AZ39" s="462" t="str">
        <f t="shared" si="3"/>
        <v/>
      </c>
      <c r="BA39" s="462">
        <f t="shared" si="4"/>
        <v>0</v>
      </c>
      <c r="BB39" s="462">
        <f>IF(AND(AT39=1,AK39="E",AU39&gt;=0.75,AW39=1),Health,IF(AND(AT39=1,AK39="E",AU39&gt;=0.75),Health*P39,IF(AND(AT39=1,AK39="E",AU39&gt;=0.5,AW39=1),PTHealth,IF(AND(AT39=1,AK39="E",AU39&gt;=0.5),PTHealth*P39,0))))</f>
        <v>0</v>
      </c>
      <c r="BC39" s="462">
        <f>IF(AND(AT39=3,AK39="E",AV39&gt;=0.75,AW39=1),Health,IF(AND(AT39=3,AK39="E",AV39&gt;=0.75),Health*P39,IF(AND(AT39=3,AK39="E",AV39&gt;=0.5,AW39=1),PTHealth,IF(AND(AT39=3,AK39="E",AV39&gt;=0.5),PTHealth*P39,0))))</f>
        <v>0</v>
      </c>
      <c r="BD39" s="462">
        <f>IF(AND(AT39&lt;&gt;0,AX39&gt;=MAXSSDI),SSDI*MAXSSDI*P39,IF(AT39&lt;&gt;0,SSDI*W39,0))</f>
        <v>0</v>
      </c>
      <c r="BE39" s="462">
        <f>IF(AT39&lt;&gt;0,SSHI*W39,0)</f>
        <v>0</v>
      </c>
      <c r="BF39" s="462">
        <f>IF(AND(AT39&lt;&gt;0,AN39&lt;&gt;"NE"),VLOOKUP(AN39,Retirement_Rates,3,FALSE)*W39,0)</f>
        <v>0</v>
      </c>
      <c r="BG39" s="462">
        <f>IF(AND(AT39&lt;&gt;0,AJ39&lt;&gt;"PF"),Life*W39,0)</f>
        <v>0</v>
      </c>
      <c r="BH39" s="462">
        <f>IF(AND(AT39&lt;&gt;0,AM39="Y"),UI*W39,0)</f>
        <v>0</v>
      </c>
      <c r="BI39" s="462">
        <f>IF(AND(AT39&lt;&gt;0,N39&lt;&gt;"NR"),DHR*W39,0)</f>
        <v>0</v>
      </c>
      <c r="BJ39" s="462">
        <f>IF(AT39&lt;&gt;0,WC*W39,0)</f>
        <v>0</v>
      </c>
      <c r="BK39" s="462">
        <f>IF(OR(AND(AT39&lt;&gt;0,AJ39&lt;&gt;"PF",AN39&lt;&gt;"NE",AG39&lt;&gt;"A"),AND(AL39="E",OR(AT39=1,AT39=3))),Sick*W39,0)</f>
        <v>0</v>
      </c>
      <c r="BL39" s="462">
        <f t="shared" si="5"/>
        <v>0</v>
      </c>
      <c r="BM39" s="462">
        <f t="shared" si="6"/>
        <v>0</v>
      </c>
      <c r="BN39" s="462">
        <f>IF(AND(AT39=1,AK39="E",AU39&gt;=0.75,AW39=1),HealthBY,IF(AND(AT39=1,AK39="E",AU39&gt;=0.75),HealthBY*P39,IF(AND(AT39=1,AK39="E",AU39&gt;=0.5,AW39=1),PTHealthBY,IF(AND(AT39=1,AK39="E",AU39&gt;=0.5),PTHealthBY*P39,0))))</f>
        <v>0</v>
      </c>
      <c r="BO39" s="462">
        <f>IF(AND(AT39=3,AK39="E",AV39&gt;=0.75,AW39=1),HealthBY,IF(AND(AT39=3,AK39="E",AV39&gt;=0.75),HealthBY*P39,IF(AND(AT39=3,AK39="E",AV39&gt;=0.5,AW39=1),PTHealthBY,IF(AND(AT39=3,AK39="E",AV39&gt;=0.5),PTHealthBY*P39,0))))</f>
        <v>0</v>
      </c>
      <c r="BP39" s="462">
        <f>IF(AND(AT39&lt;&gt;0,(AX39+BA39)&gt;=MAXSSDIBY),SSDIBY*MAXSSDIBY*P39,IF(AT39&lt;&gt;0,SSDIBY*W39,0))</f>
        <v>0</v>
      </c>
      <c r="BQ39" s="462">
        <f>IF(AT39&lt;&gt;0,SSHIBY*W39,0)</f>
        <v>0</v>
      </c>
      <c r="BR39" s="462">
        <f>IF(AND(AT39&lt;&gt;0,AN39&lt;&gt;"NE"),VLOOKUP(AN39,Retirement_Rates,4,FALSE)*W39,0)</f>
        <v>0</v>
      </c>
      <c r="BS39" s="462">
        <f>IF(AND(AT39&lt;&gt;0,AJ39&lt;&gt;"PF"),LifeBY*W39,0)</f>
        <v>0</v>
      </c>
      <c r="BT39" s="462">
        <f>IF(AND(AT39&lt;&gt;0,AM39="Y"),UIBY*W39,0)</f>
        <v>0</v>
      </c>
      <c r="BU39" s="462">
        <f>IF(AND(AT39&lt;&gt;0,N39&lt;&gt;"NR"),DHRBY*W39,0)</f>
        <v>0</v>
      </c>
      <c r="BV39" s="462">
        <f>IF(AT39&lt;&gt;0,WCBY*W39,0)</f>
        <v>0</v>
      </c>
      <c r="BW39" s="462">
        <f>IF(OR(AND(AT39&lt;&gt;0,AJ39&lt;&gt;"PF",AN39&lt;&gt;"NE",AG39&lt;&gt;"A"),AND(AL39="E",OR(AT39=1,AT39=3))),SickBY*W39,0)</f>
        <v>0</v>
      </c>
      <c r="BX39" s="462">
        <f t="shared" si="7"/>
        <v>0</v>
      </c>
      <c r="BY39" s="462">
        <f t="shared" si="8"/>
        <v>0</v>
      </c>
      <c r="BZ39" s="462">
        <f t="shared" si="9"/>
        <v>0</v>
      </c>
      <c r="CA39" s="462">
        <f t="shared" si="10"/>
        <v>0</v>
      </c>
      <c r="CB39" s="462">
        <f t="shared" si="11"/>
        <v>0</v>
      </c>
      <c r="CC39" s="462">
        <f>IF(AT39&lt;&gt;0,SSHICHG*Y39,0)</f>
        <v>0</v>
      </c>
      <c r="CD39" s="462">
        <f>IF(AND(AT39&lt;&gt;0,AN39&lt;&gt;"NE"),VLOOKUP(AN39,Retirement_Rates,5,FALSE)*Y39,0)</f>
        <v>0</v>
      </c>
      <c r="CE39" s="462">
        <f>IF(AND(AT39&lt;&gt;0,AJ39&lt;&gt;"PF"),LifeCHG*Y39,0)</f>
        <v>0</v>
      </c>
      <c r="CF39" s="462">
        <f>IF(AND(AT39&lt;&gt;0,AM39="Y"),UICHG*Y39,0)</f>
        <v>0</v>
      </c>
      <c r="CG39" s="462">
        <f>IF(AND(AT39&lt;&gt;0,N39&lt;&gt;"NR"),DHRCHG*Y39,0)</f>
        <v>0</v>
      </c>
      <c r="CH39" s="462">
        <f>IF(AT39&lt;&gt;0,WCCHG*Y39,0)</f>
        <v>0</v>
      </c>
      <c r="CI39" s="462">
        <f>IF(OR(AND(AT39&lt;&gt;0,AJ39&lt;&gt;"PF",AN39&lt;&gt;"NE",AG39&lt;&gt;"A"),AND(AL39="E",OR(AT39=1,AT39=3))),SickCHG*Y39,0)</f>
        <v>0</v>
      </c>
      <c r="CJ39" s="462">
        <f t="shared" si="12"/>
        <v>0</v>
      </c>
      <c r="CK39" s="462" t="str">
        <f t="shared" si="13"/>
        <v/>
      </c>
      <c r="CL39" s="462" t="str">
        <f t="shared" si="14"/>
        <v/>
      </c>
      <c r="CM39" s="462" t="str">
        <f t="shared" si="15"/>
        <v/>
      </c>
      <c r="CN39" s="462" t="str">
        <f t="shared" si="16"/>
        <v>0450-35</v>
      </c>
    </row>
    <row r="40" spans="1:92" ht="15" thickBot="1" x14ac:dyDescent="0.35">
      <c r="A40" s="376" t="s">
        <v>161</v>
      </c>
      <c r="B40" s="376" t="s">
        <v>162</v>
      </c>
      <c r="C40" s="376" t="s">
        <v>387</v>
      </c>
      <c r="D40" s="376" t="s">
        <v>388</v>
      </c>
      <c r="E40" s="376" t="s">
        <v>314</v>
      </c>
      <c r="F40" s="382" t="s">
        <v>382</v>
      </c>
      <c r="G40" s="376" t="s">
        <v>167</v>
      </c>
      <c r="H40" s="378"/>
      <c r="I40" s="378"/>
      <c r="J40" s="376" t="s">
        <v>168</v>
      </c>
      <c r="K40" s="376" t="s">
        <v>389</v>
      </c>
      <c r="L40" s="376" t="s">
        <v>216</v>
      </c>
      <c r="M40" s="376" t="s">
        <v>171</v>
      </c>
      <c r="N40" s="376" t="s">
        <v>172</v>
      </c>
      <c r="O40" s="379">
        <v>1</v>
      </c>
      <c r="P40" s="460">
        <v>0</v>
      </c>
      <c r="Q40" s="460">
        <v>0</v>
      </c>
      <c r="R40" s="380">
        <v>80</v>
      </c>
      <c r="S40" s="460">
        <v>0</v>
      </c>
      <c r="T40" s="380">
        <v>0</v>
      </c>
      <c r="U40" s="380">
        <v>0</v>
      </c>
      <c r="V40" s="380">
        <v>-485.42</v>
      </c>
      <c r="W40" s="380">
        <v>0</v>
      </c>
      <c r="X40" s="380">
        <v>0</v>
      </c>
      <c r="Y40" s="380">
        <v>0</v>
      </c>
      <c r="Z40" s="380">
        <v>0</v>
      </c>
      <c r="AA40" s="376" t="s">
        <v>390</v>
      </c>
      <c r="AB40" s="376" t="s">
        <v>391</v>
      </c>
      <c r="AC40" s="376" t="s">
        <v>348</v>
      </c>
      <c r="AD40" s="376" t="s">
        <v>252</v>
      </c>
      <c r="AE40" s="376" t="s">
        <v>389</v>
      </c>
      <c r="AF40" s="376" t="s">
        <v>311</v>
      </c>
      <c r="AG40" s="376" t="s">
        <v>178</v>
      </c>
      <c r="AH40" s="381">
        <v>33.270000000000003</v>
      </c>
      <c r="AI40" s="379">
        <v>400</v>
      </c>
      <c r="AJ40" s="376" t="s">
        <v>179</v>
      </c>
      <c r="AK40" s="376" t="s">
        <v>180</v>
      </c>
      <c r="AL40" s="376" t="s">
        <v>181</v>
      </c>
      <c r="AM40" s="376" t="s">
        <v>182</v>
      </c>
      <c r="AN40" s="376" t="s">
        <v>68</v>
      </c>
      <c r="AO40" s="379">
        <v>80</v>
      </c>
      <c r="AP40" s="460">
        <v>1</v>
      </c>
      <c r="AQ40" s="460">
        <v>0</v>
      </c>
      <c r="AR40" s="458" t="s">
        <v>183</v>
      </c>
      <c r="AS40" s="462">
        <f t="shared" si="0"/>
        <v>0</v>
      </c>
      <c r="AT40">
        <f t="shared" si="1"/>
        <v>0</v>
      </c>
      <c r="AU40" s="462" t="str">
        <f>IF(AT40=0,"",IF(AND(AT40=1,M40="F",SUMIF(C2:C170,C40,AS2:AS170)&lt;=1),SUMIF(C2:C170,C40,AS2:AS170),IF(AND(AT40=1,M40="F",SUMIF(C2:C170,C40,AS2:AS170)&gt;1),1,"")))</f>
        <v/>
      </c>
      <c r="AV40" s="462" t="str">
        <f>IF(AT40=0,"",IF(AND(AT40=3,M40="F",SUMIF(C2:C170,C40,AS2:AS170)&lt;=1),SUMIF(C2:C170,C40,AS2:AS170),IF(AND(AT40=3,M40="F",SUMIF(C2:C170,C40,AS2:AS170)&gt;1),1,"")))</f>
        <v/>
      </c>
      <c r="AW40" s="462">
        <f>SUMIF(C2:C170,C40,O2:O170)</f>
        <v>2</v>
      </c>
      <c r="AX40" s="462">
        <f>IF(AND(M40="F",AS40&lt;&gt;0),SUMIF(C2:C170,C40,W2:W170),0)</f>
        <v>0</v>
      </c>
      <c r="AY40" s="462" t="str">
        <f t="shared" si="2"/>
        <v/>
      </c>
      <c r="AZ40" s="462" t="str">
        <f t="shared" si="3"/>
        <v/>
      </c>
      <c r="BA40" s="462">
        <f t="shared" si="4"/>
        <v>0</v>
      </c>
      <c r="BB40" s="462">
        <f>IF(AND(AT40=1,AK40="E",AU40&gt;=0.75,AW40=1),Health,IF(AND(AT40=1,AK40="E",AU40&gt;=0.75),Health*P40,IF(AND(AT40=1,AK40="E",AU40&gt;=0.5,AW40=1),PTHealth,IF(AND(AT40=1,AK40="E",AU40&gt;=0.5),PTHealth*P40,0))))</f>
        <v>0</v>
      </c>
      <c r="BC40" s="462">
        <f>IF(AND(AT40=3,AK40="E",AV40&gt;=0.75,AW40=1),Health,IF(AND(AT40=3,AK40="E",AV40&gt;=0.75),Health*P40,IF(AND(AT40=3,AK40="E",AV40&gt;=0.5,AW40=1),PTHealth,IF(AND(AT40=3,AK40="E",AV40&gt;=0.5),PTHealth*P40,0))))</f>
        <v>0</v>
      </c>
      <c r="BD40" s="462">
        <f>IF(AND(AT40&lt;&gt;0,AX40&gt;=MAXSSDI),SSDI*MAXSSDI*P40,IF(AT40&lt;&gt;0,SSDI*W40,0))</f>
        <v>0</v>
      </c>
      <c r="BE40" s="462">
        <f>IF(AT40&lt;&gt;0,SSHI*W40,0)</f>
        <v>0</v>
      </c>
      <c r="BF40" s="462">
        <f>IF(AND(AT40&lt;&gt;0,AN40&lt;&gt;"NE"),VLOOKUP(AN40,Retirement_Rates,3,FALSE)*W40,0)</f>
        <v>0</v>
      </c>
      <c r="BG40" s="462">
        <f>IF(AND(AT40&lt;&gt;0,AJ40&lt;&gt;"PF"),Life*W40,0)</f>
        <v>0</v>
      </c>
      <c r="BH40" s="462">
        <f>IF(AND(AT40&lt;&gt;0,AM40="Y"),UI*W40,0)</f>
        <v>0</v>
      </c>
      <c r="BI40" s="462">
        <f>IF(AND(AT40&lt;&gt;0,N40&lt;&gt;"NR"),DHR*W40,0)</f>
        <v>0</v>
      </c>
      <c r="BJ40" s="462">
        <f>IF(AT40&lt;&gt;0,WC*W40,0)</f>
        <v>0</v>
      </c>
      <c r="BK40" s="462">
        <f>IF(OR(AND(AT40&lt;&gt;0,AJ40&lt;&gt;"PF",AN40&lt;&gt;"NE",AG40&lt;&gt;"A"),AND(AL40="E",OR(AT40=1,AT40=3))),Sick*W40,0)</f>
        <v>0</v>
      </c>
      <c r="BL40" s="462">
        <f t="shared" si="5"/>
        <v>0</v>
      </c>
      <c r="BM40" s="462">
        <f t="shared" si="6"/>
        <v>0</v>
      </c>
      <c r="BN40" s="462">
        <f>IF(AND(AT40=1,AK40="E",AU40&gt;=0.75,AW40=1),HealthBY,IF(AND(AT40=1,AK40="E",AU40&gt;=0.75),HealthBY*P40,IF(AND(AT40=1,AK40="E",AU40&gt;=0.5,AW40=1),PTHealthBY,IF(AND(AT40=1,AK40="E",AU40&gt;=0.5),PTHealthBY*P40,0))))</f>
        <v>0</v>
      </c>
      <c r="BO40" s="462">
        <f>IF(AND(AT40=3,AK40="E",AV40&gt;=0.75,AW40=1),HealthBY,IF(AND(AT40=3,AK40="E",AV40&gt;=0.75),HealthBY*P40,IF(AND(AT40=3,AK40="E",AV40&gt;=0.5,AW40=1),PTHealthBY,IF(AND(AT40=3,AK40="E",AV40&gt;=0.5),PTHealthBY*P40,0))))</f>
        <v>0</v>
      </c>
      <c r="BP40" s="462">
        <f>IF(AND(AT40&lt;&gt;0,(AX40+BA40)&gt;=MAXSSDIBY),SSDIBY*MAXSSDIBY*P40,IF(AT40&lt;&gt;0,SSDIBY*W40,0))</f>
        <v>0</v>
      </c>
      <c r="BQ40" s="462">
        <f>IF(AT40&lt;&gt;0,SSHIBY*W40,0)</f>
        <v>0</v>
      </c>
      <c r="BR40" s="462">
        <f>IF(AND(AT40&lt;&gt;0,AN40&lt;&gt;"NE"),VLOOKUP(AN40,Retirement_Rates,4,FALSE)*W40,0)</f>
        <v>0</v>
      </c>
      <c r="BS40" s="462">
        <f>IF(AND(AT40&lt;&gt;0,AJ40&lt;&gt;"PF"),LifeBY*W40,0)</f>
        <v>0</v>
      </c>
      <c r="BT40" s="462">
        <f>IF(AND(AT40&lt;&gt;0,AM40="Y"),UIBY*W40,0)</f>
        <v>0</v>
      </c>
      <c r="BU40" s="462">
        <f>IF(AND(AT40&lt;&gt;0,N40&lt;&gt;"NR"),DHRBY*W40,0)</f>
        <v>0</v>
      </c>
      <c r="BV40" s="462">
        <f>IF(AT40&lt;&gt;0,WCBY*W40,0)</f>
        <v>0</v>
      </c>
      <c r="BW40" s="462">
        <f>IF(OR(AND(AT40&lt;&gt;0,AJ40&lt;&gt;"PF",AN40&lt;&gt;"NE",AG40&lt;&gt;"A"),AND(AL40="E",OR(AT40=1,AT40=3))),SickBY*W40,0)</f>
        <v>0</v>
      </c>
      <c r="BX40" s="462">
        <f t="shared" si="7"/>
        <v>0</v>
      </c>
      <c r="BY40" s="462">
        <f t="shared" si="8"/>
        <v>0</v>
      </c>
      <c r="BZ40" s="462">
        <f t="shared" si="9"/>
        <v>0</v>
      </c>
      <c r="CA40" s="462">
        <f t="shared" si="10"/>
        <v>0</v>
      </c>
      <c r="CB40" s="462">
        <f t="shared" si="11"/>
        <v>0</v>
      </c>
      <c r="CC40" s="462">
        <f>IF(AT40&lt;&gt;0,SSHICHG*Y40,0)</f>
        <v>0</v>
      </c>
      <c r="CD40" s="462">
        <f>IF(AND(AT40&lt;&gt;0,AN40&lt;&gt;"NE"),VLOOKUP(AN40,Retirement_Rates,5,FALSE)*Y40,0)</f>
        <v>0</v>
      </c>
      <c r="CE40" s="462">
        <f>IF(AND(AT40&lt;&gt;0,AJ40&lt;&gt;"PF"),LifeCHG*Y40,0)</f>
        <v>0</v>
      </c>
      <c r="CF40" s="462">
        <f>IF(AND(AT40&lt;&gt;0,AM40="Y"),UICHG*Y40,0)</f>
        <v>0</v>
      </c>
      <c r="CG40" s="462">
        <f>IF(AND(AT40&lt;&gt;0,N40&lt;&gt;"NR"),DHRCHG*Y40,0)</f>
        <v>0</v>
      </c>
      <c r="CH40" s="462">
        <f>IF(AT40&lt;&gt;0,WCCHG*Y40,0)</f>
        <v>0</v>
      </c>
      <c r="CI40" s="462">
        <f>IF(OR(AND(AT40&lt;&gt;0,AJ40&lt;&gt;"PF",AN40&lt;&gt;"NE",AG40&lt;&gt;"A"),AND(AL40="E",OR(AT40=1,AT40=3))),SickCHG*Y40,0)</f>
        <v>0</v>
      </c>
      <c r="CJ40" s="462">
        <f t="shared" si="12"/>
        <v>0</v>
      </c>
      <c r="CK40" s="462" t="str">
        <f t="shared" si="13"/>
        <v/>
      </c>
      <c r="CL40" s="462" t="str">
        <f t="shared" si="14"/>
        <v/>
      </c>
      <c r="CM40" s="462" t="str">
        <f t="shared" si="15"/>
        <v/>
      </c>
      <c r="CN40" s="462" t="str">
        <f t="shared" si="16"/>
        <v>0450-35</v>
      </c>
    </row>
    <row r="41" spans="1:92" ht="15" thickBot="1" x14ac:dyDescent="0.35">
      <c r="A41" s="376" t="s">
        <v>161</v>
      </c>
      <c r="B41" s="376" t="s">
        <v>162</v>
      </c>
      <c r="C41" s="376" t="s">
        <v>392</v>
      </c>
      <c r="D41" s="376" t="s">
        <v>263</v>
      </c>
      <c r="E41" s="376" t="s">
        <v>314</v>
      </c>
      <c r="F41" s="382" t="s">
        <v>382</v>
      </c>
      <c r="G41" s="376" t="s">
        <v>167</v>
      </c>
      <c r="H41" s="378"/>
      <c r="I41" s="378"/>
      <c r="J41" s="376" t="s">
        <v>168</v>
      </c>
      <c r="K41" s="376" t="s">
        <v>321</v>
      </c>
      <c r="L41" s="376" t="s">
        <v>216</v>
      </c>
      <c r="M41" s="376" t="s">
        <v>171</v>
      </c>
      <c r="N41" s="376" t="s">
        <v>172</v>
      </c>
      <c r="O41" s="379">
        <v>1</v>
      </c>
      <c r="P41" s="460">
        <v>0</v>
      </c>
      <c r="Q41" s="460">
        <v>0</v>
      </c>
      <c r="R41" s="380">
        <v>80</v>
      </c>
      <c r="S41" s="460">
        <v>0</v>
      </c>
      <c r="T41" s="380">
        <v>43439.9</v>
      </c>
      <c r="U41" s="380">
        <v>0</v>
      </c>
      <c r="V41" s="380">
        <v>17763.79</v>
      </c>
      <c r="W41" s="380">
        <v>0</v>
      </c>
      <c r="X41" s="380">
        <v>0</v>
      </c>
      <c r="Y41" s="380">
        <v>0</v>
      </c>
      <c r="Z41" s="380">
        <v>0</v>
      </c>
      <c r="AA41" s="376" t="s">
        <v>393</v>
      </c>
      <c r="AB41" s="376" t="s">
        <v>394</v>
      </c>
      <c r="AC41" s="376" t="s">
        <v>395</v>
      </c>
      <c r="AD41" s="376" t="s">
        <v>270</v>
      </c>
      <c r="AE41" s="376" t="s">
        <v>321</v>
      </c>
      <c r="AF41" s="376" t="s">
        <v>311</v>
      </c>
      <c r="AG41" s="376" t="s">
        <v>178</v>
      </c>
      <c r="AH41" s="381">
        <v>34.96</v>
      </c>
      <c r="AI41" s="379">
        <v>1690</v>
      </c>
      <c r="AJ41" s="376" t="s">
        <v>179</v>
      </c>
      <c r="AK41" s="376" t="s">
        <v>180</v>
      </c>
      <c r="AL41" s="376" t="s">
        <v>181</v>
      </c>
      <c r="AM41" s="376" t="s">
        <v>182</v>
      </c>
      <c r="AN41" s="376" t="s">
        <v>68</v>
      </c>
      <c r="AO41" s="379">
        <v>80</v>
      </c>
      <c r="AP41" s="460">
        <v>1</v>
      </c>
      <c r="AQ41" s="460">
        <v>0</v>
      </c>
      <c r="AR41" s="458" t="s">
        <v>183</v>
      </c>
      <c r="AS41" s="462">
        <f t="shared" si="0"/>
        <v>0</v>
      </c>
      <c r="AT41">
        <f t="shared" si="1"/>
        <v>0</v>
      </c>
      <c r="AU41" s="462" t="str">
        <f>IF(AT41=0,"",IF(AND(AT41=1,M41="F",SUMIF(C2:C170,C41,AS2:AS170)&lt;=1),SUMIF(C2:C170,C41,AS2:AS170),IF(AND(AT41=1,M41="F",SUMIF(C2:C170,C41,AS2:AS170)&gt;1),1,"")))</f>
        <v/>
      </c>
      <c r="AV41" s="462" t="str">
        <f>IF(AT41=0,"",IF(AND(AT41=3,M41="F",SUMIF(C2:C170,C41,AS2:AS170)&lt;=1),SUMIF(C2:C170,C41,AS2:AS170),IF(AND(AT41=3,M41="F",SUMIF(C2:C170,C41,AS2:AS170)&gt;1),1,"")))</f>
        <v/>
      </c>
      <c r="AW41" s="462">
        <f>SUMIF(C2:C170,C41,O2:O170)</f>
        <v>2</v>
      </c>
      <c r="AX41" s="462">
        <f>IF(AND(M41="F",AS41&lt;&gt;0),SUMIF(C2:C170,C41,W2:W170),0)</f>
        <v>0</v>
      </c>
      <c r="AY41" s="462" t="str">
        <f t="shared" si="2"/>
        <v/>
      </c>
      <c r="AZ41" s="462" t="str">
        <f t="shared" si="3"/>
        <v/>
      </c>
      <c r="BA41" s="462">
        <f t="shared" si="4"/>
        <v>0</v>
      </c>
      <c r="BB41" s="462">
        <f>IF(AND(AT41=1,AK41="E",AU41&gt;=0.75,AW41=1),Health,IF(AND(AT41=1,AK41="E",AU41&gt;=0.75),Health*P41,IF(AND(AT41=1,AK41="E",AU41&gt;=0.5,AW41=1),PTHealth,IF(AND(AT41=1,AK41="E",AU41&gt;=0.5),PTHealth*P41,0))))</f>
        <v>0</v>
      </c>
      <c r="BC41" s="462">
        <f>IF(AND(AT41=3,AK41="E",AV41&gt;=0.75,AW41=1),Health,IF(AND(AT41=3,AK41="E",AV41&gt;=0.75),Health*P41,IF(AND(AT41=3,AK41="E",AV41&gt;=0.5,AW41=1),PTHealth,IF(AND(AT41=3,AK41="E",AV41&gt;=0.5),PTHealth*P41,0))))</f>
        <v>0</v>
      </c>
      <c r="BD41" s="462">
        <f>IF(AND(AT41&lt;&gt;0,AX41&gt;=MAXSSDI),SSDI*MAXSSDI*P41,IF(AT41&lt;&gt;0,SSDI*W41,0))</f>
        <v>0</v>
      </c>
      <c r="BE41" s="462">
        <f>IF(AT41&lt;&gt;0,SSHI*W41,0)</f>
        <v>0</v>
      </c>
      <c r="BF41" s="462">
        <f>IF(AND(AT41&lt;&gt;0,AN41&lt;&gt;"NE"),VLOOKUP(AN41,Retirement_Rates,3,FALSE)*W41,0)</f>
        <v>0</v>
      </c>
      <c r="BG41" s="462">
        <f>IF(AND(AT41&lt;&gt;0,AJ41&lt;&gt;"PF"),Life*W41,0)</f>
        <v>0</v>
      </c>
      <c r="BH41" s="462">
        <f>IF(AND(AT41&lt;&gt;0,AM41="Y"),UI*W41,0)</f>
        <v>0</v>
      </c>
      <c r="BI41" s="462">
        <f>IF(AND(AT41&lt;&gt;0,N41&lt;&gt;"NR"),DHR*W41,0)</f>
        <v>0</v>
      </c>
      <c r="BJ41" s="462">
        <f>IF(AT41&lt;&gt;0,WC*W41,0)</f>
        <v>0</v>
      </c>
      <c r="BK41" s="462">
        <f>IF(OR(AND(AT41&lt;&gt;0,AJ41&lt;&gt;"PF",AN41&lt;&gt;"NE",AG41&lt;&gt;"A"),AND(AL41="E",OR(AT41=1,AT41=3))),Sick*W41,0)</f>
        <v>0</v>
      </c>
      <c r="BL41" s="462">
        <f t="shared" si="5"/>
        <v>0</v>
      </c>
      <c r="BM41" s="462">
        <f t="shared" si="6"/>
        <v>0</v>
      </c>
      <c r="BN41" s="462">
        <f>IF(AND(AT41=1,AK41="E",AU41&gt;=0.75,AW41=1),HealthBY,IF(AND(AT41=1,AK41="E",AU41&gt;=0.75),HealthBY*P41,IF(AND(AT41=1,AK41="E",AU41&gt;=0.5,AW41=1),PTHealthBY,IF(AND(AT41=1,AK41="E",AU41&gt;=0.5),PTHealthBY*P41,0))))</f>
        <v>0</v>
      </c>
      <c r="BO41" s="462">
        <f>IF(AND(AT41=3,AK41="E",AV41&gt;=0.75,AW41=1),HealthBY,IF(AND(AT41=3,AK41="E",AV41&gt;=0.75),HealthBY*P41,IF(AND(AT41=3,AK41="E",AV41&gt;=0.5,AW41=1),PTHealthBY,IF(AND(AT41=3,AK41="E",AV41&gt;=0.5),PTHealthBY*P41,0))))</f>
        <v>0</v>
      </c>
      <c r="BP41" s="462">
        <f>IF(AND(AT41&lt;&gt;0,(AX41+BA41)&gt;=MAXSSDIBY),SSDIBY*MAXSSDIBY*P41,IF(AT41&lt;&gt;0,SSDIBY*W41,0))</f>
        <v>0</v>
      </c>
      <c r="BQ41" s="462">
        <f>IF(AT41&lt;&gt;0,SSHIBY*W41,0)</f>
        <v>0</v>
      </c>
      <c r="BR41" s="462">
        <f>IF(AND(AT41&lt;&gt;0,AN41&lt;&gt;"NE"),VLOOKUP(AN41,Retirement_Rates,4,FALSE)*W41,0)</f>
        <v>0</v>
      </c>
      <c r="BS41" s="462">
        <f>IF(AND(AT41&lt;&gt;0,AJ41&lt;&gt;"PF"),LifeBY*W41,0)</f>
        <v>0</v>
      </c>
      <c r="BT41" s="462">
        <f>IF(AND(AT41&lt;&gt;0,AM41="Y"),UIBY*W41,0)</f>
        <v>0</v>
      </c>
      <c r="BU41" s="462">
        <f>IF(AND(AT41&lt;&gt;0,N41&lt;&gt;"NR"),DHRBY*W41,0)</f>
        <v>0</v>
      </c>
      <c r="BV41" s="462">
        <f>IF(AT41&lt;&gt;0,WCBY*W41,0)</f>
        <v>0</v>
      </c>
      <c r="BW41" s="462">
        <f>IF(OR(AND(AT41&lt;&gt;0,AJ41&lt;&gt;"PF",AN41&lt;&gt;"NE",AG41&lt;&gt;"A"),AND(AL41="E",OR(AT41=1,AT41=3))),SickBY*W41,0)</f>
        <v>0</v>
      </c>
      <c r="BX41" s="462">
        <f t="shared" si="7"/>
        <v>0</v>
      </c>
      <c r="BY41" s="462">
        <f t="shared" si="8"/>
        <v>0</v>
      </c>
      <c r="BZ41" s="462">
        <f t="shared" si="9"/>
        <v>0</v>
      </c>
      <c r="CA41" s="462">
        <f t="shared" si="10"/>
        <v>0</v>
      </c>
      <c r="CB41" s="462">
        <f t="shared" si="11"/>
        <v>0</v>
      </c>
      <c r="CC41" s="462">
        <f>IF(AT41&lt;&gt;0,SSHICHG*Y41,0)</f>
        <v>0</v>
      </c>
      <c r="CD41" s="462">
        <f>IF(AND(AT41&lt;&gt;0,AN41&lt;&gt;"NE"),VLOOKUP(AN41,Retirement_Rates,5,FALSE)*Y41,0)</f>
        <v>0</v>
      </c>
      <c r="CE41" s="462">
        <f>IF(AND(AT41&lt;&gt;0,AJ41&lt;&gt;"PF"),LifeCHG*Y41,0)</f>
        <v>0</v>
      </c>
      <c r="CF41" s="462">
        <f>IF(AND(AT41&lt;&gt;0,AM41="Y"),UICHG*Y41,0)</f>
        <v>0</v>
      </c>
      <c r="CG41" s="462">
        <f>IF(AND(AT41&lt;&gt;0,N41&lt;&gt;"NR"),DHRCHG*Y41,0)</f>
        <v>0</v>
      </c>
      <c r="CH41" s="462">
        <f>IF(AT41&lt;&gt;0,WCCHG*Y41,0)</f>
        <v>0</v>
      </c>
      <c r="CI41" s="462">
        <f>IF(OR(AND(AT41&lt;&gt;0,AJ41&lt;&gt;"PF",AN41&lt;&gt;"NE",AG41&lt;&gt;"A"),AND(AL41="E",OR(AT41=1,AT41=3))),SickCHG*Y41,0)</f>
        <v>0</v>
      </c>
      <c r="CJ41" s="462">
        <f t="shared" si="12"/>
        <v>0</v>
      </c>
      <c r="CK41" s="462" t="str">
        <f t="shared" si="13"/>
        <v/>
      </c>
      <c r="CL41" s="462" t="str">
        <f t="shared" si="14"/>
        <v/>
      </c>
      <c r="CM41" s="462" t="str">
        <f t="shared" si="15"/>
        <v/>
      </c>
      <c r="CN41" s="462" t="str">
        <f t="shared" si="16"/>
        <v>0450-35</v>
      </c>
    </row>
    <row r="42" spans="1:92" ht="15" thickBot="1" x14ac:dyDescent="0.35">
      <c r="A42" s="376" t="s">
        <v>161</v>
      </c>
      <c r="B42" s="376" t="s">
        <v>162</v>
      </c>
      <c r="C42" s="376" t="s">
        <v>396</v>
      </c>
      <c r="D42" s="376" t="s">
        <v>263</v>
      </c>
      <c r="E42" s="376" t="s">
        <v>314</v>
      </c>
      <c r="F42" s="382" t="s">
        <v>382</v>
      </c>
      <c r="G42" s="376" t="s">
        <v>167</v>
      </c>
      <c r="H42" s="378"/>
      <c r="I42" s="378"/>
      <c r="J42" s="376" t="s">
        <v>168</v>
      </c>
      <c r="K42" s="376" t="s">
        <v>321</v>
      </c>
      <c r="L42" s="376" t="s">
        <v>216</v>
      </c>
      <c r="M42" s="376" t="s">
        <v>171</v>
      </c>
      <c r="N42" s="376" t="s">
        <v>172</v>
      </c>
      <c r="O42" s="379">
        <v>1</v>
      </c>
      <c r="P42" s="460">
        <v>1</v>
      </c>
      <c r="Q42" s="460">
        <v>1</v>
      </c>
      <c r="R42" s="380">
        <v>80</v>
      </c>
      <c r="S42" s="460">
        <v>1</v>
      </c>
      <c r="T42" s="380">
        <v>40725.06</v>
      </c>
      <c r="U42" s="380">
        <v>0</v>
      </c>
      <c r="V42" s="380">
        <v>15281.66</v>
      </c>
      <c r="W42" s="380">
        <v>72009.600000000006</v>
      </c>
      <c r="X42" s="380">
        <v>27171.62</v>
      </c>
      <c r="Y42" s="380">
        <v>72009.600000000006</v>
      </c>
      <c r="Z42" s="380">
        <v>26797.18</v>
      </c>
      <c r="AA42" s="376" t="s">
        <v>397</v>
      </c>
      <c r="AB42" s="376" t="s">
        <v>398</v>
      </c>
      <c r="AC42" s="376" t="s">
        <v>399</v>
      </c>
      <c r="AD42" s="376" t="s">
        <v>400</v>
      </c>
      <c r="AE42" s="376" t="s">
        <v>321</v>
      </c>
      <c r="AF42" s="376" t="s">
        <v>311</v>
      </c>
      <c r="AG42" s="376" t="s">
        <v>178</v>
      </c>
      <c r="AH42" s="381">
        <v>34.619999999999997</v>
      </c>
      <c r="AI42" s="381">
        <v>17757.5</v>
      </c>
      <c r="AJ42" s="376" t="s">
        <v>179</v>
      </c>
      <c r="AK42" s="376" t="s">
        <v>180</v>
      </c>
      <c r="AL42" s="376" t="s">
        <v>181</v>
      </c>
      <c r="AM42" s="376" t="s">
        <v>182</v>
      </c>
      <c r="AN42" s="376" t="s">
        <v>68</v>
      </c>
      <c r="AO42" s="379">
        <v>80</v>
      </c>
      <c r="AP42" s="460">
        <v>1</v>
      </c>
      <c r="AQ42" s="460">
        <v>1</v>
      </c>
      <c r="AR42" s="458" t="s">
        <v>183</v>
      </c>
      <c r="AS42" s="462">
        <f t="shared" si="0"/>
        <v>1</v>
      </c>
      <c r="AT42">
        <f t="shared" si="1"/>
        <v>1</v>
      </c>
      <c r="AU42" s="462">
        <f>IF(AT42=0,"",IF(AND(AT42=1,M42="F",SUMIF(C2:C170,C42,AS2:AS170)&lt;=1),SUMIF(C2:C170,C42,AS2:AS170),IF(AND(AT42=1,M42="F",SUMIF(C2:C170,C42,AS2:AS170)&gt;1),1,"")))</f>
        <v>1</v>
      </c>
      <c r="AV42" s="462" t="str">
        <f>IF(AT42=0,"",IF(AND(AT42=3,M42="F",SUMIF(C2:C170,C42,AS2:AS170)&lt;=1),SUMIF(C2:C170,C42,AS2:AS170),IF(AND(AT42=3,M42="F",SUMIF(C2:C170,C42,AS2:AS170)&gt;1),1,"")))</f>
        <v/>
      </c>
      <c r="AW42" s="462">
        <f>SUMIF(C2:C170,C42,O2:O170)</f>
        <v>2</v>
      </c>
      <c r="AX42" s="462">
        <f>IF(AND(M42="F",AS42&lt;&gt;0),SUMIF(C2:C170,C42,W2:W170),0)</f>
        <v>72009.600000000006</v>
      </c>
      <c r="AY42" s="462">
        <f t="shared" si="2"/>
        <v>72009.600000000006</v>
      </c>
      <c r="AZ42" s="462" t="str">
        <f t="shared" si="3"/>
        <v/>
      </c>
      <c r="BA42" s="462">
        <f t="shared" si="4"/>
        <v>0</v>
      </c>
      <c r="BB42" s="462">
        <f>IF(AND(AT42=1,AK42="E",AU42&gt;=0.75,AW42=1),Health,IF(AND(AT42=1,AK42="E",AU42&gt;=0.75),Health*P42,IF(AND(AT42=1,AK42="E",AU42&gt;=0.5,AW42=1),PTHealth,IF(AND(AT42=1,AK42="E",AU42&gt;=0.5),PTHealth*P42,0))))</f>
        <v>11650</v>
      </c>
      <c r="BC42" s="462">
        <f>IF(AND(AT42=3,AK42="E",AV42&gt;=0.75,AW42=1),Health,IF(AND(AT42=3,AK42="E",AV42&gt;=0.75),Health*P42,IF(AND(AT42=3,AK42="E",AV42&gt;=0.5,AW42=1),PTHealth,IF(AND(AT42=3,AK42="E",AV42&gt;=0.5),PTHealth*P42,0))))</f>
        <v>0</v>
      </c>
      <c r="BD42" s="462">
        <f>IF(AND(AT42&lt;&gt;0,AX42&gt;=MAXSSDI),SSDI*MAXSSDI*P42,IF(AT42&lt;&gt;0,SSDI*W42,0))</f>
        <v>4464.5952000000007</v>
      </c>
      <c r="BE42" s="462">
        <f>IF(AT42&lt;&gt;0,SSHI*W42,0)</f>
        <v>1044.1392000000001</v>
      </c>
      <c r="BF42" s="462">
        <f>IF(AND(AT42&lt;&gt;0,AN42&lt;&gt;"NE"),VLOOKUP(AN42,Retirement_Rates,3,FALSE)*W42,0)</f>
        <v>8597.9462400000011</v>
      </c>
      <c r="BG42" s="462">
        <f>IF(AND(AT42&lt;&gt;0,AJ42&lt;&gt;"PF"),Life*W42,0)</f>
        <v>519.1892160000001</v>
      </c>
      <c r="BH42" s="462">
        <f>IF(AND(AT42&lt;&gt;0,AM42="Y"),UI*W42,0)</f>
        <v>352.84703999999999</v>
      </c>
      <c r="BI42" s="462">
        <f>IF(AND(AT42&lt;&gt;0,N42&lt;&gt;"NR"),DHR*W42,0)</f>
        <v>398.93318400000004</v>
      </c>
      <c r="BJ42" s="462">
        <f>IF(AT42&lt;&gt;0,WC*W42,0)</f>
        <v>144.01920000000001</v>
      </c>
      <c r="BK42" s="462">
        <f>IF(OR(AND(AT42&lt;&gt;0,AJ42&lt;&gt;"PF",AN42&lt;&gt;"NE",AG42&lt;&gt;"A"),AND(AL42="E",OR(AT42=1,AT42=3))),Sick*W42,0)</f>
        <v>0</v>
      </c>
      <c r="BL42" s="462">
        <f t="shared" si="5"/>
        <v>15521.669280000004</v>
      </c>
      <c r="BM42" s="462">
        <f t="shared" si="6"/>
        <v>0</v>
      </c>
      <c r="BN42" s="462">
        <f>IF(AND(AT42=1,AK42="E",AU42&gt;=0.75,AW42=1),HealthBY,IF(AND(AT42=1,AK42="E",AU42&gt;=0.75),HealthBY*P42,IF(AND(AT42=1,AK42="E",AU42&gt;=0.5,AW42=1),PTHealthBY,IF(AND(AT42=1,AK42="E",AU42&gt;=0.5),PTHealthBY*P42,0))))</f>
        <v>11650</v>
      </c>
      <c r="BO42" s="462">
        <f>IF(AND(AT42=3,AK42="E",AV42&gt;=0.75,AW42=1),HealthBY,IF(AND(AT42=3,AK42="E",AV42&gt;=0.75),HealthBY*P42,IF(AND(AT42=3,AK42="E",AV42&gt;=0.5,AW42=1),PTHealthBY,IF(AND(AT42=3,AK42="E",AV42&gt;=0.5),PTHealthBY*P42,0))))</f>
        <v>0</v>
      </c>
      <c r="BP42" s="462">
        <f>IF(AND(AT42&lt;&gt;0,(AX42+BA42)&gt;=MAXSSDIBY),SSDIBY*MAXSSDIBY*P42,IF(AT42&lt;&gt;0,SSDIBY*W42,0))</f>
        <v>4464.5952000000007</v>
      </c>
      <c r="BQ42" s="462">
        <f>IF(AT42&lt;&gt;0,SSHIBY*W42,0)</f>
        <v>1044.1392000000001</v>
      </c>
      <c r="BR42" s="462">
        <f>IF(AND(AT42&lt;&gt;0,AN42&lt;&gt;"NE"),VLOOKUP(AN42,Retirement_Rates,4,FALSE)*W42,0)</f>
        <v>8597.9462400000011</v>
      </c>
      <c r="BS42" s="462">
        <f>IF(AND(AT42&lt;&gt;0,AJ42&lt;&gt;"PF"),LifeBY*W42,0)</f>
        <v>519.1892160000001</v>
      </c>
      <c r="BT42" s="462">
        <f>IF(AND(AT42&lt;&gt;0,AM42="Y"),UIBY*W42,0)</f>
        <v>0</v>
      </c>
      <c r="BU42" s="462">
        <f>IF(AND(AT42&lt;&gt;0,N42&lt;&gt;"NR"),DHRBY*W42,0)</f>
        <v>398.93318400000004</v>
      </c>
      <c r="BV42" s="462">
        <f>IF(AT42&lt;&gt;0,WCBY*W42,0)</f>
        <v>122.41632</v>
      </c>
      <c r="BW42" s="462">
        <f>IF(OR(AND(AT42&lt;&gt;0,AJ42&lt;&gt;"PF",AN42&lt;&gt;"NE",AG42&lt;&gt;"A"),AND(AL42="E",OR(AT42=1,AT42=3))),SickBY*W42,0)</f>
        <v>0</v>
      </c>
      <c r="BX42" s="462">
        <f t="shared" si="7"/>
        <v>15147.219360000003</v>
      </c>
      <c r="BY42" s="462">
        <f t="shared" si="8"/>
        <v>0</v>
      </c>
      <c r="BZ42" s="462">
        <f t="shared" si="9"/>
        <v>0</v>
      </c>
      <c r="CA42" s="462">
        <f t="shared" si="10"/>
        <v>0</v>
      </c>
      <c r="CB42" s="462">
        <f t="shared" si="11"/>
        <v>0</v>
      </c>
      <c r="CC42" s="462">
        <f>IF(AT42&lt;&gt;0,SSHICHG*Y42,0)</f>
        <v>0</v>
      </c>
      <c r="CD42" s="462">
        <f>IF(AND(AT42&lt;&gt;0,AN42&lt;&gt;"NE"),VLOOKUP(AN42,Retirement_Rates,5,FALSE)*Y42,0)</f>
        <v>0</v>
      </c>
      <c r="CE42" s="462">
        <f>IF(AND(AT42&lt;&gt;0,AJ42&lt;&gt;"PF"),LifeCHG*Y42,0)</f>
        <v>0</v>
      </c>
      <c r="CF42" s="462">
        <f>IF(AND(AT42&lt;&gt;0,AM42="Y"),UICHG*Y42,0)</f>
        <v>-352.84703999999999</v>
      </c>
      <c r="CG42" s="462">
        <f>IF(AND(AT42&lt;&gt;0,N42&lt;&gt;"NR"),DHRCHG*Y42,0)</f>
        <v>0</v>
      </c>
      <c r="CH42" s="462">
        <f>IF(AT42&lt;&gt;0,WCCHG*Y42,0)</f>
        <v>-21.602880000000013</v>
      </c>
      <c r="CI42" s="462">
        <f>IF(OR(AND(AT42&lt;&gt;0,AJ42&lt;&gt;"PF",AN42&lt;&gt;"NE",AG42&lt;&gt;"A"),AND(AL42="E",OR(AT42=1,AT42=3))),SickCHG*Y42,0)</f>
        <v>0</v>
      </c>
      <c r="CJ42" s="462">
        <f t="shared" si="12"/>
        <v>-374.44992000000002</v>
      </c>
      <c r="CK42" s="462" t="str">
        <f t="shared" si="13"/>
        <v/>
      </c>
      <c r="CL42" s="462" t="str">
        <f t="shared" si="14"/>
        <v/>
      </c>
      <c r="CM42" s="462" t="str">
        <f t="shared" si="15"/>
        <v/>
      </c>
      <c r="CN42" s="462" t="str">
        <f t="shared" si="16"/>
        <v>0450-35</v>
      </c>
    </row>
    <row r="43" spans="1:92" ht="15" thickBot="1" x14ac:dyDescent="0.35">
      <c r="A43" s="376" t="s">
        <v>161</v>
      </c>
      <c r="B43" s="376" t="s">
        <v>162</v>
      </c>
      <c r="C43" s="376" t="s">
        <v>401</v>
      </c>
      <c r="D43" s="376" t="s">
        <v>263</v>
      </c>
      <c r="E43" s="376" t="s">
        <v>314</v>
      </c>
      <c r="F43" s="382" t="s">
        <v>382</v>
      </c>
      <c r="G43" s="376" t="s">
        <v>167</v>
      </c>
      <c r="H43" s="378"/>
      <c r="I43" s="378"/>
      <c r="J43" s="376" t="s">
        <v>168</v>
      </c>
      <c r="K43" s="376" t="s">
        <v>264</v>
      </c>
      <c r="L43" s="376" t="s">
        <v>181</v>
      </c>
      <c r="M43" s="376" t="s">
        <v>171</v>
      </c>
      <c r="N43" s="376" t="s">
        <v>172</v>
      </c>
      <c r="O43" s="379">
        <v>1</v>
      </c>
      <c r="P43" s="460">
        <v>1</v>
      </c>
      <c r="Q43" s="460">
        <v>1</v>
      </c>
      <c r="R43" s="380">
        <v>80</v>
      </c>
      <c r="S43" s="460">
        <v>1</v>
      </c>
      <c r="T43" s="380">
        <v>57775.23</v>
      </c>
      <c r="U43" s="380">
        <v>0</v>
      </c>
      <c r="V43" s="380">
        <v>21367.040000000001</v>
      </c>
      <c r="W43" s="380">
        <v>81432</v>
      </c>
      <c r="X43" s="380">
        <v>29202.639999999999</v>
      </c>
      <c r="Y43" s="380">
        <v>81432</v>
      </c>
      <c r="Z43" s="380">
        <v>28779.200000000001</v>
      </c>
      <c r="AA43" s="376" t="s">
        <v>402</v>
      </c>
      <c r="AB43" s="376" t="s">
        <v>403</v>
      </c>
      <c r="AC43" s="376" t="s">
        <v>404</v>
      </c>
      <c r="AD43" s="376" t="s">
        <v>353</v>
      </c>
      <c r="AE43" s="376" t="s">
        <v>264</v>
      </c>
      <c r="AF43" s="376" t="s">
        <v>349</v>
      </c>
      <c r="AG43" s="376" t="s">
        <v>178</v>
      </c>
      <c r="AH43" s="381">
        <v>39.15</v>
      </c>
      <c r="AI43" s="381">
        <v>28152.2</v>
      </c>
      <c r="AJ43" s="376" t="s">
        <v>179</v>
      </c>
      <c r="AK43" s="376" t="s">
        <v>180</v>
      </c>
      <c r="AL43" s="376" t="s">
        <v>181</v>
      </c>
      <c r="AM43" s="376" t="s">
        <v>182</v>
      </c>
      <c r="AN43" s="376" t="s">
        <v>68</v>
      </c>
      <c r="AO43" s="379">
        <v>80</v>
      </c>
      <c r="AP43" s="460">
        <v>1</v>
      </c>
      <c r="AQ43" s="460">
        <v>1</v>
      </c>
      <c r="AR43" s="458" t="s">
        <v>183</v>
      </c>
      <c r="AS43" s="462">
        <f t="shared" si="0"/>
        <v>1</v>
      </c>
      <c r="AT43">
        <f t="shared" si="1"/>
        <v>1</v>
      </c>
      <c r="AU43" s="462">
        <f>IF(AT43=0,"",IF(AND(AT43=1,M43="F",SUMIF(C2:C170,C43,AS2:AS170)&lt;=1),SUMIF(C2:C170,C43,AS2:AS170),IF(AND(AT43=1,M43="F",SUMIF(C2:C170,C43,AS2:AS170)&gt;1),1,"")))</f>
        <v>1</v>
      </c>
      <c r="AV43" s="462" t="str">
        <f>IF(AT43=0,"",IF(AND(AT43=3,M43="F",SUMIF(C2:C170,C43,AS2:AS170)&lt;=1),SUMIF(C2:C170,C43,AS2:AS170),IF(AND(AT43=3,M43="F",SUMIF(C2:C170,C43,AS2:AS170)&gt;1),1,"")))</f>
        <v/>
      </c>
      <c r="AW43" s="462">
        <f>SUMIF(C2:C170,C43,O2:O170)</f>
        <v>2</v>
      </c>
      <c r="AX43" s="462">
        <f>IF(AND(M43="F",AS43&lt;&gt;0),SUMIF(C2:C170,C43,W2:W170),0)</f>
        <v>81432</v>
      </c>
      <c r="AY43" s="462">
        <f t="shared" si="2"/>
        <v>81432</v>
      </c>
      <c r="AZ43" s="462" t="str">
        <f t="shared" si="3"/>
        <v/>
      </c>
      <c r="BA43" s="462">
        <f t="shared" si="4"/>
        <v>0</v>
      </c>
      <c r="BB43" s="462">
        <f>IF(AND(AT43=1,AK43="E",AU43&gt;=0.75,AW43=1),Health,IF(AND(AT43=1,AK43="E",AU43&gt;=0.75),Health*P43,IF(AND(AT43=1,AK43="E",AU43&gt;=0.5,AW43=1),PTHealth,IF(AND(AT43=1,AK43="E",AU43&gt;=0.5),PTHealth*P43,0))))</f>
        <v>11650</v>
      </c>
      <c r="BC43" s="462">
        <f>IF(AND(AT43=3,AK43="E",AV43&gt;=0.75,AW43=1),Health,IF(AND(AT43=3,AK43="E",AV43&gt;=0.75),Health*P43,IF(AND(AT43=3,AK43="E",AV43&gt;=0.5,AW43=1),PTHealth,IF(AND(AT43=3,AK43="E",AV43&gt;=0.5),PTHealth*P43,0))))</f>
        <v>0</v>
      </c>
      <c r="BD43" s="462">
        <f>IF(AND(AT43&lt;&gt;0,AX43&gt;=MAXSSDI),SSDI*MAXSSDI*P43,IF(AT43&lt;&gt;0,SSDI*W43,0))</f>
        <v>5048.7839999999997</v>
      </c>
      <c r="BE43" s="462">
        <f>IF(AT43&lt;&gt;0,SSHI*W43,0)</f>
        <v>1180.7640000000001</v>
      </c>
      <c r="BF43" s="462">
        <f>IF(AND(AT43&lt;&gt;0,AN43&lt;&gt;"NE"),VLOOKUP(AN43,Retirement_Rates,3,FALSE)*W43,0)</f>
        <v>9722.9808000000012</v>
      </c>
      <c r="BG43" s="462">
        <f>IF(AND(AT43&lt;&gt;0,AJ43&lt;&gt;"PF"),Life*W43,0)</f>
        <v>587.12472000000002</v>
      </c>
      <c r="BH43" s="462">
        <f>IF(AND(AT43&lt;&gt;0,AM43="Y"),UI*W43,0)</f>
        <v>399.01679999999999</v>
      </c>
      <c r="BI43" s="462">
        <f>IF(AND(AT43&lt;&gt;0,N43&lt;&gt;"NR"),DHR*W43,0)</f>
        <v>451.13327999999996</v>
      </c>
      <c r="BJ43" s="462">
        <f>IF(AT43&lt;&gt;0,WC*W43,0)</f>
        <v>162.864</v>
      </c>
      <c r="BK43" s="462">
        <f>IF(OR(AND(AT43&lt;&gt;0,AJ43&lt;&gt;"PF",AN43&lt;&gt;"NE",AG43&lt;&gt;"A"),AND(AL43="E",OR(AT43=1,AT43=3))),Sick*W43,0)</f>
        <v>0</v>
      </c>
      <c r="BL43" s="462">
        <f t="shared" si="5"/>
        <v>17552.667600000001</v>
      </c>
      <c r="BM43" s="462">
        <f t="shared" si="6"/>
        <v>0</v>
      </c>
      <c r="BN43" s="462">
        <f>IF(AND(AT43=1,AK43="E",AU43&gt;=0.75,AW43=1),HealthBY,IF(AND(AT43=1,AK43="E",AU43&gt;=0.75),HealthBY*P43,IF(AND(AT43=1,AK43="E",AU43&gt;=0.5,AW43=1),PTHealthBY,IF(AND(AT43=1,AK43="E",AU43&gt;=0.5),PTHealthBY*P43,0))))</f>
        <v>11650</v>
      </c>
      <c r="BO43" s="462">
        <f>IF(AND(AT43=3,AK43="E",AV43&gt;=0.75,AW43=1),HealthBY,IF(AND(AT43=3,AK43="E",AV43&gt;=0.75),HealthBY*P43,IF(AND(AT43=3,AK43="E",AV43&gt;=0.5,AW43=1),PTHealthBY,IF(AND(AT43=3,AK43="E",AV43&gt;=0.5),PTHealthBY*P43,0))))</f>
        <v>0</v>
      </c>
      <c r="BP43" s="462">
        <f>IF(AND(AT43&lt;&gt;0,(AX43+BA43)&gt;=MAXSSDIBY),SSDIBY*MAXSSDIBY*P43,IF(AT43&lt;&gt;0,SSDIBY*W43,0))</f>
        <v>5048.7839999999997</v>
      </c>
      <c r="BQ43" s="462">
        <f>IF(AT43&lt;&gt;0,SSHIBY*W43,0)</f>
        <v>1180.7640000000001</v>
      </c>
      <c r="BR43" s="462">
        <f>IF(AND(AT43&lt;&gt;0,AN43&lt;&gt;"NE"),VLOOKUP(AN43,Retirement_Rates,4,FALSE)*W43,0)</f>
        <v>9722.9808000000012</v>
      </c>
      <c r="BS43" s="462">
        <f>IF(AND(AT43&lt;&gt;0,AJ43&lt;&gt;"PF"),LifeBY*W43,0)</f>
        <v>587.12472000000002</v>
      </c>
      <c r="BT43" s="462">
        <f>IF(AND(AT43&lt;&gt;0,AM43="Y"),UIBY*W43,0)</f>
        <v>0</v>
      </c>
      <c r="BU43" s="462">
        <f>IF(AND(AT43&lt;&gt;0,N43&lt;&gt;"NR"),DHRBY*W43,0)</f>
        <v>451.13327999999996</v>
      </c>
      <c r="BV43" s="462">
        <f>IF(AT43&lt;&gt;0,WCBY*W43,0)</f>
        <v>138.43439999999998</v>
      </c>
      <c r="BW43" s="462">
        <f>IF(OR(AND(AT43&lt;&gt;0,AJ43&lt;&gt;"PF",AN43&lt;&gt;"NE",AG43&lt;&gt;"A"),AND(AL43="E",OR(AT43=1,AT43=3))),SickBY*W43,0)</f>
        <v>0</v>
      </c>
      <c r="BX43" s="462">
        <f t="shared" si="7"/>
        <v>17129.221199999996</v>
      </c>
      <c r="BY43" s="462">
        <f t="shared" si="8"/>
        <v>0</v>
      </c>
      <c r="BZ43" s="462">
        <f t="shared" si="9"/>
        <v>0</v>
      </c>
      <c r="CA43" s="462">
        <f t="shared" si="10"/>
        <v>0</v>
      </c>
      <c r="CB43" s="462">
        <f t="shared" si="11"/>
        <v>0</v>
      </c>
      <c r="CC43" s="462">
        <f>IF(AT43&lt;&gt;0,SSHICHG*Y43,0)</f>
        <v>0</v>
      </c>
      <c r="CD43" s="462">
        <f>IF(AND(AT43&lt;&gt;0,AN43&lt;&gt;"NE"),VLOOKUP(AN43,Retirement_Rates,5,FALSE)*Y43,0)</f>
        <v>0</v>
      </c>
      <c r="CE43" s="462">
        <f>IF(AND(AT43&lt;&gt;0,AJ43&lt;&gt;"PF"),LifeCHG*Y43,0)</f>
        <v>0</v>
      </c>
      <c r="CF43" s="462">
        <f>IF(AND(AT43&lt;&gt;0,AM43="Y"),UICHG*Y43,0)</f>
        <v>-399.01679999999999</v>
      </c>
      <c r="CG43" s="462">
        <f>IF(AND(AT43&lt;&gt;0,N43&lt;&gt;"NR"),DHRCHG*Y43,0)</f>
        <v>0</v>
      </c>
      <c r="CH43" s="462">
        <f>IF(AT43&lt;&gt;0,WCCHG*Y43,0)</f>
        <v>-24.429600000000011</v>
      </c>
      <c r="CI43" s="462">
        <f>IF(OR(AND(AT43&lt;&gt;0,AJ43&lt;&gt;"PF",AN43&lt;&gt;"NE",AG43&lt;&gt;"A"),AND(AL43="E",OR(AT43=1,AT43=3))),SickCHG*Y43,0)</f>
        <v>0</v>
      </c>
      <c r="CJ43" s="462">
        <f t="shared" si="12"/>
        <v>-423.44639999999998</v>
      </c>
      <c r="CK43" s="462" t="str">
        <f t="shared" si="13"/>
        <v/>
      </c>
      <c r="CL43" s="462" t="str">
        <f t="shared" si="14"/>
        <v/>
      </c>
      <c r="CM43" s="462" t="str">
        <f t="shared" si="15"/>
        <v/>
      </c>
      <c r="CN43" s="462" t="str">
        <f t="shared" si="16"/>
        <v>0450-35</v>
      </c>
    </row>
    <row r="44" spans="1:92" ht="15" thickBot="1" x14ac:dyDescent="0.35">
      <c r="A44" s="376" t="s">
        <v>161</v>
      </c>
      <c r="B44" s="376" t="s">
        <v>162</v>
      </c>
      <c r="C44" s="376" t="s">
        <v>225</v>
      </c>
      <c r="D44" s="376" t="s">
        <v>226</v>
      </c>
      <c r="E44" s="376" t="s">
        <v>314</v>
      </c>
      <c r="F44" s="382" t="s">
        <v>382</v>
      </c>
      <c r="G44" s="376" t="s">
        <v>167</v>
      </c>
      <c r="H44" s="378"/>
      <c r="I44" s="378"/>
      <c r="J44" s="376" t="s">
        <v>168</v>
      </c>
      <c r="K44" s="376" t="s">
        <v>227</v>
      </c>
      <c r="L44" s="376" t="s">
        <v>228</v>
      </c>
      <c r="M44" s="376" t="s">
        <v>171</v>
      </c>
      <c r="N44" s="376" t="s">
        <v>172</v>
      </c>
      <c r="O44" s="379">
        <v>1</v>
      </c>
      <c r="P44" s="460">
        <v>0</v>
      </c>
      <c r="Q44" s="460">
        <v>0</v>
      </c>
      <c r="R44" s="380">
        <v>80</v>
      </c>
      <c r="S44" s="460">
        <v>0</v>
      </c>
      <c r="T44" s="380">
        <v>0</v>
      </c>
      <c r="U44" s="380">
        <v>15.66</v>
      </c>
      <c r="V44" s="380">
        <v>3.06</v>
      </c>
      <c r="W44" s="380">
        <v>0</v>
      </c>
      <c r="X44" s="380">
        <v>0</v>
      </c>
      <c r="Y44" s="380">
        <v>0</v>
      </c>
      <c r="Z44" s="380">
        <v>0</v>
      </c>
      <c r="AA44" s="376" t="s">
        <v>229</v>
      </c>
      <c r="AB44" s="376" t="s">
        <v>230</v>
      </c>
      <c r="AC44" s="376" t="s">
        <v>231</v>
      </c>
      <c r="AD44" s="376" t="s">
        <v>216</v>
      </c>
      <c r="AE44" s="376" t="s">
        <v>227</v>
      </c>
      <c r="AF44" s="376" t="s">
        <v>232</v>
      </c>
      <c r="AG44" s="376" t="s">
        <v>178</v>
      </c>
      <c r="AH44" s="381">
        <v>24.31</v>
      </c>
      <c r="AI44" s="381">
        <v>12966.3</v>
      </c>
      <c r="AJ44" s="376" t="s">
        <v>179</v>
      </c>
      <c r="AK44" s="376" t="s">
        <v>180</v>
      </c>
      <c r="AL44" s="376" t="s">
        <v>181</v>
      </c>
      <c r="AM44" s="376" t="s">
        <v>182</v>
      </c>
      <c r="AN44" s="376" t="s">
        <v>68</v>
      </c>
      <c r="AO44" s="379">
        <v>80</v>
      </c>
      <c r="AP44" s="460">
        <v>1</v>
      </c>
      <c r="AQ44" s="460">
        <v>0</v>
      </c>
      <c r="AR44" s="458" t="s">
        <v>183</v>
      </c>
      <c r="AS44" s="462">
        <f t="shared" si="0"/>
        <v>0</v>
      </c>
      <c r="AT44">
        <f t="shared" si="1"/>
        <v>0</v>
      </c>
      <c r="AU44" s="462" t="str">
        <f>IF(AT44=0,"",IF(AND(AT44=1,M44="F",SUMIF(C2:C170,C44,AS2:AS170)&lt;=1),SUMIF(C2:C170,C44,AS2:AS170),IF(AND(AT44=1,M44="F",SUMIF(C2:C170,C44,AS2:AS170)&gt;1),1,"")))</f>
        <v/>
      </c>
      <c r="AV44" s="462" t="str">
        <f>IF(AT44=0,"",IF(AND(AT44=3,M44="F",SUMIF(C2:C170,C44,AS2:AS170)&lt;=1),SUMIF(C2:C170,C44,AS2:AS170),IF(AND(AT44=3,M44="F",SUMIF(C2:C170,C44,AS2:AS170)&gt;1),1,"")))</f>
        <v/>
      </c>
      <c r="AW44" s="462">
        <f>SUMIF(C2:C170,C44,O2:O170)</f>
        <v>2</v>
      </c>
      <c r="AX44" s="462">
        <f>IF(AND(M44="F",AS44&lt;&gt;0),SUMIF(C2:C170,C44,W2:W170),0)</f>
        <v>0</v>
      </c>
      <c r="AY44" s="462" t="str">
        <f t="shared" si="2"/>
        <v/>
      </c>
      <c r="AZ44" s="462" t="str">
        <f t="shared" si="3"/>
        <v/>
      </c>
      <c r="BA44" s="462">
        <f t="shared" si="4"/>
        <v>0</v>
      </c>
      <c r="BB44" s="462">
        <f>IF(AND(AT44=1,AK44="E",AU44&gt;=0.75,AW44=1),Health,IF(AND(AT44=1,AK44="E",AU44&gt;=0.75),Health*P44,IF(AND(AT44=1,AK44="E",AU44&gt;=0.5,AW44=1),PTHealth,IF(AND(AT44=1,AK44="E",AU44&gt;=0.5),PTHealth*P44,0))))</f>
        <v>0</v>
      </c>
      <c r="BC44" s="462">
        <f>IF(AND(AT44=3,AK44="E",AV44&gt;=0.75,AW44=1),Health,IF(AND(AT44=3,AK44="E",AV44&gt;=0.75),Health*P44,IF(AND(AT44=3,AK44="E",AV44&gt;=0.5,AW44=1),PTHealth,IF(AND(AT44=3,AK44="E",AV44&gt;=0.5),PTHealth*P44,0))))</f>
        <v>0</v>
      </c>
      <c r="BD44" s="462">
        <f>IF(AND(AT44&lt;&gt;0,AX44&gt;=MAXSSDI),SSDI*MAXSSDI*P44,IF(AT44&lt;&gt;0,SSDI*W44,0))</f>
        <v>0</v>
      </c>
      <c r="BE44" s="462">
        <f>IF(AT44&lt;&gt;0,SSHI*W44,0)</f>
        <v>0</v>
      </c>
      <c r="BF44" s="462">
        <f>IF(AND(AT44&lt;&gt;0,AN44&lt;&gt;"NE"),VLOOKUP(AN44,Retirement_Rates,3,FALSE)*W44,0)</f>
        <v>0</v>
      </c>
      <c r="BG44" s="462">
        <f>IF(AND(AT44&lt;&gt;0,AJ44&lt;&gt;"PF"),Life*W44,0)</f>
        <v>0</v>
      </c>
      <c r="BH44" s="462">
        <f>IF(AND(AT44&lt;&gt;0,AM44="Y"),UI*W44,0)</f>
        <v>0</v>
      </c>
      <c r="BI44" s="462">
        <f>IF(AND(AT44&lt;&gt;0,N44&lt;&gt;"NR"),DHR*W44,0)</f>
        <v>0</v>
      </c>
      <c r="BJ44" s="462">
        <f>IF(AT44&lt;&gt;0,WC*W44,0)</f>
        <v>0</v>
      </c>
      <c r="BK44" s="462">
        <f>IF(OR(AND(AT44&lt;&gt;0,AJ44&lt;&gt;"PF",AN44&lt;&gt;"NE",AG44&lt;&gt;"A"),AND(AL44="E",OR(AT44=1,AT44=3))),Sick*W44,0)</f>
        <v>0</v>
      </c>
      <c r="BL44" s="462">
        <f t="shared" si="5"/>
        <v>0</v>
      </c>
      <c r="BM44" s="462">
        <f t="shared" si="6"/>
        <v>0</v>
      </c>
      <c r="BN44" s="462">
        <f>IF(AND(AT44=1,AK44="E",AU44&gt;=0.75,AW44=1),HealthBY,IF(AND(AT44=1,AK44="E",AU44&gt;=0.75),HealthBY*P44,IF(AND(AT44=1,AK44="E",AU44&gt;=0.5,AW44=1),PTHealthBY,IF(AND(AT44=1,AK44="E",AU44&gt;=0.5),PTHealthBY*P44,0))))</f>
        <v>0</v>
      </c>
      <c r="BO44" s="462">
        <f>IF(AND(AT44=3,AK44="E",AV44&gt;=0.75,AW44=1),HealthBY,IF(AND(AT44=3,AK44="E",AV44&gt;=0.75),HealthBY*P44,IF(AND(AT44=3,AK44="E",AV44&gt;=0.5,AW44=1),PTHealthBY,IF(AND(AT44=3,AK44="E",AV44&gt;=0.5),PTHealthBY*P44,0))))</f>
        <v>0</v>
      </c>
      <c r="BP44" s="462">
        <f>IF(AND(AT44&lt;&gt;0,(AX44+BA44)&gt;=MAXSSDIBY),SSDIBY*MAXSSDIBY*P44,IF(AT44&lt;&gt;0,SSDIBY*W44,0))</f>
        <v>0</v>
      </c>
      <c r="BQ44" s="462">
        <f>IF(AT44&lt;&gt;0,SSHIBY*W44,0)</f>
        <v>0</v>
      </c>
      <c r="BR44" s="462">
        <f>IF(AND(AT44&lt;&gt;0,AN44&lt;&gt;"NE"),VLOOKUP(AN44,Retirement_Rates,4,FALSE)*W44,0)</f>
        <v>0</v>
      </c>
      <c r="BS44" s="462">
        <f>IF(AND(AT44&lt;&gt;0,AJ44&lt;&gt;"PF"),LifeBY*W44,0)</f>
        <v>0</v>
      </c>
      <c r="BT44" s="462">
        <f>IF(AND(AT44&lt;&gt;0,AM44="Y"),UIBY*W44,0)</f>
        <v>0</v>
      </c>
      <c r="BU44" s="462">
        <f>IF(AND(AT44&lt;&gt;0,N44&lt;&gt;"NR"),DHRBY*W44,0)</f>
        <v>0</v>
      </c>
      <c r="BV44" s="462">
        <f>IF(AT44&lt;&gt;0,WCBY*W44,0)</f>
        <v>0</v>
      </c>
      <c r="BW44" s="462">
        <f>IF(OR(AND(AT44&lt;&gt;0,AJ44&lt;&gt;"PF",AN44&lt;&gt;"NE",AG44&lt;&gt;"A"),AND(AL44="E",OR(AT44=1,AT44=3))),SickBY*W44,0)</f>
        <v>0</v>
      </c>
      <c r="BX44" s="462">
        <f t="shared" si="7"/>
        <v>0</v>
      </c>
      <c r="BY44" s="462">
        <f t="shared" si="8"/>
        <v>0</v>
      </c>
      <c r="BZ44" s="462">
        <f t="shared" si="9"/>
        <v>0</v>
      </c>
      <c r="CA44" s="462">
        <f t="shared" si="10"/>
        <v>0</v>
      </c>
      <c r="CB44" s="462">
        <f t="shared" si="11"/>
        <v>0</v>
      </c>
      <c r="CC44" s="462">
        <f>IF(AT44&lt;&gt;0,SSHICHG*Y44,0)</f>
        <v>0</v>
      </c>
      <c r="CD44" s="462">
        <f>IF(AND(AT44&lt;&gt;0,AN44&lt;&gt;"NE"),VLOOKUP(AN44,Retirement_Rates,5,FALSE)*Y44,0)</f>
        <v>0</v>
      </c>
      <c r="CE44" s="462">
        <f>IF(AND(AT44&lt;&gt;0,AJ44&lt;&gt;"PF"),LifeCHG*Y44,0)</f>
        <v>0</v>
      </c>
      <c r="CF44" s="462">
        <f>IF(AND(AT44&lt;&gt;0,AM44="Y"),UICHG*Y44,0)</f>
        <v>0</v>
      </c>
      <c r="CG44" s="462">
        <f>IF(AND(AT44&lt;&gt;0,N44&lt;&gt;"NR"),DHRCHG*Y44,0)</f>
        <v>0</v>
      </c>
      <c r="CH44" s="462">
        <f>IF(AT44&lt;&gt;0,WCCHG*Y44,0)</f>
        <v>0</v>
      </c>
      <c r="CI44" s="462">
        <f>IF(OR(AND(AT44&lt;&gt;0,AJ44&lt;&gt;"PF",AN44&lt;&gt;"NE",AG44&lt;&gt;"A"),AND(AL44="E",OR(AT44=1,AT44=3))),SickCHG*Y44,0)</f>
        <v>0</v>
      </c>
      <c r="CJ44" s="462">
        <f t="shared" si="12"/>
        <v>0</v>
      </c>
      <c r="CK44" s="462" t="str">
        <f t="shared" si="13"/>
        <v/>
      </c>
      <c r="CL44" s="462" t="str">
        <f t="shared" si="14"/>
        <v/>
      </c>
      <c r="CM44" s="462" t="str">
        <f t="shared" si="15"/>
        <v/>
      </c>
      <c r="CN44" s="462" t="str">
        <f t="shared" si="16"/>
        <v>0450-35</v>
      </c>
    </row>
    <row r="45" spans="1:92" ht="15" thickBot="1" x14ac:dyDescent="0.35">
      <c r="A45" s="376" t="s">
        <v>161</v>
      </c>
      <c r="B45" s="376" t="s">
        <v>162</v>
      </c>
      <c r="C45" s="376" t="s">
        <v>262</v>
      </c>
      <c r="D45" s="376" t="s">
        <v>263</v>
      </c>
      <c r="E45" s="376" t="s">
        <v>314</v>
      </c>
      <c r="F45" s="382" t="s">
        <v>382</v>
      </c>
      <c r="G45" s="376" t="s">
        <v>167</v>
      </c>
      <c r="H45" s="378"/>
      <c r="I45" s="378"/>
      <c r="J45" s="376" t="s">
        <v>168</v>
      </c>
      <c r="K45" s="376" t="s">
        <v>264</v>
      </c>
      <c r="L45" s="376" t="s">
        <v>181</v>
      </c>
      <c r="M45" s="376" t="s">
        <v>265</v>
      </c>
      <c r="N45" s="376" t="s">
        <v>172</v>
      </c>
      <c r="O45" s="379">
        <v>0</v>
      </c>
      <c r="P45" s="460">
        <v>1</v>
      </c>
      <c r="Q45" s="460">
        <v>1</v>
      </c>
      <c r="R45" s="380">
        <v>80</v>
      </c>
      <c r="S45" s="460">
        <v>1</v>
      </c>
      <c r="T45" s="380">
        <v>0</v>
      </c>
      <c r="U45" s="380">
        <v>0</v>
      </c>
      <c r="V45" s="380">
        <v>0</v>
      </c>
      <c r="W45" s="380">
        <v>66788.800000000003</v>
      </c>
      <c r="X45" s="380">
        <v>29253.49</v>
      </c>
      <c r="Y45" s="380">
        <v>66788.800000000003</v>
      </c>
      <c r="Z45" s="380">
        <v>28919.55</v>
      </c>
      <c r="AA45" s="378"/>
      <c r="AB45" s="378"/>
      <c r="AC45" s="378"/>
      <c r="AD45" s="378"/>
      <c r="AE45" s="378"/>
      <c r="AF45" s="378"/>
      <c r="AG45" s="378"/>
      <c r="AH45" s="379">
        <v>0</v>
      </c>
      <c r="AI45" s="379">
        <v>0</v>
      </c>
      <c r="AJ45" s="378"/>
      <c r="AK45" s="378"/>
      <c r="AL45" s="376" t="s">
        <v>181</v>
      </c>
      <c r="AM45" s="378"/>
      <c r="AN45" s="378"/>
      <c r="AO45" s="379">
        <v>0</v>
      </c>
      <c r="AP45" s="460">
        <v>0</v>
      </c>
      <c r="AQ45" s="460">
        <v>0</v>
      </c>
      <c r="AR45" s="459"/>
      <c r="AS45" s="462">
        <f t="shared" si="0"/>
        <v>0</v>
      </c>
      <c r="AT45">
        <f t="shared" si="1"/>
        <v>0</v>
      </c>
      <c r="AU45" s="462" t="str">
        <f>IF(AT45=0,"",IF(AND(AT45=1,M45="F",SUMIF(C2:C170,C45,AS2:AS170)&lt;=1),SUMIF(C2:C170,C45,AS2:AS170),IF(AND(AT45=1,M45="F",SUMIF(C2:C170,C45,AS2:AS170)&gt;1),1,"")))</f>
        <v/>
      </c>
      <c r="AV45" s="462" t="str">
        <f>IF(AT45=0,"",IF(AND(AT45=3,M45="F",SUMIF(C2:C170,C45,AS2:AS170)&lt;=1),SUMIF(C2:C170,C45,AS2:AS170),IF(AND(AT45=3,M45="F",SUMIF(C2:C170,C45,AS2:AS170)&gt;1),1,"")))</f>
        <v/>
      </c>
      <c r="AW45" s="462">
        <f>SUMIF(C2:C170,C45,O2:O170)</f>
        <v>0</v>
      </c>
      <c r="AX45" s="462">
        <f>IF(AND(M45="F",AS45&lt;&gt;0),SUMIF(C2:C170,C45,W2:W170),0)</f>
        <v>0</v>
      </c>
      <c r="AY45" s="462" t="str">
        <f t="shared" si="2"/>
        <v/>
      </c>
      <c r="AZ45" s="462" t="str">
        <f t="shared" si="3"/>
        <v/>
      </c>
      <c r="BA45" s="462">
        <f t="shared" si="4"/>
        <v>0</v>
      </c>
      <c r="BB45" s="462">
        <f>IF(AND(AT45=1,AK45="E",AU45&gt;=0.75,AW45=1),Health,IF(AND(AT45=1,AK45="E",AU45&gt;=0.75),Health*P45,IF(AND(AT45=1,AK45="E",AU45&gt;=0.5,AW45=1),PTHealth,IF(AND(AT45=1,AK45="E",AU45&gt;=0.5),PTHealth*P45,0))))</f>
        <v>0</v>
      </c>
      <c r="BC45" s="462">
        <f>IF(AND(AT45=3,AK45="E",AV45&gt;=0.75,AW45=1),Health,IF(AND(AT45=3,AK45="E",AV45&gt;=0.75),Health*P45,IF(AND(AT45=3,AK45="E",AV45&gt;=0.5,AW45=1),PTHealth,IF(AND(AT45=3,AK45="E",AV45&gt;=0.5),PTHealth*P45,0))))</f>
        <v>0</v>
      </c>
      <c r="BD45" s="462">
        <f>IF(AND(AT45&lt;&gt;0,AX45&gt;=MAXSSDI),SSDI*MAXSSDI*P45,IF(AT45&lt;&gt;0,SSDI*W45,0))</f>
        <v>0</v>
      </c>
      <c r="BE45" s="462">
        <f>IF(AT45&lt;&gt;0,SSHI*W45,0)</f>
        <v>0</v>
      </c>
      <c r="BF45" s="462">
        <f>IF(AND(AT45&lt;&gt;0,AN45&lt;&gt;"NE"),VLOOKUP(AN45,Retirement_Rates,3,FALSE)*W45,0)</f>
        <v>0</v>
      </c>
      <c r="BG45" s="462">
        <f>IF(AND(AT45&lt;&gt;0,AJ45&lt;&gt;"PF"),Life*W45,0)</f>
        <v>0</v>
      </c>
      <c r="BH45" s="462">
        <f>IF(AND(AT45&lt;&gt;0,AM45="Y"),UI*W45,0)</f>
        <v>0</v>
      </c>
      <c r="BI45" s="462">
        <f>IF(AND(AT45&lt;&gt;0,N45&lt;&gt;"NR"),DHR*W45,0)</f>
        <v>0</v>
      </c>
      <c r="BJ45" s="462">
        <f>IF(AT45&lt;&gt;0,WC*W45,0)</f>
        <v>0</v>
      </c>
      <c r="BK45" s="462">
        <f>IF(OR(AND(AT45&lt;&gt;0,AJ45&lt;&gt;"PF",AN45&lt;&gt;"NE",AG45&lt;&gt;"A"),AND(AL45="E",OR(AT45=1,AT45=3))),Sick*W45,0)</f>
        <v>0</v>
      </c>
      <c r="BL45" s="462">
        <f t="shared" si="5"/>
        <v>0</v>
      </c>
      <c r="BM45" s="462">
        <f t="shared" si="6"/>
        <v>0</v>
      </c>
      <c r="BN45" s="462">
        <f>IF(AND(AT45=1,AK45="E",AU45&gt;=0.75,AW45=1),HealthBY,IF(AND(AT45=1,AK45="E",AU45&gt;=0.75),HealthBY*P45,IF(AND(AT45=1,AK45="E",AU45&gt;=0.5,AW45=1),PTHealthBY,IF(AND(AT45=1,AK45="E",AU45&gt;=0.5),PTHealthBY*P45,0))))</f>
        <v>0</v>
      </c>
      <c r="BO45" s="462">
        <f>IF(AND(AT45=3,AK45="E",AV45&gt;=0.75,AW45=1),HealthBY,IF(AND(AT45=3,AK45="E",AV45&gt;=0.75),HealthBY*P45,IF(AND(AT45=3,AK45="E",AV45&gt;=0.5,AW45=1),PTHealthBY,IF(AND(AT45=3,AK45="E",AV45&gt;=0.5),PTHealthBY*P45,0))))</f>
        <v>0</v>
      </c>
      <c r="BP45" s="462">
        <f>IF(AND(AT45&lt;&gt;0,(AX45+BA45)&gt;=MAXSSDIBY),SSDIBY*MAXSSDIBY*P45,IF(AT45&lt;&gt;0,SSDIBY*W45,0))</f>
        <v>0</v>
      </c>
      <c r="BQ45" s="462">
        <f>IF(AT45&lt;&gt;0,SSHIBY*W45,0)</f>
        <v>0</v>
      </c>
      <c r="BR45" s="462">
        <f>IF(AND(AT45&lt;&gt;0,AN45&lt;&gt;"NE"),VLOOKUP(AN45,Retirement_Rates,4,FALSE)*W45,0)</f>
        <v>0</v>
      </c>
      <c r="BS45" s="462">
        <f>IF(AND(AT45&lt;&gt;0,AJ45&lt;&gt;"PF"),LifeBY*W45,0)</f>
        <v>0</v>
      </c>
      <c r="BT45" s="462">
        <f>IF(AND(AT45&lt;&gt;0,AM45="Y"),UIBY*W45,0)</f>
        <v>0</v>
      </c>
      <c r="BU45" s="462">
        <f>IF(AND(AT45&lt;&gt;0,N45&lt;&gt;"NR"),DHRBY*W45,0)</f>
        <v>0</v>
      </c>
      <c r="BV45" s="462">
        <f>IF(AT45&lt;&gt;0,WCBY*W45,0)</f>
        <v>0</v>
      </c>
      <c r="BW45" s="462">
        <f>IF(OR(AND(AT45&lt;&gt;0,AJ45&lt;&gt;"PF",AN45&lt;&gt;"NE",AG45&lt;&gt;"A"),AND(AL45="E",OR(AT45=1,AT45=3))),SickBY*W45,0)</f>
        <v>0</v>
      </c>
      <c r="BX45" s="462">
        <f t="shared" si="7"/>
        <v>0</v>
      </c>
      <c r="BY45" s="462">
        <f t="shared" si="8"/>
        <v>0</v>
      </c>
      <c r="BZ45" s="462">
        <f t="shared" si="9"/>
        <v>0</v>
      </c>
      <c r="CA45" s="462">
        <f t="shared" si="10"/>
        <v>0</v>
      </c>
      <c r="CB45" s="462">
        <f t="shared" si="11"/>
        <v>0</v>
      </c>
      <c r="CC45" s="462">
        <f>IF(AT45&lt;&gt;0,SSHICHG*Y45,0)</f>
        <v>0</v>
      </c>
      <c r="CD45" s="462">
        <f>IF(AND(AT45&lt;&gt;0,AN45&lt;&gt;"NE"),VLOOKUP(AN45,Retirement_Rates,5,FALSE)*Y45,0)</f>
        <v>0</v>
      </c>
      <c r="CE45" s="462">
        <f>IF(AND(AT45&lt;&gt;0,AJ45&lt;&gt;"PF"),LifeCHG*Y45,0)</f>
        <v>0</v>
      </c>
      <c r="CF45" s="462">
        <f>IF(AND(AT45&lt;&gt;0,AM45="Y"),UICHG*Y45,0)</f>
        <v>0</v>
      </c>
      <c r="CG45" s="462">
        <f>IF(AND(AT45&lt;&gt;0,N45&lt;&gt;"NR"),DHRCHG*Y45,0)</f>
        <v>0</v>
      </c>
      <c r="CH45" s="462">
        <f>IF(AT45&lt;&gt;0,WCCHG*Y45,0)</f>
        <v>0</v>
      </c>
      <c r="CI45" s="462">
        <f>IF(OR(AND(AT45&lt;&gt;0,AJ45&lt;&gt;"PF",AN45&lt;&gt;"NE",AG45&lt;&gt;"A"),AND(AL45="E",OR(AT45=1,AT45=3))),SickCHG*Y45,0)</f>
        <v>0</v>
      </c>
      <c r="CJ45" s="462">
        <f t="shared" si="12"/>
        <v>0</v>
      </c>
      <c r="CK45" s="462" t="str">
        <f t="shared" si="13"/>
        <v/>
      </c>
      <c r="CL45" s="462" t="str">
        <f t="shared" si="14"/>
        <v/>
      </c>
      <c r="CM45" s="462" t="str">
        <f t="shared" si="15"/>
        <v/>
      </c>
      <c r="CN45" s="462" t="str">
        <f t="shared" si="16"/>
        <v>0450-35</v>
      </c>
    </row>
    <row r="46" spans="1:92" ht="15" thickBot="1" x14ac:dyDescent="0.35">
      <c r="A46" s="376" t="s">
        <v>161</v>
      </c>
      <c r="B46" s="376" t="s">
        <v>162</v>
      </c>
      <c r="C46" s="376" t="s">
        <v>405</v>
      </c>
      <c r="D46" s="376" t="s">
        <v>313</v>
      </c>
      <c r="E46" s="376" t="s">
        <v>314</v>
      </c>
      <c r="F46" s="382" t="s">
        <v>406</v>
      </c>
      <c r="G46" s="376" t="s">
        <v>167</v>
      </c>
      <c r="H46" s="378"/>
      <c r="I46" s="378"/>
      <c r="J46" s="376" t="s">
        <v>168</v>
      </c>
      <c r="K46" s="376" t="s">
        <v>316</v>
      </c>
      <c r="L46" s="376" t="s">
        <v>216</v>
      </c>
      <c r="M46" s="376" t="s">
        <v>171</v>
      </c>
      <c r="N46" s="376" t="s">
        <v>172</v>
      </c>
      <c r="O46" s="379">
        <v>1</v>
      </c>
      <c r="P46" s="460">
        <v>1</v>
      </c>
      <c r="Q46" s="460">
        <v>1</v>
      </c>
      <c r="R46" s="380">
        <v>80</v>
      </c>
      <c r="S46" s="460">
        <v>1</v>
      </c>
      <c r="T46" s="380">
        <v>68495.399999999994</v>
      </c>
      <c r="U46" s="380">
        <v>0</v>
      </c>
      <c r="V46" s="380">
        <v>25604.68</v>
      </c>
      <c r="W46" s="380">
        <v>67142.399999999994</v>
      </c>
      <c r="X46" s="380">
        <v>26122.5</v>
      </c>
      <c r="Y46" s="380">
        <v>67142.399999999994</v>
      </c>
      <c r="Z46" s="380">
        <v>25773.37</v>
      </c>
      <c r="AA46" s="376" t="s">
        <v>407</v>
      </c>
      <c r="AB46" s="376" t="s">
        <v>408</v>
      </c>
      <c r="AC46" s="376" t="s">
        <v>409</v>
      </c>
      <c r="AD46" s="376" t="s">
        <v>220</v>
      </c>
      <c r="AE46" s="376" t="s">
        <v>316</v>
      </c>
      <c r="AF46" s="376" t="s">
        <v>311</v>
      </c>
      <c r="AG46" s="376" t="s">
        <v>178</v>
      </c>
      <c r="AH46" s="381">
        <v>32.28</v>
      </c>
      <c r="AI46" s="381">
        <v>48266.2</v>
      </c>
      <c r="AJ46" s="376" t="s">
        <v>179</v>
      </c>
      <c r="AK46" s="376" t="s">
        <v>180</v>
      </c>
      <c r="AL46" s="376" t="s">
        <v>181</v>
      </c>
      <c r="AM46" s="376" t="s">
        <v>182</v>
      </c>
      <c r="AN46" s="376" t="s">
        <v>68</v>
      </c>
      <c r="AO46" s="379">
        <v>80</v>
      </c>
      <c r="AP46" s="460">
        <v>1</v>
      </c>
      <c r="AQ46" s="460">
        <v>1</v>
      </c>
      <c r="AR46" s="458" t="s">
        <v>183</v>
      </c>
      <c r="AS46" s="462">
        <f t="shared" si="0"/>
        <v>1</v>
      </c>
      <c r="AT46">
        <f t="shared" si="1"/>
        <v>1</v>
      </c>
      <c r="AU46" s="462">
        <f>IF(AT46=0,"",IF(AND(AT46=1,M46="F",SUMIF(C2:C170,C46,AS2:AS170)&lt;=1),SUMIF(C2:C170,C46,AS2:AS170),IF(AND(AT46=1,M46="F",SUMIF(C2:C170,C46,AS2:AS170)&gt;1),1,"")))</f>
        <v>1</v>
      </c>
      <c r="AV46" s="462" t="str">
        <f>IF(AT46=0,"",IF(AND(AT46=3,M46="F",SUMIF(C2:C170,C46,AS2:AS170)&lt;=1),SUMIF(C2:C170,C46,AS2:AS170),IF(AND(AT46=3,M46="F",SUMIF(C2:C170,C46,AS2:AS170)&gt;1),1,"")))</f>
        <v/>
      </c>
      <c r="AW46" s="462">
        <f>SUMIF(C2:C170,C46,O2:O170)</f>
        <v>1</v>
      </c>
      <c r="AX46" s="462">
        <f>IF(AND(M46="F",AS46&lt;&gt;0),SUMIF(C2:C170,C46,W2:W170),0)</f>
        <v>67142.399999999994</v>
      </c>
      <c r="AY46" s="462">
        <f t="shared" si="2"/>
        <v>67142.399999999994</v>
      </c>
      <c r="AZ46" s="462" t="str">
        <f t="shared" si="3"/>
        <v/>
      </c>
      <c r="BA46" s="462">
        <f t="shared" si="4"/>
        <v>0</v>
      </c>
      <c r="BB46" s="462">
        <f>IF(AND(AT46=1,AK46="E",AU46&gt;=0.75,AW46=1),Health,IF(AND(AT46=1,AK46="E",AU46&gt;=0.75),Health*P46,IF(AND(AT46=1,AK46="E",AU46&gt;=0.5,AW46=1),PTHealth,IF(AND(AT46=1,AK46="E",AU46&gt;=0.5),PTHealth*P46,0))))</f>
        <v>11650</v>
      </c>
      <c r="BC46" s="462">
        <f>IF(AND(AT46=3,AK46="E",AV46&gt;=0.75,AW46=1),Health,IF(AND(AT46=3,AK46="E",AV46&gt;=0.75),Health*P46,IF(AND(AT46=3,AK46="E",AV46&gt;=0.5,AW46=1),PTHealth,IF(AND(AT46=3,AK46="E",AV46&gt;=0.5),PTHealth*P46,0))))</f>
        <v>0</v>
      </c>
      <c r="BD46" s="462">
        <f>IF(AND(AT46&lt;&gt;0,AX46&gt;=MAXSSDI),SSDI*MAXSSDI*P46,IF(AT46&lt;&gt;0,SSDI*W46,0))</f>
        <v>4162.8287999999993</v>
      </c>
      <c r="BE46" s="462">
        <f>IF(AT46&lt;&gt;0,SSHI*W46,0)</f>
        <v>973.56479999999999</v>
      </c>
      <c r="BF46" s="462">
        <f>IF(AND(AT46&lt;&gt;0,AN46&lt;&gt;"NE"),VLOOKUP(AN46,Retirement_Rates,3,FALSE)*W46,0)</f>
        <v>8016.8025600000001</v>
      </c>
      <c r="BG46" s="462">
        <f>IF(AND(AT46&lt;&gt;0,AJ46&lt;&gt;"PF"),Life*W46,0)</f>
        <v>484.09670399999999</v>
      </c>
      <c r="BH46" s="462">
        <f>IF(AND(AT46&lt;&gt;0,AM46="Y"),UI*W46,0)</f>
        <v>328.99775999999997</v>
      </c>
      <c r="BI46" s="462">
        <f>IF(AND(AT46&lt;&gt;0,N46&lt;&gt;"NR"),DHR*W46,0)</f>
        <v>371.96889599999997</v>
      </c>
      <c r="BJ46" s="462">
        <f>IF(AT46&lt;&gt;0,WC*W46,0)</f>
        <v>134.28479999999999</v>
      </c>
      <c r="BK46" s="462">
        <f>IF(OR(AND(AT46&lt;&gt;0,AJ46&lt;&gt;"PF",AN46&lt;&gt;"NE",AG46&lt;&gt;"A"),AND(AL46="E",OR(AT46=1,AT46=3))),Sick*W46,0)</f>
        <v>0</v>
      </c>
      <c r="BL46" s="462">
        <f t="shared" si="5"/>
        <v>14472.544319999999</v>
      </c>
      <c r="BM46" s="462">
        <f t="shared" si="6"/>
        <v>0</v>
      </c>
      <c r="BN46" s="462">
        <f>IF(AND(AT46=1,AK46="E",AU46&gt;=0.75,AW46=1),HealthBY,IF(AND(AT46=1,AK46="E",AU46&gt;=0.75),HealthBY*P46,IF(AND(AT46=1,AK46="E",AU46&gt;=0.5,AW46=1),PTHealthBY,IF(AND(AT46=1,AK46="E",AU46&gt;=0.5),PTHealthBY*P46,0))))</f>
        <v>11650</v>
      </c>
      <c r="BO46" s="462">
        <f>IF(AND(AT46=3,AK46="E",AV46&gt;=0.75,AW46=1),HealthBY,IF(AND(AT46=3,AK46="E",AV46&gt;=0.75),HealthBY*P46,IF(AND(AT46=3,AK46="E",AV46&gt;=0.5,AW46=1),PTHealthBY,IF(AND(AT46=3,AK46="E",AV46&gt;=0.5),PTHealthBY*P46,0))))</f>
        <v>0</v>
      </c>
      <c r="BP46" s="462">
        <f>IF(AND(AT46&lt;&gt;0,(AX46+BA46)&gt;=MAXSSDIBY),SSDIBY*MAXSSDIBY*P46,IF(AT46&lt;&gt;0,SSDIBY*W46,0))</f>
        <v>4162.8287999999993</v>
      </c>
      <c r="BQ46" s="462">
        <f>IF(AT46&lt;&gt;0,SSHIBY*W46,0)</f>
        <v>973.56479999999999</v>
      </c>
      <c r="BR46" s="462">
        <f>IF(AND(AT46&lt;&gt;0,AN46&lt;&gt;"NE"),VLOOKUP(AN46,Retirement_Rates,4,FALSE)*W46,0)</f>
        <v>8016.8025600000001</v>
      </c>
      <c r="BS46" s="462">
        <f>IF(AND(AT46&lt;&gt;0,AJ46&lt;&gt;"PF"),LifeBY*W46,0)</f>
        <v>484.09670399999999</v>
      </c>
      <c r="BT46" s="462">
        <f>IF(AND(AT46&lt;&gt;0,AM46="Y"),UIBY*W46,0)</f>
        <v>0</v>
      </c>
      <c r="BU46" s="462">
        <f>IF(AND(AT46&lt;&gt;0,N46&lt;&gt;"NR"),DHRBY*W46,0)</f>
        <v>371.96889599999997</v>
      </c>
      <c r="BV46" s="462">
        <f>IF(AT46&lt;&gt;0,WCBY*W46,0)</f>
        <v>114.14207999999998</v>
      </c>
      <c r="BW46" s="462">
        <f>IF(OR(AND(AT46&lt;&gt;0,AJ46&lt;&gt;"PF",AN46&lt;&gt;"NE",AG46&lt;&gt;"A"),AND(AL46="E",OR(AT46=1,AT46=3))),SickBY*W46,0)</f>
        <v>0</v>
      </c>
      <c r="BX46" s="462">
        <f t="shared" si="7"/>
        <v>14123.403839999999</v>
      </c>
      <c r="BY46" s="462">
        <f t="shared" si="8"/>
        <v>0</v>
      </c>
      <c r="BZ46" s="462">
        <f t="shared" si="9"/>
        <v>0</v>
      </c>
      <c r="CA46" s="462">
        <f t="shared" si="10"/>
        <v>0</v>
      </c>
      <c r="CB46" s="462">
        <f t="shared" si="11"/>
        <v>0</v>
      </c>
      <c r="CC46" s="462">
        <f>IF(AT46&lt;&gt;0,SSHICHG*Y46,0)</f>
        <v>0</v>
      </c>
      <c r="CD46" s="462">
        <f>IF(AND(AT46&lt;&gt;0,AN46&lt;&gt;"NE"),VLOOKUP(AN46,Retirement_Rates,5,FALSE)*Y46,0)</f>
        <v>0</v>
      </c>
      <c r="CE46" s="462">
        <f>IF(AND(AT46&lt;&gt;0,AJ46&lt;&gt;"PF"),LifeCHG*Y46,0)</f>
        <v>0</v>
      </c>
      <c r="CF46" s="462">
        <f>IF(AND(AT46&lt;&gt;0,AM46="Y"),UICHG*Y46,0)</f>
        <v>-328.99775999999997</v>
      </c>
      <c r="CG46" s="462">
        <f>IF(AND(AT46&lt;&gt;0,N46&lt;&gt;"NR"),DHRCHG*Y46,0)</f>
        <v>0</v>
      </c>
      <c r="CH46" s="462">
        <f>IF(AT46&lt;&gt;0,WCCHG*Y46,0)</f>
        <v>-20.142720000000008</v>
      </c>
      <c r="CI46" s="462">
        <f>IF(OR(AND(AT46&lt;&gt;0,AJ46&lt;&gt;"PF",AN46&lt;&gt;"NE",AG46&lt;&gt;"A"),AND(AL46="E",OR(AT46=1,AT46=3))),SickCHG*Y46,0)</f>
        <v>0</v>
      </c>
      <c r="CJ46" s="462">
        <f t="shared" si="12"/>
        <v>-349.14047999999997</v>
      </c>
      <c r="CK46" s="462" t="str">
        <f t="shared" si="13"/>
        <v/>
      </c>
      <c r="CL46" s="462" t="str">
        <f t="shared" si="14"/>
        <v/>
      </c>
      <c r="CM46" s="462" t="str">
        <f t="shared" si="15"/>
        <v/>
      </c>
      <c r="CN46" s="462" t="str">
        <f t="shared" si="16"/>
        <v>0450-38</v>
      </c>
    </row>
    <row r="47" spans="1:92" ht="15" thickBot="1" x14ac:dyDescent="0.35">
      <c r="A47" s="376" t="s">
        <v>161</v>
      </c>
      <c r="B47" s="376" t="s">
        <v>162</v>
      </c>
      <c r="C47" s="376" t="s">
        <v>410</v>
      </c>
      <c r="D47" s="376" t="s">
        <v>313</v>
      </c>
      <c r="E47" s="376" t="s">
        <v>314</v>
      </c>
      <c r="F47" s="382" t="s">
        <v>406</v>
      </c>
      <c r="G47" s="376" t="s">
        <v>167</v>
      </c>
      <c r="H47" s="378"/>
      <c r="I47" s="378"/>
      <c r="J47" s="376" t="s">
        <v>168</v>
      </c>
      <c r="K47" s="376" t="s">
        <v>411</v>
      </c>
      <c r="L47" s="376" t="s">
        <v>220</v>
      </c>
      <c r="M47" s="376" t="s">
        <v>171</v>
      </c>
      <c r="N47" s="376" t="s">
        <v>172</v>
      </c>
      <c r="O47" s="379">
        <v>1</v>
      </c>
      <c r="P47" s="460">
        <v>1</v>
      </c>
      <c r="Q47" s="460">
        <v>1</v>
      </c>
      <c r="R47" s="380">
        <v>80</v>
      </c>
      <c r="S47" s="460">
        <v>1</v>
      </c>
      <c r="T47" s="380">
        <v>61493.59</v>
      </c>
      <c r="U47" s="380">
        <v>0</v>
      </c>
      <c r="V47" s="380">
        <v>25338.95</v>
      </c>
      <c r="W47" s="380">
        <v>62275.199999999997</v>
      </c>
      <c r="X47" s="380">
        <v>25073.39</v>
      </c>
      <c r="Y47" s="380">
        <v>62275.199999999997</v>
      </c>
      <c r="Z47" s="380">
        <v>24749.56</v>
      </c>
      <c r="AA47" s="376" t="s">
        <v>412</v>
      </c>
      <c r="AB47" s="376" t="s">
        <v>413</v>
      </c>
      <c r="AC47" s="376" t="s">
        <v>414</v>
      </c>
      <c r="AD47" s="376" t="s">
        <v>220</v>
      </c>
      <c r="AE47" s="376" t="s">
        <v>411</v>
      </c>
      <c r="AF47" s="376" t="s">
        <v>224</v>
      </c>
      <c r="AG47" s="376" t="s">
        <v>178</v>
      </c>
      <c r="AH47" s="381">
        <v>29.94</v>
      </c>
      <c r="AI47" s="381">
        <v>12243.8</v>
      </c>
      <c r="AJ47" s="376" t="s">
        <v>179</v>
      </c>
      <c r="AK47" s="376" t="s">
        <v>180</v>
      </c>
      <c r="AL47" s="376" t="s">
        <v>181</v>
      </c>
      <c r="AM47" s="376" t="s">
        <v>182</v>
      </c>
      <c r="AN47" s="376" t="s">
        <v>68</v>
      </c>
      <c r="AO47" s="379">
        <v>80</v>
      </c>
      <c r="AP47" s="460">
        <v>1</v>
      </c>
      <c r="AQ47" s="460">
        <v>1</v>
      </c>
      <c r="AR47" s="458" t="s">
        <v>183</v>
      </c>
      <c r="AS47" s="462">
        <f t="shared" si="0"/>
        <v>1</v>
      </c>
      <c r="AT47">
        <f t="shared" si="1"/>
        <v>1</v>
      </c>
      <c r="AU47" s="462">
        <f>IF(AT47=0,"",IF(AND(AT47=1,M47="F",SUMIF(C2:C170,C47,AS2:AS170)&lt;=1),SUMIF(C2:C170,C47,AS2:AS170),IF(AND(AT47=1,M47="F",SUMIF(C2:C170,C47,AS2:AS170)&gt;1),1,"")))</f>
        <v>1</v>
      </c>
      <c r="AV47" s="462" t="str">
        <f>IF(AT47=0,"",IF(AND(AT47=3,M47="F",SUMIF(C2:C170,C47,AS2:AS170)&lt;=1),SUMIF(C2:C170,C47,AS2:AS170),IF(AND(AT47=3,M47="F",SUMIF(C2:C170,C47,AS2:AS170)&gt;1),1,"")))</f>
        <v/>
      </c>
      <c r="AW47" s="462">
        <f>SUMIF(C2:C170,C47,O2:O170)</f>
        <v>1</v>
      </c>
      <c r="AX47" s="462">
        <f>IF(AND(M47="F",AS47&lt;&gt;0),SUMIF(C2:C170,C47,W2:W170),0)</f>
        <v>62275.199999999997</v>
      </c>
      <c r="AY47" s="462">
        <f t="shared" si="2"/>
        <v>62275.199999999997</v>
      </c>
      <c r="AZ47" s="462" t="str">
        <f t="shared" si="3"/>
        <v/>
      </c>
      <c r="BA47" s="462">
        <f t="shared" si="4"/>
        <v>0</v>
      </c>
      <c r="BB47" s="462">
        <f>IF(AND(AT47=1,AK47="E",AU47&gt;=0.75,AW47=1),Health,IF(AND(AT47=1,AK47="E",AU47&gt;=0.75),Health*P47,IF(AND(AT47=1,AK47="E",AU47&gt;=0.5,AW47=1),PTHealth,IF(AND(AT47=1,AK47="E",AU47&gt;=0.5),PTHealth*P47,0))))</f>
        <v>11650</v>
      </c>
      <c r="BC47" s="462">
        <f>IF(AND(AT47=3,AK47="E",AV47&gt;=0.75,AW47=1),Health,IF(AND(AT47=3,AK47="E",AV47&gt;=0.75),Health*P47,IF(AND(AT47=3,AK47="E",AV47&gt;=0.5,AW47=1),PTHealth,IF(AND(AT47=3,AK47="E",AV47&gt;=0.5),PTHealth*P47,0))))</f>
        <v>0</v>
      </c>
      <c r="BD47" s="462">
        <f>IF(AND(AT47&lt;&gt;0,AX47&gt;=MAXSSDI),SSDI*MAXSSDI*P47,IF(AT47&lt;&gt;0,SSDI*W47,0))</f>
        <v>3861.0623999999998</v>
      </c>
      <c r="BE47" s="462">
        <f>IF(AT47&lt;&gt;0,SSHI*W47,0)</f>
        <v>902.99040000000002</v>
      </c>
      <c r="BF47" s="462">
        <f>IF(AND(AT47&lt;&gt;0,AN47&lt;&gt;"NE"),VLOOKUP(AN47,Retirement_Rates,3,FALSE)*W47,0)</f>
        <v>7435.65888</v>
      </c>
      <c r="BG47" s="462">
        <f>IF(AND(AT47&lt;&gt;0,AJ47&lt;&gt;"PF"),Life*W47,0)</f>
        <v>449.00419199999999</v>
      </c>
      <c r="BH47" s="462">
        <f>IF(AND(AT47&lt;&gt;0,AM47="Y"),UI*W47,0)</f>
        <v>305.14847999999995</v>
      </c>
      <c r="BI47" s="462">
        <f>IF(AND(AT47&lt;&gt;0,N47&lt;&gt;"NR"),DHR*W47,0)</f>
        <v>345.00460799999996</v>
      </c>
      <c r="BJ47" s="462">
        <f>IF(AT47&lt;&gt;0,WC*W47,0)</f>
        <v>124.5504</v>
      </c>
      <c r="BK47" s="462">
        <f>IF(OR(AND(AT47&lt;&gt;0,AJ47&lt;&gt;"PF",AN47&lt;&gt;"NE",AG47&lt;&gt;"A"),AND(AL47="E",OR(AT47=1,AT47=3))),Sick*W47,0)</f>
        <v>0</v>
      </c>
      <c r="BL47" s="462">
        <f t="shared" si="5"/>
        <v>13423.41936</v>
      </c>
      <c r="BM47" s="462">
        <f t="shared" si="6"/>
        <v>0</v>
      </c>
      <c r="BN47" s="462">
        <f>IF(AND(AT47=1,AK47="E",AU47&gt;=0.75,AW47=1),HealthBY,IF(AND(AT47=1,AK47="E",AU47&gt;=0.75),HealthBY*P47,IF(AND(AT47=1,AK47="E",AU47&gt;=0.5,AW47=1),PTHealthBY,IF(AND(AT47=1,AK47="E",AU47&gt;=0.5),PTHealthBY*P47,0))))</f>
        <v>11650</v>
      </c>
      <c r="BO47" s="462">
        <f>IF(AND(AT47=3,AK47="E",AV47&gt;=0.75,AW47=1),HealthBY,IF(AND(AT47=3,AK47="E",AV47&gt;=0.75),HealthBY*P47,IF(AND(AT47=3,AK47="E",AV47&gt;=0.5,AW47=1),PTHealthBY,IF(AND(AT47=3,AK47="E",AV47&gt;=0.5),PTHealthBY*P47,0))))</f>
        <v>0</v>
      </c>
      <c r="BP47" s="462">
        <f>IF(AND(AT47&lt;&gt;0,(AX47+BA47)&gt;=MAXSSDIBY),SSDIBY*MAXSSDIBY*P47,IF(AT47&lt;&gt;0,SSDIBY*W47,0))</f>
        <v>3861.0623999999998</v>
      </c>
      <c r="BQ47" s="462">
        <f>IF(AT47&lt;&gt;0,SSHIBY*W47,0)</f>
        <v>902.99040000000002</v>
      </c>
      <c r="BR47" s="462">
        <f>IF(AND(AT47&lt;&gt;0,AN47&lt;&gt;"NE"),VLOOKUP(AN47,Retirement_Rates,4,FALSE)*W47,0)</f>
        <v>7435.65888</v>
      </c>
      <c r="BS47" s="462">
        <f>IF(AND(AT47&lt;&gt;0,AJ47&lt;&gt;"PF"),LifeBY*W47,0)</f>
        <v>449.00419199999999</v>
      </c>
      <c r="BT47" s="462">
        <f>IF(AND(AT47&lt;&gt;0,AM47="Y"),UIBY*W47,0)</f>
        <v>0</v>
      </c>
      <c r="BU47" s="462">
        <f>IF(AND(AT47&lt;&gt;0,N47&lt;&gt;"NR"),DHRBY*W47,0)</f>
        <v>345.00460799999996</v>
      </c>
      <c r="BV47" s="462">
        <f>IF(AT47&lt;&gt;0,WCBY*W47,0)</f>
        <v>105.86783999999999</v>
      </c>
      <c r="BW47" s="462">
        <f>IF(OR(AND(AT47&lt;&gt;0,AJ47&lt;&gt;"PF",AN47&lt;&gt;"NE",AG47&lt;&gt;"A"),AND(AL47="E",OR(AT47=1,AT47=3))),SickBY*W47,0)</f>
        <v>0</v>
      </c>
      <c r="BX47" s="462">
        <f t="shared" si="7"/>
        <v>13099.588320000001</v>
      </c>
      <c r="BY47" s="462">
        <f t="shared" si="8"/>
        <v>0</v>
      </c>
      <c r="BZ47" s="462">
        <f t="shared" si="9"/>
        <v>0</v>
      </c>
      <c r="CA47" s="462">
        <f t="shared" si="10"/>
        <v>0</v>
      </c>
      <c r="CB47" s="462">
        <f t="shared" si="11"/>
        <v>0</v>
      </c>
      <c r="CC47" s="462">
        <f>IF(AT47&lt;&gt;0,SSHICHG*Y47,0)</f>
        <v>0</v>
      </c>
      <c r="CD47" s="462">
        <f>IF(AND(AT47&lt;&gt;0,AN47&lt;&gt;"NE"),VLOOKUP(AN47,Retirement_Rates,5,FALSE)*Y47,0)</f>
        <v>0</v>
      </c>
      <c r="CE47" s="462">
        <f>IF(AND(AT47&lt;&gt;0,AJ47&lt;&gt;"PF"),LifeCHG*Y47,0)</f>
        <v>0</v>
      </c>
      <c r="CF47" s="462">
        <f>IF(AND(AT47&lt;&gt;0,AM47="Y"),UICHG*Y47,0)</f>
        <v>-305.14847999999995</v>
      </c>
      <c r="CG47" s="462">
        <f>IF(AND(AT47&lt;&gt;0,N47&lt;&gt;"NR"),DHRCHG*Y47,0)</f>
        <v>0</v>
      </c>
      <c r="CH47" s="462">
        <f>IF(AT47&lt;&gt;0,WCCHG*Y47,0)</f>
        <v>-18.682560000000009</v>
      </c>
      <c r="CI47" s="462">
        <f>IF(OR(AND(AT47&lt;&gt;0,AJ47&lt;&gt;"PF",AN47&lt;&gt;"NE",AG47&lt;&gt;"A"),AND(AL47="E",OR(AT47=1,AT47=3))),SickCHG*Y47,0)</f>
        <v>0</v>
      </c>
      <c r="CJ47" s="462">
        <f t="shared" si="12"/>
        <v>-323.83103999999997</v>
      </c>
      <c r="CK47" s="462" t="str">
        <f t="shared" si="13"/>
        <v/>
      </c>
      <c r="CL47" s="462" t="str">
        <f t="shared" si="14"/>
        <v/>
      </c>
      <c r="CM47" s="462" t="str">
        <f t="shared" si="15"/>
        <v/>
      </c>
      <c r="CN47" s="462" t="str">
        <f t="shared" si="16"/>
        <v>0450-38</v>
      </c>
    </row>
    <row r="48" spans="1:92" ht="15" thickBot="1" x14ac:dyDescent="0.35">
      <c r="A48" s="376" t="s">
        <v>161</v>
      </c>
      <c r="B48" s="376" t="s">
        <v>162</v>
      </c>
      <c r="C48" s="376" t="s">
        <v>340</v>
      </c>
      <c r="D48" s="376" t="s">
        <v>263</v>
      </c>
      <c r="E48" s="376" t="s">
        <v>314</v>
      </c>
      <c r="F48" s="382" t="s">
        <v>406</v>
      </c>
      <c r="G48" s="376" t="s">
        <v>167</v>
      </c>
      <c r="H48" s="378"/>
      <c r="I48" s="378"/>
      <c r="J48" s="376" t="s">
        <v>168</v>
      </c>
      <c r="K48" s="376" t="s">
        <v>321</v>
      </c>
      <c r="L48" s="376" t="s">
        <v>216</v>
      </c>
      <c r="M48" s="376" t="s">
        <v>171</v>
      </c>
      <c r="N48" s="376" t="s">
        <v>172</v>
      </c>
      <c r="O48" s="379">
        <v>1</v>
      </c>
      <c r="P48" s="460">
        <v>1</v>
      </c>
      <c r="Q48" s="460">
        <v>1</v>
      </c>
      <c r="R48" s="380">
        <v>80</v>
      </c>
      <c r="S48" s="460">
        <v>1</v>
      </c>
      <c r="T48" s="380">
        <v>0</v>
      </c>
      <c r="U48" s="380">
        <v>0</v>
      </c>
      <c r="V48" s="380">
        <v>0</v>
      </c>
      <c r="W48" s="380">
        <v>66830.399999999994</v>
      </c>
      <c r="X48" s="380">
        <v>26055.26</v>
      </c>
      <c r="Y48" s="380">
        <v>66830.399999999994</v>
      </c>
      <c r="Z48" s="380">
        <v>25707.75</v>
      </c>
      <c r="AA48" s="376" t="s">
        <v>341</v>
      </c>
      <c r="AB48" s="376" t="s">
        <v>342</v>
      </c>
      <c r="AC48" s="376" t="s">
        <v>189</v>
      </c>
      <c r="AD48" s="376" t="s">
        <v>180</v>
      </c>
      <c r="AE48" s="376" t="s">
        <v>321</v>
      </c>
      <c r="AF48" s="376" t="s">
        <v>311</v>
      </c>
      <c r="AG48" s="376" t="s">
        <v>178</v>
      </c>
      <c r="AH48" s="381">
        <v>32.130000000000003</v>
      </c>
      <c r="AI48" s="379">
        <v>1040</v>
      </c>
      <c r="AJ48" s="376" t="s">
        <v>179</v>
      </c>
      <c r="AK48" s="376" t="s">
        <v>180</v>
      </c>
      <c r="AL48" s="376" t="s">
        <v>181</v>
      </c>
      <c r="AM48" s="376" t="s">
        <v>182</v>
      </c>
      <c r="AN48" s="376" t="s">
        <v>68</v>
      </c>
      <c r="AO48" s="379">
        <v>80</v>
      </c>
      <c r="AP48" s="460">
        <v>1</v>
      </c>
      <c r="AQ48" s="460">
        <v>1</v>
      </c>
      <c r="AR48" s="458" t="s">
        <v>183</v>
      </c>
      <c r="AS48" s="462">
        <f t="shared" si="0"/>
        <v>1</v>
      </c>
      <c r="AT48">
        <f t="shared" si="1"/>
        <v>1</v>
      </c>
      <c r="AU48" s="462">
        <f>IF(AT48=0,"",IF(AND(AT48=1,M48="F",SUMIF(C2:C170,C48,AS2:AS170)&lt;=1),SUMIF(C2:C170,C48,AS2:AS170),IF(AND(AT48=1,M48="F",SUMIF(C2:C170,C48,AS2:AS170)&gt;1),1,"")))</f>
        <v>1</v>
      </c>
      <c r="AV48" s="462" t="str">
        <f>IF(AT48=0,"",IF(AND(AT48=3,M48="F",SUMIF(C2:C170,C48,AS2:AS170)&lt;=1),SUMIF(C2:C170,C48,AS2:AS170),IF(AND(AT48=3,M48="F",SUMIF(C2:C170,C48,AS2:AS170)&gt;1),1,"")))</f>
        <v/>
      </c>
      <c r="AW48" s="462">
        <f>SUMIF(C2:C170,C48,O2:O170)</f>
        <v>2</v>
      </c>
      <c r="AX48" s="462">
        <f>IF(AND(M48="F",AS48&lt;&gt;0),SUMIF(C2:C170,C48,W2:W170),0)</f>
        <v>66830.399999999994</v>
      </c>
      <c r="AY48" s="462">
        <f t="shared" si="2"/>
        <v>66830.399999999994</v>
      </c>
      <c r="AZ48" s="462" t="str">
        <f t="shared" si="3"/>
        <v/>
      </c>
      <c r="BA48" s="462">
        <f t="shared" si="4"/>
        <v>0</v>
      </c>
      <c r="BB48" s="462">
        <f>IF(AND(AT48=1,AK48="E",AU48&gt;=0.75,AW48=1),Health,IF(AND(AT48=1,AK48="E",AU48&gt;=0.75),Health*P48,IF(AND(AT48=1,AK48="E",AU48&gt;=0.5,AW48=1),PTHealth,IF(AND(AT48=1,AK48="E",AU48&gt;=0.5),PTHealth*P48,0))))</f>
        <v>11650</v>
      </c>
      <c r="BC48" s="462">
        <f>IF(AND(AT48=3,AK48="E",AV48&gt;=0.75,AW48=1),Health,IF(AND(AT48=3,AK48="E",AV48&gt;=0.75),Health*P48,IF(AND(AT48=3,AK48="E",AV48&gt;=0.5,AW48=1),PTHealth,IF(AND(AT48=3,AK48="E",AV48&gt;=0.5),PTHealth*P48,0))))</f>
        <v>0</v>
      </c>
      <c r="BD48" s="462">
        <f>IF(AND(AT48&lt;&gt;0,AX48&gt;=MAXSSDI),SSDI*MAXSSDI*P48,IF(AT48&lt;&gt;0,SSDI*W48,0))</f>
        <v>4143.4847999999993</v>
      </c>
      <c r="BE48" s="462">
        <f>IF(AT48&lt;&gt;0,SSHI*W48,0)</f>
        <v>969.04079999999999</v>
      </c>
      <c r="BF48" s="462">
        <f>IF(AND(AT48&lt;&gt;0,AN48&lt;&gt;"NE"),VLOOKUP(AN48,Retirement_Rates,3,FALSE)*W48,0)</f>
        <v>7979.5497599999999</v>
      </c>
      <c r="BG48" s="462">
        <f>IF(AND(AT48&lt;&gt;0,AJ48&lt;&gt;"PF"),Life*W48,0)</f>
        <v>481.84718399999997</v>
      </c>
      <c r="BH48" s="462">
        <f>IF(AND(AT48&lt;&gt;0,AM48="Y"),UI*W48,0)</f>
        <v>327.46895999999998</v>
      </c>
      <c r="BI48" s="462">
        <f>IF(AND(AT48&lt;&gt;0,N48&lt;&gt;"NR"),DHR*W48,0)</f>
        <v>370.24041599999993</v>
      </c>
      <c r="BJ48" s="462">
        <f>IF(AT48&lt;&gt;0,WC*W48,0)</f>
        <v>133.66079999999999</v>
      </c>
      <c r="BK48" s="462">
        <f>IF(OR(AND(AT48&lt;&gt;0,AJ48&lt;&gt;"PF",AN48&lt;&gt;"NE",AG48&lt;&gt;"A"),AND(AL48="E",OR(AT48=1,AT48=3))),Sick*W48,0)</f>
        <v>0</v>
      </c>
      <c r="BL48" s="462">
        <f t="shared" si="5"/>
        <v>14405.292719999999</v>
      </c>
      <c r="BM48" s="462">
        <f t="shared" si="6"/>
        <v>0</v>
      </c>
      <c r="BN48" s="462">
        <f>IF(AND(AT48=1,AK48="E",AU48&gt;=0.75,AW48=1),HealthBY,IF(AND(AT48=1,AK48="E",AU48&gt;=0.75),HealthBY*P48,IF(AND(AT48=1,AK48="E",AU48&gt;=0.5,AW48=1),PTHealthBY,IF(AND(AT48=1,AK48="E",AU48&gt;=0.5),PTHealthBY*P48,0))))</f>
        <v>11650</v>
      </c>
      <c r="BO48" s="462">
        <f>IF(AND(AT48=3,AK48="E",AV48&gt;=0.75,AW48=1),HealthBY,IF(AND(AT48=3,AK48="E",AV48&gt;=0.75),HealthBY*P48,IF(AND(AT48=3,AK48="E",AV48&gt;=0.5,AW48=1),PTHealthBY,IF(AND(AT48=3,AK48="E",AV48&gt;=0.5),PTHealthBY*P48,0))))</f>
        <v>0</v>
      </c>
      <c r="BP48" s="462">
        <f>IF(AND(AT48&lt;&gt;0,(AX48+BA48)&gt;=MAXSSDIBY),SSDIBY*MAXSSDIBY*P48,IF(AT48&lt;&gt;0,SSDIBY*W48,0))</f>
        <v>4143.4847999999993</v>
      </c>
      <c r="BQ48" s="462">
        <f>IF(AT48&lt;&gt;0,SSHIBY*W48,0)</f>
        <v>969.04079999999999</v>
      </c>
      <c r="BR48" s="462">
        <f>IF(AND(AT48&lt;&gt;0,AN48&lt;&gt;"NE"),VLOOKUP(AN48,Retirement_Rates,4,FALSE)*W48,0)</f>
        <v>7979.5497599999999</v>
      </c>
      <c r="BS48" s="462">
        <f>IF(AND(AT48&lt;&gt;0,AJ48&lt;&gt;"PF"),LifeBY*W48,0)</f>
        <v>481.84718399999997</v>
      </c>
      <c r="BT48" s="462">
        <f>IF(AND(AT48&lt;&gt;0,AM48="Y"),UIBY*W48,0)</f>
        <v>0</v>
      </c>
      <c r="BU48" s="462">
        <f>IF(AND(AT48&lt;&gt;0,N48&lt;&gt;"NR"),DHRBY*W48,0)</f>
        <v>370.24041599999993</v>
      </c>
      <c r="BV48" s="462">
        <f>IF(AT48&lt;&gt;0,WCBY*W48,0)</f>
        <v>113.61167999999998</v>
      </c>
      <c r="BW48" s="462">
        <f>IF(OR(AND(AT48&lt;&gt;0,AJ48&lt;&gt;"PF",AN48&lt;&gt;"NE",AG48&lt;&gt;"A"),AND(AL48="E",OR(AT48=1,AT48=3))),SickBY*W48,0)</f>
        <v>0</v>
      </c>
      <c r="BX48" s="462">
        <f t="shared" si="7"/>
        <v>14057.77464</v>
      </c>
      <c r="BY48" s="462">
        <f t="shared" si="8"/>
        <v>0</v>
      </c>
      <c r="BZ48" s="462">
        <f t="shared" si="9"/>
        <v>0</v>
      </c>
      <c r="CA48" s="462">
        <f t="shared" si="10"/>
        <v>0</v>
      </c>
      <c r="CB48" s="462">
        <f t="shared" si="11"/>
        <v>0</v>
      </c>
      <c r="CC48" s="462">
        <f>IF(AT48&lt;&gt;0,SSHICHG*Y48,0)</f>
        <v>0</v>
      </c>
      <c r="CD48" s="462">
        <f>IF(AND(AT48&lt;&gt;0,AN48&lt;&gt;"NE"),VLOOKUP(AN48,Retirement_Rates,5,FALSE)*Y48,0)</f>
        <v>0</v>
      </c>
      <c r="CE48" s="462">
        <f>IF(AND(AT48&lt;&gt;0,AJ48&lt;&gt;"PF"),LifeCHG*Y48,0)</f>
        <v>0</v>
      </c>
      <c r="CF48" s="462">
        <f>IF(AND(AT48&lt;&gt;0,AM48="Y"),UICHG*Y48,0)</f>
        <v>-327.46895999999998</v>
      </c>
      <c r="CG48" s="462">
        <f>IF(AND(AT48&lt;&gt;0,N48&lt;&gt;"NR"),DHRCHG*Y48,0)</f>
        <v>0</v>
      </c>
      <c r="CH48" s="462">
        <f>IF(AT48&lt;&gt;0,WCCHG*Y48,0)</f>
        <v>-20.049120000000006</v>
      </c>
      <c r="CI48" s="462">
        <f>IF(OR(AND(AT48&lt;&gt;0,AJ48&lt;&gt;"PF",AN48&lt;&gt;"NE",AG48&lt;&gt;"A"),AND(AL48="E",OR(AT48=1,AT48=3))),SickCHG*Y48,0)</f>
        <v>0</v>
      </c>
      <c r="CJ48" s="462">
        <f t="shared" si="12"/>
        <v>-347.51808</v>
      </c>
      <c r="CK48" s="462" t="str">
        <f t="shared" si="13"/>
        <v/>
      </c>
      <c r="CL48" s="462" t="str">
        <f t="shared" si="14"/>
        <v/>
      </c>
      <c r="CM48" s="462" t="str">
        <f t="shared" si="15"/>
        <v/>
      </c>
      <c r="CN48" s="462" t="str">
        <f t="shared" si="16"/>
        <v>0450-38</v>
      </c>
    </row>
    <row r="49" spans="1:92" ht="15" thickBot="1" x14ac:dyDescent="0.35">
      <c r="A49" s="376" t="s">
        <v>161</v>
      </c>
      <c r="B49" s="376" t="s">
        <v>162</v>
      </c>
      <c r="C49" s="376" t="s">
        <v>415</v>
      </c>
      <c r="D49" s="376" t="s">
        <v>356</v>
      </c>
      <c r="E49" s="376" t="s">
        <v>314</v>
      </c>
      <c r="F49" s="382" t="s">
        <v>406</v>
      </c>
      <c r="G49" s="376" t="s">
        <v>167</v>
      </c>
      <c r="H49" s="378"/>
      <c r="I49" s="378"/>
      <c r="J49" s="376" t="s">
        <v>168</v>
      </c>
      <c r="K49" s="376" t="s">
        <v>358</v>
      </c>
      <c r="L49" s="376" t="s">
        <v>176</v>
      </c>
      <c r="M49" s="376" t="s">
        <v>171</v>
      </c>
      <c r="N49" s="376" t="s">
        <v>172</v>
      </c>
      <c r="O49" s="379">
        <v>1</v>
      </c>
      <c r="P49" s="460">
        <v>1</v>
      </c>
      <c r="Q49" s="460">
        <v>1</v>
      </c>
      <c r="R49" s="380">
        <v>80</v>
      </c>
      <c r="S49" s="460">
        <v>1</v>
      </c>
      <c r="T49" s="380">
        <v>51601.71</v>
      </c>
      <c r="U49" s="380">
        <v>0</v>
      </c>
      <c r="V49" s="380">
        <v>22450.76</v>
      </c>
      <c r="W49" s="380">
        <v>52228.800000000003</v>
      </c>
      <c r="X49" s="380">
        <v>22907.87</v>
      </c>
      <c r="Y49" s="380">
        <v>52228.800000000003</v>
      </c>
      <c r="Z49" s="380">
        <v>22636.28</v>
      </c>
      <c r="AA49" s="376" t="s">
        <v>416</v>
      </c>
      <c r="AB49" s="376" t="s">
        <v>417</v>
      </c>
      <c r="AC49" s="376" t="s">
        <v>418</v>
      </c>
      <c r="AD49" s="376" t="s">
        <v>338</v>
      </c>
      <c r="AE49" s="376" t="s">
        <v>358</v>
      </c>
      <c r="AF49" s="376" t="s">
        <v>190</v>
      </c>
      <c r="AG49" s="376" t="s">
        <v>178</v>
      </c>
      <c r="AH49" s="381">
        <v>25.11</v>
      </c>
      <c r="AI49" s="381">
        <v>13557.4</v>
      </c>
      <c r="AJ49" s="376" t="s">
        <v>179</v>
      </c>
      <c r="AK49" s="376" t="s">
        <v>180</v>
      </c>
      <c r="AL49" s="376" t="s">
        <v>181</v>
      </c>
      <c r="AM49" s="376" t="s">
        <v>182</v>
      </c>
      <c r="AN49" s="376" t="s">
        <v>68</v>
      </c>
      <c r="AO49" s="379">
        <v>80</v>
      </c>
      <c r="AP49" s="460">
        <v>1</v>
      </c>
      <c r="AQ49" s="460">
        <v>1</v>
      </c>
      <c r="AR49" s="458" t="s">
        <v>183</v>
      </c>
      <c r="AS49" s="462">
        <f t="shared" si="0"/>
        <v>1</v>
      </c>
      <c r="AT49">
        <f t="shared" si="1"/>
        <v>1</v>
      </c>
      <c r="AU49" s="462">
        <f>IF(AT49=0,"",IF(AND(AT49=1,M49="F",SUMIF(C2:C170,C49,AS2:AS170)&lt;=1),SUMIF(C2:C170,C49,AS2:AS170),IF(AND(AT49=1,M49="F",SUMIF(C2:C170,C49,AS2:AS170)&gt;1),1,"")))</f>
        <v>1</v>
      </c>
      <c r="AV49" s="462" t="str">
        <f>IF(AT49=0,"",IF(AND(AT49=3,M49="F",SUMIF(C2:C170,C49,AS2:AS170)&lt;=1),SUMIF(C2:C170,C49,AS2:AS170),IF(AND(AT49=3,M49="F",SUMIF(C2:C170,C49,AS2:AS170)&gt;1),1,"")))</f>
        <v/>
      </c>
      <c r="AW49" s="462">
        <f>SUMIF(C2:C170,C49,O2:O170)</f>
        <v>1</v>
      </c>
      <c r="AX49" s="462">
        <f>IF(AND(M49="F",AS49&lt;&gt;0),SUMIF(C2:C170,C49,W2:W170),0)</f>
        <v>52228.800000000003</v>
      </c>
      <c r="AY49" s="462">
        <f t="shared" si="2"/>
        <v>52228.800000000003</v>
      </c>
      <c r="AZ49" s="462" t="str">
        <f t="shared" si="3"/>
        <v/>
      </c>
      <c r="BA49" s="462">
        <f t="shared" si="4"/>
        <v>0</v>
      </c>
      <c r="BB49" s="462">
        <f>IF(AND(AT49=1,AK49="E",AU49&gt;=0.75,AW49=1),Health,IF(AND(AT49=1,AK49="E",AU49&gt;=0.75),Health*P49,IF(AND(AT49=1,AK49="E",AU49&gt;=0.5,AW49=1),PTHealth,IF(AND(AT49=1,AK49="E",AU49&gt;=0.5),PTHealth*P49,0))))</f>
        <v>11650</v>
      </c>
      <c r="BC49" s="462">
        <f>IF(AND(AT49=3,AK49="E",AV49&gt;=0.75,AW49=1),Health,IF(AND(AT49=3,AK49="E",AV49&gt;=0.75),Health*P49,IF(AND(AT49=3,AK49="E",AV49&gt;=0.5,AW49=1),PTHealth,IF(AND(AT49=3,AK49="E",AV49&gt;=0.5),PTHealth*P49,0))))</f>
        <v>0</v>
      </c>
      <c r="BD49" s="462">
        <f>IF(AND(AT49&lt;&gt;0,AX49&gt;=MAXSSDI),SSDI*MAXSSDI*P49,IF(AT49&lt;&gt;0,SSDI*W49,0))</f>
        <v>3238.1856000000002</v>
      </c>
      <c r="BE49" s="462">
        <f>IF(AT49&lt;&gt;0,SSHI*W49,0)</f>
        <v>757.31760000000008</v>
      </c>
      <c r="BF49" s="462">
        <f>IF(AND(AT49&lt;&gt;0,AN49&lt;&gt;"NE"),VLOOKUP(AN49,Retirement_Rates,3,FALSE)*W49,0)</f>
        <v>6236.1187200000004</v>
      </c>
      <c r="BG49" s="462">
        <f>IF(AND(AT49&lt;&gt;0,AJ49&lt;&gt;"PF"),Life*W49,0)</f>
        <v>376.56964800000003</v>
      </c>
      <c r="BH49" s="462">
        <f>IF(AND(AT49&lt;&gt;0,AM49="Y"),UI*W49,0)</f>
        <v>255.92112</v>
      </c>
      <c r="BI49" s="462">
        <f>IF(AND(AT49&lt;&gt;0,N49&lt;&gt;"NR"),DHR*W49,0)</f>
        <v>289.34755200000001</v>
      </c>
      <c r="BJ49" s="462">
        <f>IF(AT49&lt;&gt;0,WC*W49,0)</f>
        <v>104.45760000000001</v>
      </c>
      <c r="BK49" s="462">
        <f>IF(OR(AND(AT49&lt;&gt;0,AJ49&lt;&gt;"PF",AN49&lt;&gt;"NE",AG49&lt;&gt;"A"),AND(AL49="E",OR(AT49=1,AT49=3))),Sick*W49,0)</f>
        <v>0</v>
      </c>
      <c r="BL49" s="462">
        <f t="shared" si="5"/>
        <v>11257.917840000002</v>
      </c>
      <c r="BM49" s="462">
        <f t="shared" si="6"/>
        <v>0</v>
      </c>
      <c r="BN49" s="462">
        <f>IF(AND(AT49=1,AK49="E",AU49&gt;=0.75,AW49=1),HealthBY,IF(AND(AT49=1,AK49="E",AU49&gt;=0.75),HealthBY*P49,IF(AND(AT49=1,AK49="E",AU49&gt;=0.5,AW49=1),PTHealthBY,IF(AND(AT49=1,AK49="E",AU49&gt;=0.5),PTHealthBY*P49,0))))</f>
        <v>11650</v>
      </c>
      <c r="BO49" s="462">
        <f>IF(AND(AT49=3,AK49="E",AV49&gt;=0.75,AW49=1),HealthBY,IF(AND(AT49=3,AK49="E",AV49&gt;=0.75),HealthBY*P49,IF(AND(AT49=3,AK49="E",AV49&gt;=0.5,AW49=1),PTHealthBY,IF(AND(AT49=3,AK49="E",AV49&gt;=0.5),PTHealthBY*P49,0))))</f>
        <v>0</v>
      </c>
      <c r="BP49" s="462">
        <f>IF(AND(AT49&lt;&gt;0,(AX49+BA49)&gt;=MAXSSDIBY),SSDIBY*MAXSSDIBY*P49,IF(AT49&lt;&gt;0,SSDIBY*W49,0))</f>
        <v>3238.1856000000002</v>
      </c>
      <c r="BQ49" s="462">
        <f>IF(AT49&lt;&gt;0,SSHIBY*W49,0)</f>
        <v>757.31760000000008</v>
      </c>
      <c r="BR49" s="462">
        <f>IF(AND(AT49&lt;&gt;0,AN49&lt;&gt;"NE"),VLOOKUP(AN49,Retirement_Rates,4,FALSE)*W49,0)</f>
        <v>6236.1187200000004</v>
      </c>
      <c r="BS49" s="462">
        <f>IF(AND(AT49&lt;&gt;0,AJ49&lt;&gt;"PF"),LifeBY*W49,0)</f>
        <v>376.56964800000003</v>
      </c>
      <c r="BT49" s="462">
        <f>IF(AND(AT49&lt;&gt;0,AM49="Y"),UIBY*W49,0)</f>
        <v>0</v>
      </c>
      <c r="BU49" s="462">
        <f>IF(AND(AT49&lt;&gt;0,N49&lt;&gt;"NR"),DHRBY*W49,0)</f>
        <v>289.34755200000001</v>
      </c>
      <c r="BV49" s="462">
        <f>IF(AT49&lt;&gt;0,WCBY*W49,0)</f>
        <v>88.788960000000003</v>
      </c>
      <c r="BW49" s="462">
        <f>IF(OR(AND(AT49&lt;&gt;0,AJ49&lt;&gt;"PF",AN49&lt;&gt;"NE",AG49&lt;&gt;"A"),AND(AL49="E",OR(AT49=1,AT49=3))),SickBY*W49,0)</f>
        <v>0</v>
      </c>
      <c r="BX49" s="462">
        <f t="shared" si="7"/>
        <v>10986.328080000001</v>
      </c>
      <c r="BY49" s="462">
        <f t="shared" si="8"/>
        <v>0</v>
      </c>
      <c r="BZ49" s="462">
        <f t="shared" si="9"/>
        <v>0</v>
      </c>
      <c r="CA49" s="462">
        <f t="shared" si="10"/>
        <v>0</v>
      </c>
      <c r="CB49" s="462">
        <f t="shared" si="11"/>
        <v>0</v>
      </c>
      <c r="CC49" s="462">
        <f>IF(AT49&lt;&gt;0,SSHICHG*Y49,0)</f>
        <v>0</v>
      </c>
      <c r="CD49" s="462">
        <f>IF(AND(AT49&lt;&gt;0,AN49&lt;&gt;"NE"),VLOOKUP(AN49,Retirement_Rates,5,FALSE)*Y49,0)</f>
        <v>0</v>
      </c>
      <c r="CE49" s="462">
        <f>IF(AND(AT49&lt;&gt;0,AJ49&lt;&gt;"PF"),LifeCHG*Y49,0)</f>
        <v>0</v>
      </c>
      <c r="CF49" s="462">
        <f>IF(AND(AT49&lt;&gt;0,AM49="Y"),UICHG*Y49,0)</f>
        <v>-255.92112</v>
      </c>
      <c r="CG49" s="462">
        <f>IF(AND(AT49&lt;&gt;0,N49&lt;&gt;"NR"),DHRCHG*Y49,0)</f>
        <v>0</v>
      </c>
      <c r="CH49" s="462">
        <f>IF(AT49&lt;&gt;0,WCCHG*Y49,0)</f>
        <v>-15.668640000000009</v>
      </c>
      <c r="CI49" s="462">
        <f>IF(OR(AND(AT49&lt;&gt;0,AJ49&lt;&gt;"PF",AN49&lt;&gt;"NE",AG49&lt;&gt;"A"),AND(AL49="E",OR(AT49=1,AT49=3))),SickCHG*Y49,0)</f>
        <v>0</v>
      </c>
      <c r="CJ49" s="462">
        <f t="shared" si="12"/>
        <v>-271.58976000000001</v>
      </c>
      <c r="CK49" s="462" t="str">
        <f t="shared" si="13"/>
        <v/>
      </c>
      <c r="CL49" s="462" t="str">
        <f t="shared" si="14"/>
        <v/>
      </c>
      <c r="CM49" s="462" t="str">
        <f t="shared" si="15"/>
        <v/>
      </c>
      <c r="CN49" s="462" t="str">
        <f t="shared" si="16"/>
        <v>0450-38</v>
      </c>
    </row>
    <row r="50" spans="1:92" ht="15" thickBot="1" x14ac:dyDescent="0.35">
      <c r="A50" s="376" t="s">
        <v>161</v>
      </c>
      <c r="B50" s="376" t="s">
        <v>162</v>
      </c>
      <c r="C50" s="376" t="s">
        <v>350</v>
      </c>
      <c r="D50" s="376" t="s">
        <v>263</v>
      </c>
      <c r="E50" s="376" t="s">
        <v>314</v>
      </c>
      <c r="F50" s="382" t="s">
        <v>406</v>
      </c>
      <c r="G50" s="376" t="s">
        <v>167</v>
      </c>
      <c r="H50" s="378"/>
      <c r="I50" s="378"/>
      <c r="J50" s="376" t="s">
        <v>168</v>
      </c>
      <c r="K50" s="376" t="s">
        <v>321</v>
      </c>
      <c r="L50" s="376" t="s">
        <v>216</v>
      </c>
      <c r="M50" s="376" t="s">
        <v>171</v>
      </c>
      <c r="N50" s="376" t="s">
        <v>172</v>
      </c>
      <c r="O50" s="379">
        <v>1</v>
      </c>
      <c r="P50" s="460">
        <v>0</v>
      </c>
      <c r="Q50" s="460">
        <v>0</v>
      </c>
      <c r="R50" s="380">
        <v>80</v>
      </c>
      <c r="S50" s="460">
        <v>0</v>
      </c>
      <c r="T50" s="380">
        <v>78830.42</v>
      </c>
      <c r="U50" s="380">
        <v>0</v>
      </c>
      <c r="V50" s="380">
        <v>28158.880000000001</v>
      </c>
      <c r="W50" s="380">
        <v>0</v>
      </c>
      <c r="X50" s="380">
        <v>0</v>
      </c>
      <c r="Y50" s="380">
        <v>0</v>
      </c>
      <c r="Z50" s="380">
        <v>0</v>
      </c>
      <c r="AA50" s="376" t="s">
        <v>351</v>
      </c>
      <c r="AB50" s="376" t="s">
        <v>352</v>
      </c>
      <c r="AC50" s="376" t="s">
        <v>269</v>
      </c>
      <c r="AD50" s="376" t="s">
        <v>353</v>
      </c>
      <c r="AE50" s="376" t="s">
        <v>321</v>
      </c>
      <c r="AF50" s="376" t="s">
        <v>311</v>
      </c>
      <c r="AG50" s="376" t="s">
        <v>178</v>
      </c>
      <c r="AH50" s="381">
        <v>37.950000000000003</v>
      </c>
      <c r="AI50" s="381">
        <v>58495.4</v>
      </c>
      <c r="AJ50" s="376" t="s">
        <v>179</v>
      </c>
      <c r="AK50" s="376" t="s">
        <v>180</v>
      </c>
      <c r="AL50" s="376" t="s">
        <v>181</v>
      </c>
      <c r="AM50" s="376" t="s">
        <v>182</v>
      </c>
      <c r="AN50" s="376" t="s">
        <v>68</v>
      </c>
      <c r="AO50" s="379">
        <v>80</v>
      </c>
      <c r="AP50" s="460">
        <v>1</v>
      </c>
      <c r="AQ50" s="460">
        <v>0</v>
      </c>
      <c r="AR50" s="458" t="s">
        <v>183</v>
      </c>
      <c r="AS50" s="462">
        <f t="shared" si="0"/>
        <v>0</v>
      </c>
      <c r="AT50">
        <f t="shared" si="1"/>
        <v>0</v>
      </c>
      <c r="AU50" s="462" t="str">
        <f>IF(AT50=0,"",IF(AND(AT50=1,M50="F",SUMIF(C2:C170,C50,AS2:AS170)&lt;=1),SUMIF(C2:C170,C50,AS2:AS170),IF(AND(AT50=1,M50="F",SUMIF(C2:C170,C50,AS2:AS170)&gt;1),1,"")))</f>
        <v/>
      </c>
      <c r="AV50" s="462" t="str">
        <f>IF(AT50=0,"",IF(AND(AT50=3,M50="F",SUMIF(C2:C170,C50,AS2:AS170)&lt;=1),SUMIF(C2:C170,C50,AS2:AS170),IF(AND(AT50=3,M50="F",SUMIF(C2:C170,C50,AS2:AS170)&gt;1),1,"")))</f>
        <v/>
      </c>
      <c r="AW50" s="462">
        <f>SUMIF(C2:C170,C50,O2:O170)</f>
        <v>2</v>
      </c>
      <c r="AX50" s="462">
        <f>IF(AND(M50="F",AS50&lt;&gt;0),SUMIF(C2:C170,C50,W2:W170),0)</f>
        <v>0</v>
      </c>
      <c r="AY50" s="462" t="str">
        <f t="shared" si="2"/>
        <v/>
      </c>
      <c r="AZ50" s="462" t="str">
        <f t="shared" si="3"/>
        <v/>
      </c>
      <c r="BA50" s="462">
        <f t="shared" si="4"/>
        <v>0</v>
      </c>
      <c r="BB50" s="462">
        <f>IF(AND(AT50=1,AK50="E",AU50&gt;=0.75,AW50=1),Health,IF(AND(AT50=1,AK50="E",AU50&gt;=0.75),Health*P50,IF(AND(AT50=1,AK50="E",AU50&gt;=0.5,AW50=1),PTHealth,IF(AND(AT50=1,AK50="E",AU50&gt;=0.5),PTHealth*P50,0))))</f>
        <v>0</v>
      </c>
      <c r="BC50" s="462">
        <f>IF(AND(AT50=3,AK50="E",AV50&gt;=0.75,AW50=1),Health,IF(AND(AT50=3,AK50="E",AV50&gt;=0.75),Health*P50,IF(AND(AT50=3,AK50="E",AV50&gt;=0.5,AW50=1),PTHealth,IF(AND(AT50=3,AK50="E",AV50&gt;=0.5),PTHealth*P50,0))))</f>
        <v>0</v>
      </c>
      <c r="BD50" s="462">
        <f>IF(AND(AT50&lt;&gt;0,AX50&gt;=MAXSSDI),SSDI*MAXSSDI*P50,IF(AT50&lt;&gt;0,SSDI*W50,0))</f>
        <v>0</v>
      </c>
      <c r="BE50" s="462">
        <f>IF(AT50&lt;&gt;0,SSHI*W50,0)</f>
        <v>0</v>
      </c>
      <c r="BF50" s="462">
        <f>IF(AND(AT50&lt;&gt;0,AN50&lt;&gt;"NE"),VLOOKUP(AN50,Retirement_Rates,3,FALSE)*W50,0)</f>
        <v>0</v>
      </c>
      <c r="BG50" s="462">
        <f>IF(AND(AT50&lt;&gt;0,AJ50&lt;&gt;"PF"),Life*W50,0)</f>
        <v>0</v>
      </c>
      <c r="BH50" s="462">
        <f>IF(AND(AT50&lt;&gt;0,AM50="Y"),UI*W50,0)</f>
        <v>0</v>
      </c>
      <c r="BI50" s="462">
        <f>IF(AND(AT50&lt;&gt;0,N50&lt;&gt;"NR"),DHR*W50,0)</f>
        <v>0</v>
      </c>
      <c r="BJ50" s="462">
        <f>IF(AT50&lt;&gt;0,WC*W50,0)</f>
        <v>0</v>
      </c>
      <c r="BK50" s="462">
        <f>IF(OR(AND(AT50&lt;&gt;0,AJ50&lt;&gt;"PF",AN50&lt;&gt;"NE",AG50&lt;&gt;"A"),AND(AL50="E",OR(AT50=1,AT50=3))),Sick*W50,0)</f>
        <v>0</v>
      </c>
      <c r="BL50" s="462">
        <f t="shared" si="5"/>
        <v>0</v>
      </c>
      <c r="BM50" s="462">
        <f t="shared" si="6"/>
        <v>0</v>
      </c>
      <c r="BN50" s="462">
        <f>IF(AND(AT50=1,AK50="E",AU50&gt;=0.75,AW50=1),HealthBY,IF(AND(AT50=1,AK50="E",AU50&gt;=0.75),HealthBY*P50,IF(AND(AT50=1,AK50="E",AU50&gt;=0.5,AW50=1),PTHealthBY,IF(AND(AT50=1,AK50="E",AU50&gt;=0.5),PTHealthBY*P50,0))))</f>
        <v>0</v>
      </c>
      <c r="BO50" s="462">
        <f>IF(AND(AT50=3,AK50="E",AV50&gt;=0.75,AW50=1),HealthBY,IF(AND(AT50=3,AK50="E",AV50&gt;=0.75),HealthBY*P50,IF(AND(AT50=3,AK50="E",AV50&gt;=0.5,AW50=1),PTHealthBY,IF(AND(AT50=3,AK50="E",AV50&gt;=0.5),PTHealthBY*P50,0))))</f>
        <v>0</v>
      </c>
      <c r="BP50" s="462">
        <f>IF(AND(AT50&lt;&gt;0,(AX50+BA50)&gt;=MAXSSDIBY),SSDIBY*MAXSSDIBY*P50,IF(AT50&lt;&gt;0,SSDIBY*W50,0))</f>
        <v>0</v>
      </c>
      <c r="BQ50" s="462">
        <f>IF(AT50&lt;&gt;0,SSHIBY*W50,0)</f>
        <v>0</v>
      </c>
      <c r="BR50" s="462">
        <f>IF(AND(AT50&lt;&gt;0,AN50&lt;&gt;"NE"),VLOOKUP(AN50,Retirement_Rates,4,FALSE)*W50,0)</f>
        <v>0</v>
      </c>
      <c r="BS50" s="462">
        <f>IF(AND(AT50&lt;&gt;0,AJ50&lt;&gt;"PF"),LifeBY*W50,0)</f>
        <v>0</v>
      </c>
      <c r="BT50" s="462">
        <f>IF(AND(AT50&lt;&gt;0,AM50="Y"),UIBY*W50,0)</f>
        <v>0</v>
      </c>
      <c r="BU50" s="462">
        <f>IF(AND(AT50&lt;&gt;0,N50&lt;&gt;"NR"),DHRBY*W50,0)</f>
        <v>0</v>
      </c>
      <c r="BV50" s="462">
        <f>IF(AT50&lt;&gt;0,WCBY*W50,0)</f>
        <v>0</v>
      </c>
      <c r="BW50" s="462">
        <f>IF(OR(AND(AT50&lt;&gt;0,AJ50&lt;&gt;"PF",AN50&lt;&gt;"NE",AG50&lt;&gt;"A"),AND(AL50="E",OR(AT50=1,AT50=3))),SickBY*W50,0)</f>
        <v>0</v>
      </c>
      <c r="BX50" s="462">
        <f t="shared" si="7"/>
        <v>0</v>
      </c>
      <c r="BY50" s="462">
        <f t="shared" si="8"/>
        <v>0</v>
      </c>
      <c r="BZ50" s="462">
        <f t="shared" si="9"/>
        <v>0</v>
      </c>
      <c r="CA50" s="462">
        <f t="shared" si="10"/>
        <v>0</v>
      </c>
      <c r="CB50" s="462">
        <f t="shared" si="11"/>
        <v>0</v>
      </c>
      <c r="CC50" s="462">
        <f>IF(AT50&lt;&gt;0,SSHICHG*Y50,0)</f>
        <v>0</v>
      </c>
      <c r="CD50" s="462">
        <f>IF(AND(AT50&lt;&gt;0,AN50&lt;&gt;"NE"),VLOOKUP(AN50,Retirement_Rates,5,FALSE)*Y50,0)</f>
        <v>0</v>
      </c>
      <c r="CE50" s="462">
        <f>IF(AND(AT50&lt;&gt;0,AJ50&lt;&gt;"PF"),LifeCHG*Y50,0)</f>
        <v>0</v>
      </c>
      <c r="CF50" s="462">
        <f>IF(AND(AT50&lt;&gt;0,AM50="Y"),UICHG*Y50,0)</f>
        <v>0</v>
      </c>
      <c r="CG50" s="462">
        <f>IF(AND(AT50&lt;&gt;0,N50&lt;&gt;"NR"),DHRCHG*Y50,0)</f>
        <v>0</v>
      </c>
      <c r="CH50" s="462">
        <f>IF(AT50&lt;&gt;0,WCCHG*Y50,0)</f>
        <v>0</v>
      </c>
      <c r="CI50" s="462">
        <f>IF(OR(AND(AT50&lt;&gt;0,AJ50&lt;&gt;"PF",AN50&lt;&gt;"NE",AG50&lt;&gt;"A"),AND(AL50="E",OR(AT50=1,AT50=3))),SickCHG*Y50,0)</f>
        <v>0</v>
      </c>
      <c r="CJ50" s="462">
        <f t="shared" si="12"/>
        <v>0</v>
      </c>
      <c r="CK50" s="462" t="str">
        <f t="shared" si="13"/>
        <v/>
      </c>
      <c r="CL50" s="462" t="str">
        <f t="shared" si="14"/>
        <v/>
      </c>
      <c r="CM50" s="462" t="str">
        <f t="shared" si="15"/>
        <v/>
      </c>
      <c r="CN50" s="462" t="str">
        <f t="shared" si="16"/>
        <v>0450-38</v>
      </c>
    </row>
    <row r="51" spans="1:92" ht="15" thickBot="1" x14ac:dyDescent="0.35">
      <c r="A51" s="376" t="s">
        <v>161</v>
      </c>
      <c r="B51" s="376" t="s">
        <v>162</v>
      </c>
      <c r="C51" s="376" t="s">
        <v>419</v>
      </c>
      <c r="D51" s="376" t="s">
        <v>356</v>
      </c>
      <c r="E51" s="376" t="s">
        <v>314</v>
      </c>
      <c r="F51" s="382" t="s">
        <v>406</v>
      </c>
      <c r="G51" s="376" t="s">
        <v>167</v>
      </c>
      <c r="H51" s="378"/>
      <c r="I51" s="378"/>
      <c r="J51" s="376" t="s">
        <v>168</v>
      </c>
      <c r="K51" s="376" t="s">
        <v>358</v>
      </c>
      <c r="L51" s="376" t="s">
        <v>176</v>
      </c>
      <c r="M51" s="376" t="s">
        <v>171</v>
      </c>
      <c r="N51" s="376" t="s">
        <v>172</v>
      </c>
      <c r="O51" s="379">
        <v>1</v>
      </c>
      <c r="P51" s="460">
        <v>1</v>
      </c>
      <c r="Q51" s="460">
        <v>1</v>
      </c>
      <c r="R51" s="380">
        <v>80</v>
      </c>
      <c r="S51" s="460">
        <v>1</v>
      </c>
      <c r="T51" s="380">
        <v>50265</v>
      </c>
      <c r="U51" s="380">
        <v>0</v>
      </c>
      <c r="V51" s="380">
        <v>22505.94</v>
      </c>
      <c r="W51" s="380">
        <v>50960</v>
      </c>
      <c r="X51" s="380">
        <v>22634.41</v>
      </c>
      <c r="Y51" s="380">
        <v>50960</v>
      </c>
      <c r="Z51" s="380">
        <v>22369.42</v>
      </c>
      <c r="AA51" s="376" t="s">
        <v>420</v>
      </c>
      <c r="AB51" s="376" t="s">
        <v>421</v>
      </c>
      <c r="AC51" s="376" t="s">
        <v>422</v>
      </c>
      <c r="AD51" s="376" t="s">
        <v>228</v>
      </c>
      <c r="AE51" s="376" t="s">
        <v>358</v>
      </c>
      <c r="AF51" s="376" t="s">
        <v>190</v>
      </c>
      <c r="AG51" s="376" t="s">
        <v>178</v>
      </c>
      <c r="AH51" s="381">
        <v>24.5</v>
      </c>
      <c r="AI51" s="381">
        <v>6047.5</v>
      </c>
      <c r="AJ51" s="376" t="s">
        <v>179</v>
      </c>
      <c r="AK51" s="376" t="s">
        <v>180</v>
      </c>
      <c r="AL51" s="376" t="s">
        <v>181</v>
      </c>
      <c r="AM51" s="376" t="s">
        <v>182</v>
      </c>
      <c r="AN51" s="376" t="s">
        <v>68</v>
      </c>
      <c r="AO51" s="379">
        <v>80</v>
      </c>
      <c r="AP51" s="460">
        <v>1</v>
      </c>
      <c r="AQ51" s="460">
        <v>1</v>
      </c>
      <c r="AR51" s="458" t="s">
        <v>183</v>
      </c>
      <c r="AS51" s="462">
        <f t="shared" si="0"/>
        <v>1</v>
      </c>
      <c r="AT51">
        <f t="shared" si="1"/>
        <v>1</v>
      </c>
      <c r="AU51" s="462">
        <f>IF(AT51=0,"",IF(AND(AT51=1,M51="F",SUMIF(C2:C170,C51,AS2:AS170)&lt;=1),SUMIF(C2:C170,C51,AS2:AS170),IF(AND(AT51=1,M51="F",SUMIF(C2:C170,C51,AS2:AS170)&gt;1),1,"")))</f>
        <v>1</v>
      </c>
      <c r="AV51" s="462" t="str">
        <f>IF(AT51=0,"",IF(AND(AT51=3,M51="F",SUMIF(C2:C170,C51,AS2:AS170)&lt;=1),SUMIF(C2:C170,C51,AS2:AS170),IF(AND(AT51=3,M51="F",SUMIF(C2:C170,C51,AS2:AS170)&gt;1),1,"")))</f>
        <v/>
      </c>
      <c r="AW51" s="462">
        <f>SUMIF(C2:C170,C51,O2:O170)</f>
        <v>1</v>
      </c>
      <c r="AX51" s="462">
        <f>IF(AND(M51="F",AS51&lt;&gt;0),SUMIF(C2:C170,C51,W2:W170),0)</f>
        <v>50960</v>
      </c>
      <c r="AY51" s="462">
        <f t="shared" si="2"/>
        <v>50960</v>
      </c>
      <c r="AZ51" s="462" t="str">
        <f t="shared" si="3"/>
        <v/>
      </c>
      <c r="BA51" s="462">
        <f t="shared" si="4"/>
        <v>0</v>
      </c>
      <c r="BB51" s="462">
        <f>IF(AND(AT51=1,AK51="E",AU51&gt;=0.75,AW51=1),Health,IF(AND(AT51=1,AK51="E",AU51&gt;=0.75),Health*P51,IF(AND(AT51=1,AK51="E",AU51&gt;=0.5,AW51=1),PTHealth,IF(AND(AT51=1,AK51="E",AU51&gt;=0.5),PTHealth*P51,0))))</f>
        <v>11650</v>
      </c>
      <c r="BC51" s="462">
        <f>IF(AND(AT51=3,AK51="E",AV51&gt;=0.75,AW51=1),Health,IF(AND(AT51=3,AK51="E",AV51&gt;=0.75),Health*P51,IF(AND(AT51=3,AK51="E",AV51&gt;=0.5,AW51=1),PTHealth,IF(AND(AT51=3,AK51="E",AV51&gt;=0.5),PTHealth*P51,0))))</f>
        <v>0</v>
      </c>
      <c r="BD51" s="462">
        <f>IF(AND(AT51&lt;&gt;0,AX51&gt;=MAXSSDI),SSDI*MAXSSDI*P51,IF(AT51&lt;&gt;0,SSDI*W51,0))</f>
        <v>3159.52</v>
      </c>
      <c r="BE51" s="462">
        <f>IF(AT51&lt;&gt;0,SSHI*W51,0)</f>
        <v>738.92000000000007</v>
      </c>
      <c r="BF51" s="462">
        <f>IF(AND(AT51&lt;&gt;0,AN51&lt;&gt;"NE"),VLOOKUP(AN51,Retirement_Rates,3,FALSE)*W51,0)</f>
        <v>6084.6240000000007</v>
      </c>
      <c r="BG51" s="462">
        <f>IF(AND(AT51&lt;&gt;0,AJ51&lt;&gt;"PF"),Life*W51,0)</f>
        <v>367.42160000000001</v>
      </c>
      <c r="BH51" s="462">
        <f>IF(AND(AT51&lt;&gt;0,AM51="Y"),UI*W51,0)</f>
        <v>249.70399999999998</v>
      </c>
      <c r="BI51" s="462">
        <f>IF(AND(AT51&lt;&gt;0,N51&lt;&gt;"NR"),DHR*W51,0)</f>
        <v>282.3184</v>
      </c>
      <c r="BJ51" s="462">
        <f>IF(AT51&lt;&gt;0,WC*W51,0)</f>
        <v>101.92</v>
      </c>
      <c r="BK51" s="462">
        <f>IF(OR(AND(AT51&lt;&gt;0,AJ51&lt;&gt;"PF",AN51&lt;&gt;"NE",AG51&lt;&gt;"A"),AND(AL51="E",OR(AT51=1,AT51=3))),Sick*W51,0)</f>
        <v>0</v>
      </c>
      <c r="BL51" s="462">
        <f t="shared" si="5"/>
        <v>10984.428</v>
      </c>
      <c r="BM51" s="462">
        <f t="shared" si="6"/>
        <v>0</v>
      </c>
      <c r="BN51" s="462">
        <f>IF(AND(AT51=1,AK51="E",AU51&gt;=0.75,AW51=1),HealthBY,IF(AND(AT51=1,AK51="E",AU51&gt;=0.75),HealthBY*P51,IF(AND(AT51=1,AK51="E",AU51&gt;=0.5,AW51=1),PTHealthBY,IF(AND(AT51=1,AK51="E",AU51&gt;=0.5),PTHealthBY*P51,0))))</f>
        <v>11650</v>
      </c>
      <c r="BO51" s="462">
        <f>IF(AND(AT51=3,AK51="E",AV51&gt;=0.75,AW51=1),HealthBY,IF(AND(AT51=3,AK51="E",AV51&gt;=0.75),HealthBY*P51,IF(AND(AT51=3,AK51="E",AV51&gt;=0.5,AW51=1),PTHealthBY,IF(AND(AT51=3,AK51="E",AV51&gt;=0.5),PTHealthBY*P51,0))))</f>
        <v>0</v>
      </c>
      <c r="BP51" s="462">
        <f>IF(AND(AT51&lt;&gt;0,(AX51+BA51)&gt;=MAXSSDIBY),SSDIBY*MAXSSDIBY*P51,IF(AT51&lt;&gt;0,SSDIBY*W51,0))</f>
        <v>3159.52</v>
      </c>
      <c r="BQ51" s="462">
        <f>IF(AT51&lt;&gt;0,SSHIBY*W51,0)</f>
        <v>738.92000000000007</v>
      </c>
      <c r="BR51" s="462">
        <f>IF(AND(AT51&lt;&gt;0,AN51&lt;&gt;"NE"),VLOOKUP(AN51,Retirement_Rates,4,FALSE)*W51,0)</f>
        <v>6084.6240000000007</v>
      </c>
      <c r="BS51" s="462">
        <f>IF(AND(AT51&lt;&gt;0,AJ51&lt;&gt;"PF"),LifeBY*W51,0)</f>
        <v>367.42160000000001</v>
      </c>
      <c r="BT51" s="462">
        <f>IF(AND(AT51&lt;&gt;0,AM51="Y"),UIBY*W51,0)</f>
        <v>0</v>
      </c>
      <c r="BU51" s="462">
        <f>IF(AND(AT51&lt;&gt;0,N51&lt;&gt;"NR"),DHRBY*W51,0)</f>
        <v>282.3184</v>
      </c>
      <c r="BV51" s="462">
        <f>IF(AT51&lt;&gt;0,WCBY*W51,0)</f>
        <v>86.631999999999991</v>
      </c>
      <c r="BW51" s="462">
        <f>IF(OR(AND(AT51&lt;&gt;0,AJ51&lt;&gt;"PF",AN51&lt;&gt;"NE",AG51&lt;&gt;"A"),AND(AL51="E",OR(AT51=1,AT51=3))),SickBY*W51,0)</f>
        <v>0</v>
      </c>
      <c r="BX51" s="462">
        <f t="shared" si="7"/>
        <v>10719.436</v>
      </c>
      <c r="BY51" s="462">
        <f t="shared" si="8"/>
        <v>0</v>
      </c>
      <c r="BZ51" s="462">
        <f t="shared" si="9"/>
        <v>0</v>
      </c>
      <c r="CA51" s="462">
        <f t="shared" si="10"/>
        <v>0</v>
      </c>
      <c r="CB51" s="462">
        <f t="shared" si="11"/>
        <v>0</v>
      </c>
      <c r="CC51" s="462">
        <f>IF(AT51&lt;&gt;0,SSHICHG*Y51,0)</f>
        <v>0</v>
      </c>
      <c r="CD51" s="462">
        <f>IF(AND(AT51&lt;&gt;0,AN51&lt;&gt;"NE"),VLOOKUP(AN51,Retirement_Rates,5,FALSE)*Y51,0)</f>
        <v>0</v>
      </c>
      <c r="CE51" s="462">
        <f>IF(AND(AT51&lt;&gt;0,AJ51&lt;&gt;"PF"),LifeCHG*Y51,0)</f>
        <v>0</v>
      </c>
      <c r="CF51" s="462">
        <f>IF(AND(AT51&lt;&gt;0,AM51="Y"),UICHG*Y51,0)</f>
        <v>-249.70399999999998</v>
      </c>
      <c r="CG51" s="462">
        <f>IF(AND(AT51&lt;&gt;0,N51&lt;&gt;"NR"),DHRCHG*Y51,0)</f>
        <v>0</v>
      </c>
      <c r="CH51" s="462">
        <f>IF(AT51&lt;&gt;0,WCCHG*Y51,0)</f>
        <v>-15.288000000000007</v>
      </c>
      <c r="CI51" s="462">
        <f>IF(OR(AND(AT51&lt;&gt;0,AJ51&lt;&gt;"PF",AN51&lt;&gt;"NE",AG51&lt;&gt;"A"),AND(AL51="E",OR(AT51=1,AT51=3))),SickCHG*Y51,0)</f>
        <v>0</v>
      </c>
      <c r="CJ51" s="462">
        <f t="shared" si="12"/>
        <v>-264.99199999999996</v>
      </c>
      <c r="CK51" s="462" t="str">
        <f t="shared" si="13"/>
        <v/>
      </c>
      <c r="CL51" s="462" t="str">
        <f t="shared" si="14"/>
        <v/>
      </c>
      <c r="CM51" s="462" t="str">
        <f t="shared" si="15"/>
        <v/>
      </c>
      <c r="CN51" s="462" t="str">
        <f t="shared" si="16"/>
        <v>0450-38</v>
      </c>
    </row>
    <row r="52" spans="1:92" ht="15" thickBot="1" x14ac:dyDescent="0.35">
      <c r="A52" s="376" t="s">
        <v>161</v>
      </c>
      <c r="B52" s="376" t="s">
        <v>162</v>
      </c>
      <c r="C52" s="376" t="s">
        <v>423</v>
      </c>
      <c r="D52" s="376" t="s">
        <v>424</v>
      </c>
      <c r="E52" s="376" t="s">
        <v>314</v>
      </c>
      <c r="F52" s="382" t="s">
        <v>406</v>
      </c>
      <c r="G52" s="376" t="s">
        <v>167</v>
      </c>
      <c r="H52" s="378"/>
      <c r="I52" s="378"/>
      <c r="J52" s="376" t="s">
        <v>168</v>
      </c>
      <c r="K52" s="376" t="s">
        <v>425</v>
      </c>
      <c r="L52" s="376" t="s">
        <v>216</v>
      </c>
      <c r="M52" s="376" t="s">
        <v>171</v>
      </c>
      <c r="N52" s="376" t="s">
        <v>172</v>
      </c>
      <c r="O52" s="379">
        <v>1</v>
      </c>
      <c r="P52" s="460">
        <v>1</v>
      </c>
      <c r="Q52" s="460">
        <v>1</v>
      </c>
      <c r="R52" s="380">
        <v>80</v>
      </c>
      <c r="S52" s="460">
        <v>1</v>
      </c>
      <c r="T52" s="380">
        <v>60492.02</v>
      </c>
      <c r="U52" s="380">
        <v>0</v>
      </c>
      <c r="V52" s="380">
        <v>23077.35</v>
      </c>
      <c r="W52" s="380">
        <v>76107.199999999997</v>
      </c>
      <c r="X52" s="380">
        <v>28054.87</v>
      </c>
      <c r="Y52" s="380">
        <v>76107.199999999997</v>
      </c>
      <c r="Z52" s="380">
        <v>27659.119999999999</v>
      </c>
      <c r="AA52" s="376" t="s">
        <v>426</v>
      </c>
      <c r="AB52" s="376" t="s">
        <v>427</v>
      </c>
      <c r="AC52" s="376" t="s">
        <v>428</v>
      </c>
      <c r="AD52" s="376" t="s">
        <v>228</v>
      </c>
      <c r="AE52" s="376" t="s">
        <v>425</v>
      </c>
      <c r="AF52" s="376" t="s">
        <v>311</v>
      </c>
      <c r="AG52" s="376" t="s">
        <v>178</v>
      </c>
      <c r="AH52" s="381">
        <v>36.590000000000003</v>
      </c>
      <c r="AI52" s="381">
        <v>24653.200000000001</v>
      </c>
      <c r="AJ52" s="376" t="s">
        <v>179</v>
      </c>
      <c r="AK52" s="376" t="s">
        <v>180</v>
      </c>
      <c r="AL52" s="376" t="s">
        <v>181</v>
      </c>
      <c r="AM52" s="376" t="s">
        <v>182</v>
      </c>
      <c r="AN52" s="376" t="s">
        <v>68</v>
      </c>
      <c r="AO52" s="379">
        <v>80</v>
      </c>
      <c r="AP52" s="460">
        <v>1</v>
      </c>
      <c r="AQ52" s="460">
        <v>1</v>
      </c>
      <c r="AR52" s="458" t="s">
        <v>183</v>
      </c>
      <c r="AS52" s="462">
        <f t="shared" si="0"/>
        <v>1</v>
      </c>
      <c r="AT52">
        <f t="shared" si="1"/>
        <v>1</v>
      </c>
      <c r="AU52" s="462">
        <f>IF(AT52=0,"",IF(AND(AT52=1,M52="F",SUMIF(C2:C170,C52,AS2:AS170)&lt;=1),SUMIF(C2:C170,C52,AS2:AS170),IF(AND(AT52=1,M52="F",SUMIF(C2:C170,C52,AS2:AS170)&gt;1),1,"")))</f>
        <v>1</v>
      </c>
      <c r="AV52" s="462" t="str">
        <f>IF(AT52=0,"",IF(AND(AT52=3,M52="F",SUMIF(C2:C170,C52,AS2:AS170)&lt;=1),SUMIF(C2:C170,C52,AS2:AS170),IF(AND(AT52=3,M52="F",SUMIF(C2:C170,C52,AS2:AS170)&gt;1),1,"")))</f>
        <v/>
      </c>
      <c r="AW52" s="462">
        <f>SUMIF(C2:C170,C52,O2:O170)</f>
        <v>1</v>
      </c>
      <c r="AX52" s="462">
        <f>IF(AND(M52="F",AS52&lt;&gt;0),SUMIF(C2:C170,C52,W2:W170),0)</f>
        <v>76107.199999999997</v>
      </c>
      <c r="AY52" s="462">
        <f t="shared" si="2"/>
        <v>76107.199999999997</v>
      </c>
      <c r="AZ52" s="462" t="str">
        <f t="shared" si="3"/>
        <v/>
      </c>
      <c r="BA52" s="462">
        <f t="shared" si="4"/>
        <v>0</v>
      </c>
      <c r="BB52" s="462">
        <f>IF(AND(AT52=1,AK52="E",AU52&gt;=0.75,AW52=1),Health,IF(AND(AT52=1,AK52="E",AU52&gt;=0.75),Health*P52,IF(AND(AT52=1,AK52="E",AU52&gt;=0.5,AW52=1),PTHealth,IF(AND(AT52=1,AK52="E",AU52&gt;=0.5),PTHealth*P52,0))))</f>
        <v>11650</v>
      </c>
      <c r="BC52" s="462">
        <f>IF(AND(AT52=3,AK52="E",AV52&gt;=0.75,AW52=1),Health,IF(AND(AT52=3,AK52="E",AV52&gt;=0.75),Health*P52,IF(AND(AT52=3,AK52="E",AV52&gt;=0.5,AW52=1),PTHealth,IF(AND(AT52=3,AK52="E",AV52&gt;=0.5),PTHealth*P52,0))))</f>
        <v>0</v>
      </c>
      <c r="BD52" s="462">
        <f>IF(AND(AT52&lt;&gt;0,AX52&gt;=MAXSSDI),SSDI*MAXSSDI*P52,IF(AT52&lt;&gt;0,SSDI*W52,0))</f>
        <v>4718.6463999999996</v>
      </c>
      <c r="BE52" s="462">
        <f>IF(AT52&lt;&gt;0,SSHI*W52,0)</f>
        <v>1103.5544</v>
      </c>
      <c r="BF52" s="462">
        <f>IF(AND(AT52&lt;&gt;0,AN52&lt;&gt;"NE"),VLOOKUP(AN52,Retirement_Rates,3,FALSE)*W52,0)</f>
        <v>9087.1996799999997</v>
      </c>
      <c r="BG52" s="462">
        <f>IF(AND(AT52&lt;&gt;0,AJ52&lt;&gt;"PF"),Life*W52,0)</f>
        <v>548.73291200000006</v>
      </c>
      <c r="BH52" s="462">
        <f>IF(AND(AT52&lt;&gt;0,AM52="Y"),UI*W52,0)</f>
        <v>372.92527999999999</v>
      </c>
      <c r="BI52" s="462">
        <f>IF(AND(AT52&lt;&gt;0,N52&lt;&gt;"NR"),DHR*W52,0)</f>
        <v>421.63388799999996</v>
      </c>
      <c r="BJ52" s="462">
        <f>IF(AT52&lt;&gt;0,WC*W52,0)</f>
        <v>152.21439999999998</v>
      </c>
      <c r="BK52" s="462">
        <f>IF(OR(AND(AT52&lt;&gt;0,AJ52&lt;&gt;"PF",AN52&lt;&gt;"NE",AG52&lt;&gt;"A"),AND(AL52="E",OR(AT52=1,AT52=3))),Sick*W52,0)</f>
        <v>0</v>
      </c>
      <c r="BL52" s="462">
        <f t="shared" si="5"/>
        <v>16404.90696</v>
      </c>
      <c r="BM52" s="462">
        <f t="shared" si="6"/>
        <v>0</v>
      </c>
      <c r="BN52" s="462">
        <f>IF(AND(AT52=1,AK52="E",AU52&gt;=0.75,AW52=1),HealthBY,IF(AND(AT52=1,AK52="E",AU52&gt;=0.75),HealthBY*P52,IF(AND(AT52=1,AK52="E",AU52&gt;=0.5,AW52=1),PTHealthBY,IF(AND(AT52=1,AK52="E",AU52&gt;=0.5),PTHealthBY*P52,0))))</f>
        <v>11650</v>
      </c>
      <c r="BO52" s="462">
        <f>IF(AND(AT52=3,AK52="E",AV52&gt;=0.75,AW52=1),HealthBY,IF(AND(AT52=3,AK52="E",AV52&gt;=0.75),HealthBY*P52,IF(AND(AT52=3,AK52="E",AV52&gt;=0.5,AW52=1),PTHealthBY,IF(AND(AT52=3,AK52="E",AV52&gt;=0.5),PTHealthBY*P52,0))))</f>
        <v>0</v>
      </c>
      <c r="BP52" s="462">
        <f>IF(AND(AT52&lt;&gt;0,(AX52+BA52)&gt;=MAXSSDIBY),SSDIBY*MAXSSDIBY*P52,IF(AT52&lt;&gt;0,SSDIBY*W52,0))</f>
        <v>4718.6463999999996</v>
      </c>
      <c r="BQ52" s="462">
        <f>IF(AT52&lt;&gt;0,SSHIBY*W52,0)</f>
        <v>1103.5544</v>
      </c>
      <c r="BR52" s="462">
        <f>IF(AND(AT52&lt;&gt;0,AN52&lt;&gt;"NE"),VLOOKUP(AN52,Retirement_Rates,4,FALSE)*W52,0)</f>
        <v>9087.1996799999997</v>
      </c>
      <c r="BS52" s="462">
        <f>IF(AND(AT52&lt;&gt;0,AJ52&lt;&gt;"PF"),LifeBY*W52,0)</f>
        <v>548.73291200000006</v>
      </c>
      <c r="BT52" s="462">
        <f>IF(AND(AT52&lt;&gt;0,AM52="Y"),UIBY*W52,0)</f>
        <v>0</v>
      </c>
      <c r="BU52" s="462">
        <f>IF(AND(AT52&lt;&gt;0,N52&lt;&gt;"NR"),DHRBY*W52,0)</f>
        <v>421.63388799999996</v>
      </c>
      <c r="BV52" s="462">
        <f>IF(AT52&lt;&gt;0,WCBY*W52,0)</f>
        <v>129.38224</v>
      </c>
      <c r="BW52" s="462">
        <f>IF(OR(AND(AT52&lt;&gt;0,AJ52&lt;&gt;"PF",AN52&lt;&gt;"NE",AG52&lt;&gt;"A"),AND(AL52="E",OR(AT52=1,AT52=3))),SickBY*W52,0)</f>
        <v>0</v>
      </c>
      <c r="BX52" s="462">
        <f t="shared" si="7"/>
        <v>16009.149520000001</v>
      </c>
      <c r="BY52" s="462">
        <f t="shared" si="8"/>
        <v>0</v>
      </c>
      <c r="BZ52" s="462">
        <f t="shared" si="9"/>
        <v>0</v>
      </c>
      <c r="CA52" s="462">
        <f t="shared" si="10"/>
        <v>0</v>
      </c>
      <c r="CB52" s="462">
        <f t="shared" si="11"/>
        <v>0</v>
      </c>
      <c r="CC52" s="462">
        <f>IF(AT52&lt;&gt;0,SSHICHG*Y52,0)</f>
        <v>0</v>
      </c>
      <c r="CD52" s="462">
        <f>IF(AND(AT52&lt;&gt;0,AN52&lt;&gt;"NE"),VLOOKUP(AN52,Retirement_Rates,5,FALSE)*Y52,0)</f>
        <v>0</v>
      </c>
      <c r="CE52" s="462">
        <f>IF(AND(AT52&lt;&gt;0,AJ52&lt;&gt;"PF"),LifeCHG*Y52,0)</f>
        <v>0</v>
      </c>
      <c r="CF52" s="462">
        <f>IF(AND(AT52&lt;&gt;0,AM52="Y"),UICHG*Y52,0)</f>
        <v>-372.92527999999999</v>
      </c>
      <c r="CG52" s="462">
        <f>IF(AND(AT52&lt;&gt;0,N52&lt;&gt;"NR"),DHRCHG*Y52,0)</f>
        <v>0</v>
      </c>
      <c r="CH52" s="462">
        <f>IF(AT52&lt;&gt;0,WCCHG*Y52,0)</f>
        <v>-22.832160000000009</v>
      </c>
      <c r="CI52" s="462">
        <f>IF(OR(AND(AT52&lt;&gt;0,AJ52&lt;&gt;"PF",AN52&lt;&gt;"NE",AG52&lt;&gt;"A"),AND(AL52="E",OR(AT52=1,AT52=3))),SickCHG*Y52,0)</f>
        <v>0</v>
      </c>
      <c r="CJ52" s="462">
        <f t="shared" si="12"/>
        <v>-395.75743999999997</v>
      </c>
      <c r="CK52" s="462" t="str">
        <f t="shared" si="13"/>
        <v/>
      </c>
      <c r="CL52" s="462" t="str">
        <f t="shared" si="14"/>
        <v/>
      </c>
      <c r="CM52" s="462" t="str">
        <f t="shared" si="15"/>
        <v/>
      </c>
      <c r="CN52" s="462" t="str">
        <f t="shared" si="16"/>
        <v>0450-38</v>
      </c>
    </row>
    <row r="53" spans="1:92" ht="15" thickBot="1" x14ac:dyDescent="0.35">
      <c r="A53" s="376" t="s">
        <v>161</v>
      </c>
      <c r="B53" s="376" t="s">
        <v>162</v>
      </c>
      <c r="C53" s="376" t="s">
        <v>291</v>
      </c>
      <c r="D53" s="376" t="s">
        <v>292</v>
      </c>
      <c r="E53" s="376" t="s">
        <v>314</v>
      </c>
      <c r="F53" s="382" t="s">
        <v>406</v>
      </c>
      <c r="G53" s="376" t="s">
        <v>167</v>
      </c>
      <c r="H53" s="378"/>
      <c r="I53" s="378"/>
      <c r="J53" s="376" t="s">
        <v>168</v>
      </c>
      <c r="K53" s="376" t="s">
        <v>293</v>
      </c>
      <c r="L53" s="376" t="s">
        <v>204</v>
      </c>
      <c r="M53" s="376" t="s">
        <v>171</v>
      </c>
      <c r="N53" s="376" t="s">
        <v>172</v>
      </c>
      <c r="O53" s="379">
        <v>1</v>
      </c>
      <c r="P53" s="460">
        <v>1</v>
      </c>
      <c r="Q53" s="460">
        <v>1</v>
      </c>
      <c r="R53" s="380">
        <v>80</v>
      </c>
      <c r="S53" s="460">
        <v>1</v>
      </c>
      <c r="T53" s="380">
        <v>0</v>
      </c>
      <c r="U53" s="380">
        <v>0</v>
      </c>
      <c r="V53" s="380">
        <v>0</v>
      </c>
      <c r="W53" s="380">
        <v>108264</v>
      </c>
      <c r="X53" s="380">
        <v>34986.269999999997</v>
      </c>
      <c r="Y53" s="380">
        <v>108264</v>
      </c>
      <c r="Z53" s="380">
        <v>34423.300000000003</v>
      </c>
      <c r="AA53" s="376" t="s">
        <v>294</v>
      </c>
      <c r="AB53" s="376" t="s">
        <v>295</v>
      </c>
      <c r="AC53" s="376" t="s">
        <v>296</v>
      </c>
      <c r="AD53" s="376" t="s">
        <v>252</v>
      </c>
      <c r="AE53" s="376" t="s">
        <v>293</v>
      </c>
      <c r="AF53" s="376" t="s">
        <v>209</v>
      </c>
      <c r="AG53" s="376" t="s">
        <v>178</v>
      </c>
      <c r="AH53" s="381">
        <v>52.05</v>
      </c>
      <c r="AI53" s="381">
        <v>45864.5</v>
      </c>
      <c r="AJ53" s="376" t="s">
        <v>179</v>
      </c>
      <c r="AK53" s="376" t="s">
        <v>180</v>
      </c>
      <c r="AL53" s="376" t="s">
        <v>181</v>
      </c>
      <c r="AM53" s="376" t="s">
        <v>182</v>
      </c>
      <c r="AN53" s="376" t="s">
        <v>68</v>
      </c>
      <c r="AO53" s="379">
        <v>80</v>
      </c>
      <c r="AP53" s="460">
        <v>1</v>
      </c>
      <c r="AQ53" s="460">
        <v>1</v>
      </c>
      <c r="AR53" s="458" t="s">
        <v>183</v>
      </c>
      <c r="AS53" s="462">
        <f t="shared" si="0"/>
        <v>1</v>
      </c>
      <c r="AT53">
        <f t="shared" si="1"/>
        <v>1</v>
      </c>
      <c r="AU53" s="462">
        <f>IF(AT53=0,"",IF(AND(AT53=1,M53="F",SUMIF(C2:C170,C53,AS2:AS170)&lt;=1),SUMIF(C2:C170,C53,AS2:AS170),IF(AND(AT53=1,M53="F",SUMIF(C2:C170,C53,AS2:AS170)&gt;1),1,"")))</f>
        <v>1</v>
      </c>
      <c r="AV53" s="462" t="str">
        <f>IF(AT53=0,"",IF(AND(AT53=3,M53="F",SUMIF(C2:C170,C53,AS2:AS170)&lt;=1),SUMIF(C2:C170,C53,AS2:AS170),IF(AND(AT53=3,M53="F",SUMIF(C2:C170,C53,AS2:AS170)&gt;1),1,"")))</f>
        <v/>
      </c>
      <c r="AW53" s="462">
        <f>SUMIF(C2:C170,C53,O2:O170)</f>
        <v>2</v>
      </c>
      <c r="AX53" s="462">
        <f>IF(AND(M53="F",AS53&lt;&gt;0),SUMIF(C2:C170,C53,W2:W170),0)</f>
        <v>108264</v>
      </c>
      <c r="AY53" s="462">
        <f t="shared" si="2"/>
        <v>108264</v>
      </c>
      <c r="AZ53" s="462" t="str">
        <f t="shared" si="3"/>
        <v/>
      </c>
      <c r="BA53" s="462">
        <f t="shared" si="4"/>
        <v>0</v>
      </c>
      <c r="BB53" s="462">
        <f>IF(AND(AT53=1,AK53="E",AU53&gt;=0.75,AW53=1),Health,IF(AND(AT53=1,AK53="E",AU53&gt;=0.75),Health*P53,IF(AND(AT53=1,AK53="E",AU53&gt;=0.5,AW53=1),PTHealth,IF(AND(AT53=1,AK53="E",AU53&gt;=0.5),PTHealth*P53,0))))</f>
        <v>11650</v>
      </c>
      <c r="BC53" s="462">
        <f>IF(AND(AT53=3,AK53="E",AV53&gt;=0.75,AW53=1),Health,IF(AND(AT53=3,AK53="E",AV53&gt;=0.75),Health*P53,IF(AND(AT53=3,AK53="E",AV53&gt;=0.5,AW53=1),PTHealth,IF(AND(AT53=3,AK53="E",AV53&gt;=0.5),PTHealth*P53,0))))</f>
        <v>0</v>
      </c>
      <c r="BD53" s="462">
        <f>IF(AND(AT53&lt;&gt;0,AX53&gt;=MAXSSDI),SSDI*MAXSSDI*P53,IF(AT53&lt;&gt;0,SSDI*W53,0))</f>
        <v>6712.3680000000004</v>
      </c>
      <c r="BE53" s="462">
        <f>IF(AT53&lt;&gt;0,SSHI*W53,0)</f>
        <v>1569.828</v>
      </c>
      <c r="BF53" s="462">
        <f>IF(AND(AT53&lt;&gt;0,AN53&lt;&gt;"NE"),VLOOKUP(AN53,Retirement_Rates,3,FALSE)*W53,0)</f>
        <v>12926.721600000001</v>
      </c>
      <c r="BG53" s="462">
        <f>IF(AND(AT53&lt;&gt;0,AJ53&lt;&gt;"PF"),Life*W53,0)</f>
        <v>780.58344</v>
      </c>
      <c r="BH53" s="462">
        <f>IF(AND(AT53&lt;&gt;0,AM53="Y"),UI*W53,0)</f>
        <v>530.49360000000001</v>
      </c>
      <c r="BI53" s="462">
        <f>IF(AND(AT53&lt;&gt;0,N53&lt;&gt;"NR"),DHR*W53,0)</f>
        <v>599.78255999999999</v>
      </c>
      <c r="BJ53" s="462">
        <f>IF(AT53&lt;&gt;0,WC*W53,0)</f>
        <v>216.52799999999999</v>
      </c>
      <c r="BK53" s="462">
        <f>IF(OR(AND(AT53&lt;&gt;0,AJ53&lt;&gt;"PF",AN53&lt;&gt;"NE",AG53&lt;&gt;"A"),AND(AL53="E",OR(AT53=1,AT53=3))),Sick*W53,0)</f>
        <v>0</v>
      </c>
      <c r="BL53" s="462">
        <f t="shared" si="5"/>
        <v>23336.305199999999</v>
      </c>
      <c r="BM53" s="462">
        <f t="shared" si="6"/>
        <v>0</v>
      </c>
      <c r="BN53" s="462">
        <f>IF(AND(AT53=1,AK53="E",AU53&gt;=0.75,AW53=1),HealthBY,IF(AND(AT53=1,AK53="E",AU53&gt;=0.75),HealthBY*P53,IF(AND(AT53=1,AK53="E",AU53&gt;=0.5,AW53=1),PTHealthBY,IF(AND(AT53=1,AK53="E",AU53&gt;=0.5),PTHealthBY*P53,0))))</f>
        <v>11650</v>
      </c>
      <c r="BO53" s="462">
        <f>IF(AND(AT53=3,AK53="E",AV53&gt;=0.75,AW53=1),HealthBY,IF(AND(AT53=3,AK53="E",AV53&gt;=0.75),HealthBY*P53,IF(AND(AT53=3,AK53="E",AV53&gt;=0.5,AW53=1),PTHealthBY,IF(AND(AT53=3,AK53="E",AV53&gt;=0.5),PTHealthBY*P53,0))))</f>
        <v>0</v>
      </c>
      <c r="BP53" s="462">
        <f>IF(AND(AT53&lt;&gt;0,(AX53+BA53)&gt;=MAXSSDIBY),SSDIBY*MAXSSDIBY*P53,IF(AT53&lt;&gt;0,SSDIBY*W53,0))</f>
        <v>6712.3680000000004</v>
      </c>
      <c r="BQ53" s="462">
        <f>IF(AT53&lt;&gt;0,SSHIBY*W53,0)</f>
        <v>1569.828</v>
      </c>
      <c r="BR53" s="462">
        <f>IF(AND(AT53&lt;&gt;0,AN53&lt;&gt;"NE"),VLOOKUP(AN53,Retirement_Rates,4,FALSE)*W53,0)</f>
        <v>12926.721600000001</v>
      </c>
      <c r="BS53" s="462">
        <f>IF(AND(AT53&lt;&gt;0,AJ53&lt;&gt;"PF"),LifeBY*W53,0)</f>
        <v>780.58344</v>
      </c>
      <c r="BT53" s="462">
        <f>IF(AND(AT53&lt;&gt;0,AM53="Y"),UIBY*W53,0)</f>
        <v>0</v>
      </c>
      <c r="BU53" s="462">
        <f>IF(AND(AT53&lt;&gt;0,N53&lt;&gt;"NR"),DHRBY*W53,0)</f>
        <v>599.78255999999999</v>
      </c>
      <c r="BV53" s="462">
        <f>IF(AT53&lt;&gt;0,WCBY*W53,0)</f>
        <v>184.0488</v>
      </c>
      <c r="BW53" s="462">
        <f>IF(OR(AND(AT53&lt;&gt;0,AJ53&lt;&gt;"PF",AN53&lt;&gt;"NE",AG53&lt;&gt;"A"),AND(AL53="E",OR(AT53=1,AT53=3))),SickBY*W53,0)</f>
        <v>0</v>
      </c>
      <c r="BX53" s="462">
        <f t="shared" si="7"/>
        <v>22773.332399999999</v>
      </c>
      <c r="BY53" s="462">
        <f t="shared" si="8"/>
        <v>0</v>
      </c>
      <c r="BZ53" s="462">
        <f t="shared" si="9"/>
        <v>0</v>
      </c>
      <c r="CA53" s="462">
        <f t="shared" si="10"/>
        <v>0</v>
      </c>
      <c r="CB53" s="462">
        <f t="shared" si="11"/>
        <v>0</v>
      </c>
      <c r="CC53" s="462">
        <f>IF(AT53&lt;&gt;0,SSHICHG*Y53,0)</f>
        <v>0</v>
      </c>
      <c r="CD53" s="462">
        <f>IF(AND(AT53&lt;&gt;0,AN53&lt;&gt;"NE"),VLOOKUP(AN53,Retirement_Rates,5,FALSE)*Y53,0)</f>
        <v>0</v>
      </c>
      <c r="CE53" s="462">
        <f>IF(AND(AT53&lt;&gt;0,AJ53&lt;&gt;"PF"),LifeCHG*Y53,0)</f>
        <v>0</v>
      </c>
      <c r="CF53" s="462">
        <f>IF(AND(AT53&lt;&gt;0,AM53="Y"),UICHG*Y53,0)</f>
        <v>-530.49360000000001</v>
      </c>
      <c r="CG53" s="462">
        <f>IF(AND(AT53&lt;&gt;0,N53&lt;&gt;"NR"),DHRCHG*Y53,0)</f>
        <v>0</v>
      </c>
      <c r="CH53" s="462">
        <f>IF(AT53&lt;&gt;0,WCCHG*Y53,0)</f>
        <v>-32.479200000000013</v>
      </c>
      <c r="CI53" s="462">
        <f>IF(OR(AND(AT53&lt;&gt;0,AJ53&lt;&gt;"PF",AN53&lt;&gt;"NE",AG53&lt;&gt;"A"),AND(AL53="E",OR(AT53=1,AT53=3))),SickCHG*Y53,0)</f>
        <v>0</v>
      </c>
      <c r="CJ53" s="462">
        <f t="shared" si="12"/>
        <v>-562.97280000000001</v>
      </c>
      <c r="CK53" s="462" t="str">
        <f t="shared" si="13"/>
        <v/>
      </c>
      <c r="CL53" s="462" t="str">
        <f t="shared" si="14"/>
        <v/>
      </c>
      <c r="CM53" s="462" t="str">
        <f t="shared" si="15"/>
        <v/>
      </c>
      <c r="CN53" s="462" t="str">
        <f t="shared" si="16"/>
        <v>0450-38</v>
      </c>
    </row>
    <row r="54" spans="1:92" ht="15" thickBot="1" x14ac:dyDescent="0.35">
      <c r="A54" s="376" t="s">
        <v>161</v>
      </c>
      <c r="B54" s="376" t="s">
        <v>162</v>
      </c>
      <c r="C54" s="376" t="s">
        <v>429</v>
      </c>
      <c r="D54" s="376" t="s">
        <v>430</v>
      </c>
      <c r="E54" s="376" t="s">
        <v>314</v>
      </c>
      <c r="F54" s="382" t="s">
        <v>406</v>
      </c>
      <c r="G54" s="376" t="s">
        <v>167</v>
      </c>
      <c r="H54" s="378"/>
      <c r="I54" s="378"/>
      <c r="J54" s="376" t="s">
        <v>168</v>
      </c>
      <c r="K54" s="376" t="s">
        <v>431</v>
      </c>
      <c r="L54" s="376" t="s">
        <v>220</v>
      </c>
      <c r="M54" s="376" t="s">
        <v>171</v>
      </c>
      <c r="N54" s="376" t="s">
        <v>172</v>
      </c>
      <c r="O54" s="379">
        <v>1</v>
      </c>
      <c r="P54" s="460">
        <v>1</v>
      </c>
      <c r="Q54" s="460">
        <v>1</v>
      </c>
      <c r="R54" s="380">
        <v>80</v>
      </c>
      <c r="S54" s="460">
        <v>1</v>
      </c>
      <c r="T54" s="380">
        <v>58692.72</v>
      </c>
      <c r="U54" s="380">
        <v>0</v>
      </c>
      <c r="V54" s="380">
        <v>23988.3</v>
      </c>
      <c r="W54" s="380">
        <v>58635.199999999997</v>
      </c>
      <c r="X54" s="380">
        <v>24288.79</v>
      </c>
      <c r="Y54" s="380">
        <v>58635.199999999997</v>
      </c>
      <c r="Z54" s="380">
        <v>23983.88</v>
      </c>
      <c r="AA54" s="376" t="s">
        <v>432</v>
      </c>
      <c r="AB54" s="376" t="s">
        <v>433</v>
      </c>
      <c r="AC54" s="376" t="s">
        <v>434</v>
      </c>
      <c r="AD54" s="376" t="s">
        <v>334</v>
      </c>
      <c r="AE54" s="376" t="s">
        <v>431</v>
      </c>
      <c r="AF54" s="376" t="s">
        <v>224</v>
      </c>
      <c r="AG54" s="376" t="s">
        <v>178</v>
      </c>
      <c r="AH54" s="381">
        <v>28.19</v>
      </c>
      <c r="AI54" s="379">
        <v>3512</v>
      </c>
      <c r="AJ54" s="376" t="s">
        <v>179</v>
      </c>
      <c r="AK54" s="376" t="s">
        <v>180</v>
      </c>
      <c r="AL54" s="376" t="s">
        <v>181</v>
      </c>
      <c r="AM54" s="376" t="s">
        <v>182</v>
      </c>
      <c r="AN54" s="376" t="s">
        <v>68</v>
      </c>
      <c r="AO54" s="379">
        <v>80</v>
      </c>
      <c r="AP54" s="460">
        <v>1</v>
      </c>
      <c r="AQ54" s="460">
        <v>1</v>
      </c>
      <c r="AR54" s="458" t="s">
        <v>183</v>
      </c>
      <c r="AS54" s="462">
        <f t="shared" si="0"/>
        <v>1</v>
      </c>
      <c r="AT54">
        <f t="shared" si="1"/>
        <v>1</v>
      </c>
      <c r="AU54" s="462">
        <f>IF(AT54=0,"",IF(AND(AT54=1,M54="F",SUMIF(C2:C170,C54,AS2:AS170)&lt;=1),SUMIF(C2:C170,C54,AS2:AS170),IF(AND(AT54=1,M54="F",SUMIF(C2:C170,C54,AS2:AS170)&gt;1),1,"")))</f>
        <v>1</v>
      </c>
      <c r="AV54" s="462" t="str">
        <f>IF(AT54=0,"",IF(AND(AT54=3,M54="F",SUMIF(C2:C170,C54,AS2:AS170)&lt;=1),SUMIF(C2:C170,C54,AS2:AS170),IF(AND(AT54=3,M54="F",SUMIF(C2:C170,C54,AS2:AS170)&gt;1),1,"")))</f>
        <v/>
      </c>
      <c r="AW54" s="462">
        <f>SUMIF(C2:C170,C54,O2:O170)</f>
        <v>1</v>
      </c>
      <c r="AX54" s="462">
        <f>IF(AND(M54="F",AS54&lt;&gt;0),SUMIF(C2:C170,C54,W2:W170),0)</f>
        <v>58635.199999999997</v>
      </c>
      <c r="AY54" s="462">
        <f t="shared" si="2"/>
        <v>58635.199999999997</v>
      </c>
      <c r="AZ54" s="462" t="str">
        <f t="shared" si="3"/>
        <v/>
      </c>
      <c r="BA54" s="462">
        <f t="shared" si="4"/>
        <v>0</v>
      </c>
      <c r="BB54" s="462">
        <f>IF(AND(AT54=1,AK54="E",AU54&gt;=0.75,AW54=1),Health,IF(AND(AT54=1,AK54="E",AU54&gt;=0.75),Health*P54,IF(AND(AT54=1,AK54="E",AU54&gt;=0.5,AW54=1),PTHealth,IF(AND(AT54=1,AK54="E",AU54&gt;=0.5),PTHealth*P54,0))))</f>
        <v>11650</v>
      </c>
      <c r="BC54" s="462">
        <f>IF(AND(AT54=3,AK54="E",AV54&gt;=0.75,AW54=1),Health,IF(AND(AT54=3,AK54="E",AV54&gt;=0.75),Health*P54,IF(AND(AT54=3,AK54="E",AV54&gt;=0.5,AW54=1),PTHealth,IF(AND(AT54=3,AK54="E",AV54&gt;=0.5),PTHealth*P54,0))))</f>
        <v>0</v>
      </c>
      <c r="BD54" s="462">
        <f>IF(AND(AT54&lt;&gt;0,AX54&gt;=MAXSSDI),SSDI*MAXSSDI*P54,IF(AT54&lt;&gt;0,SSDI*W54,0))</f>
        <v>3635.3824</v>
      </c>
      <c r="BE54" s="462">
        <f>IF(AT54&lt;&gt;0,SSHI*W54,0)</f>
        <v>850.21040000000005</v>
      </c>
      <c r="BF54" s="462">
        <f>IF(AND(AT54&lt;&gt;0,AN54&lt;&gt;"NE"),VLOOKUP(AN54,Retirement_Rates,3,FALSE)*W54,0)</f>
        <v>7001.04288</v>
      </c>
      <c r="BG54" s="462">
        <f>IF(AND(AT54&lt;&gt;0,AJ54&lt;&gt;"PF"),Life*W54,0)</f>
        <v>422.759792</v>
      </c>
      <c r="BH54" s="462">
        <f>IF(AND(AT54&lt;&gt;0,AM54="Y"),UI*W54,0)</f>
        <v>287.31247999999999</v>
      </c>
      <c r="BI54" s="462">
        <f>IF(AND(AT54&lt;&gt;0,N54&lt;&gt;"NR"),DHR*W54,0)</f>
        <v>324.83900799999998</v>
      </c>
      <c r="BJ54" s="462">
        <f>IF(AT54&lt;&gt;0,WC*W54,0)</f>
        <v>117.2704</v>
      </c>
      <c r="BK54" s="462">
        <f>IF(OR(AND(AT54&lt;&gt;0,AJ54&lt;&gt;"PF",AN54&lt;&gt;"NE",AG54&lt;&gt;"A"),AND(AL54="E",OR(AT54=1,AT54=3))),Sick*W54,0)</f>
        <v>0</v>
      </c>
      <c r="BL54" s="462">
        <f t="shared" si="5"/>
        <v>12638.817360000001</v>
      </c>
      <c r="BM54" s="462">
        <f t="shared" si="6"/>
        <v>0</v>
      </c>
      <c r="BN54" s="462">
        <f>IF(AND(AT54=1,AK54="E",AU54&gt;=0.75,AW54=1),HealthBY,IF(AND(AT54=1,AK54="E",AU54&gt;=0.75),HealthBY*P54,IF(AND(AT54=1,AK54="E",AU54&gt;=0.5,AW54=1),PTHealthBY,IF(AND(AT54=1,AK54="E",AU54&gt;=0.5),PTHealthBY*P54,0))))</f>
        <v>11650</v>
      </c>
      <c r="BO54" s="462">
        <f>IF(AND(AT54=3,AK54="E",AV54&gt;=0.75,AW54=1),HealthBY,IF(AND(AT54=3,AK54="E",AV54&gt;=0.75),HealthBY*P54,IF(AND(AT54=3,AK54="E",AV54&gt;=0.5,AW54=1),PTHealthBY,IF(AND(AT54=3,AK54="E",AV54&gt;=0.5),PTHealthBY*P54,0))))</f>
        <v>0</v>
      </c>
      <c r="BP54" s="462">
        <f>IF(AND(AT54&lt;&gt;0,(AX54+BA54)&gt;=MAXSSDIBY),SSDIBY*MAXSSDIBY*P54,IF(AT54&lt;&gt;0,SSDIBY*W54,0))</f>
        <v>3635.3824</v>
      </c>
      <c r="BQ54" s="462">
        <f>IF(AT54&lt;&gt;0,SSHIBY*W54,0)</f>
        <v>850.21040000000005</v>
      </c>
      <c r="BR54" s="462">
        <f>IF(AND(AT54&lt;&gt;0,AN54&lt;&gt;"NE"),VLOOKUP(AN54,Retirement_Rates,4,FALSE)*W54,0)</f>
        <v>7001.04288</v>
      </c>
      <c r="BS54" s="462">
        <f>IF(AND(AT54&lt;&gt;0,AJ54&lt;&gt;"PF"),LifeBY*W54,0)</f>
        <v>422.759792</v>
      </c>
      <c r="BT54" s="462">
        <f>IF(AND(AT54&lt;&gt;0,AM54="Y"),UIBY*W54,0)</f>
        <v>0</v>
      </c>
      <c r="BU54" s="462">
        <f>IF(AND(AT54&lt;&gt;0,N54&lt;&gt;"NR"),DHRBY*W54,0)</f>
        <v>324.83900799999998</v>
      </c>
      <c r="BV54" s="462">
        <f>IF(AT54&lt;&gt;0,WCBY*W54,0)</f>
        <v>99.679839999999984</v>
      </c>
      <c r="BW54" s="462">
        <f>IF(OR(AND(AT54&lt;&gt;0,AJ54&lt;&gt;"PF",AN54&lt;&gt;"NE",AG54&lt;&gt;"A"),AND(AL54="E",OR(AT54=1,AT54=3))),SickBY*W54,0)</f>
        <v>0</v>
      </c>
      <c r="BX54" s="462">
        <f t="shared" si="7"/>
        <v>12333.914320000002</v>
      </c>
      <c r="BY54" s="462">
        <f t="shared" si="8"/>
        <v>0</v>
      </c>
      <c r="BZ54" s="462">
        <f t="shared" si="9"/>
        <v>0</v>
      </c>
      <c r="CA54" s="462">
        <f t="shared" si="10"/>
        <v>0</v>
      </c>
      <c r="CB54" s="462">
        <f t="shared" si="11"/>
        <v>0</v>
      </c>
      <c r="CC54" s="462">
        <f>IF(AT54&lt;&gt;0,SSHICHG*Y54,0)</f>
        <v>0</v>
      </c>
      <c r="CD54" s="462">
        <f>IF(AND(AT54&lt;&gt;0,AN54&lt;&gt;"NE"),VLOOKUP(AN54,Retirement_Rates,5,FALSE)*Y54,0)</f>
        <v>0</v>
      </c>
      <c r="CE54" s="462">
        <f>IF(AND(AT54&lt;&gt;0,AJ54&lt;&gt;"PF"),LifeCHG*Y54,0)</f>
        <v>0</v>
      </c>
      <c r="CF54" s="462">
        <f>IF(AND(AT54&lt;&gt;0,AM54="Y"),UICHG*Y54,0)</f>
        <v>-287.31247999999999</v>
      </c>
      <c r="CG54" s="462">
        <f>IF(AND(AT54&lt;&gt;0,N54&lt;&gt;"NR"),DHRCHG*Y54,0)</f>
        <v>0</v>
      </c>
      <c r="CH54" s="462">
        <f>IF(AT54&lt;&gt;0,WCCHG*Y54,0)</f>
        <v>-17.590560000000007</v>
      </c>
      <c r="CI54" s="462">
        <f>IF(OR(AND(AT54&lt;&gt;0,AJ54&lt;&gt;"PF",AN54&lt;&gt;"NE",AG54&lt;&gt;"A"),AND(AL54="E",OR(AT54=1,AT54=3))),SickCHG*Y54,0)</f>
        <v>0</v>
      </c>
      <c r="CJ54" s="462">
        <f t="shared" si="12"/>
        <v>-304.90303999999998</v>
      </c>
      <c r="CK54" s="462" t="str">
        <f t="shared" si="13"/>
        <v/>
      </c>
      <c r="CL54" s="462" t="str">
        <f t="shared" si="14"/>
        <v/>
      </c>
      <c r="CM54" s="462" t="str">
        <f t="shared" si="15"/>
        <v/>
      </c>
      <c r="CN54" s="462" t="str">
        <f t="shared" si="16"/>
        <v>0450-38</v>
      </c>
    </row>
    <row r="55" spans="1:92" ht="15" thickBot="1" x14ac:dyDescent="0.35">
      <c r="A55" s="376" t="s">
        <v>161</v>
      </c>
      <c r="B55" s="376" t="s">
        <v>162</v>
      </c>
      <c r="C55" s="376" t="s">
        <v>435</v>
      </c>
      <c r="D55" s="376" t="s">
        <v>436</v>
      </c>
      <c r="E55" s="376" t="s">
        <v>314</v>
      </c>
      <c r="F55" s="382" t="s">
        <v>406</v>
      </c>
      <c r="G55" s="376" t="s">
        <v>167</v>
      </c>
      <c r="H55" s="378"/>
      <c r="I55" s="378"/>
      <c r="J55" s="376" t="s">
        <v>168</v>
      </c>
      <c r="K55" s="376" t="s">
        <v>437</v>
      </c>
      <c r="L55" s="376" t="s">
        <v>216</v>
      </c>
      <c r="M55" s="376" t="s">
        <v>171</v>
      </c>
      <c r="N55" s="376" t="s">
        <v>172</v>
      </c>
      <c r="O55" s="379">
        <v>1</v>
      </c>
      <c r="P55" s="460">
        <v>1</v>
      </c>
      <c r="Q55" s="460">
        <v>1</v>
      </c>
      <c r="R55" s="380">
        <v>80</v>
      </c>
      <c r="S55" s="460">
        <v>1</v>
      </c>
      <c r="T55" s="380">
        <v>67905.509999999995</v>
      </c>
      <c r="U55" s="380">
        <v>0</v>
      </c>
      <c r="V55" s="380">
        <v>26829.06</v>
      </c>
      <c r="W55" s="380">
        <v>68952</v>
      </c>
      <c r="X55" s="380">
        <v>26512.57</v>
      </c>
      <c r="Y55" s="380">
        <v>68952</v>
      </c>
      <c r="Z55" s="380">
        <v>26154.02</v>
      </c>
      <c r="AA55" s="376" t="s">
        <v>438</v>
      </c>
      <c r="AB55" s="376" t="s">
        <v>439</v>
      </c>
      <c r="AC55" s="376" t="s">
        <v>440</v>
      </c>
      <c r="AD55" s="376" t="s">
        <v>228</v>
      </c>
      <c r="AE55" s="376" t="s">
        <v>437</v>
      </c>
      <c r="AF55" s="376" t="s">
        <v>311</v>
      </c>
      <c r="AG55" s="376" t="s">
        <v>178</v>
      </c>
      <c r="AH55" s="381">
        <v>33.15</v>
      </c>
      <c r="AI55" s="379">
        <v>2163</v>
      </c>
      <c r="AJ55" s="376" t="s">
        <v>179</v>
      </c>
      <c r="AK55" s="376" t="s">
        <v>180</v>
      </c>
      <c r="AL55" s="376" t="s">
        <v>181</v>
      </c>
      <c r="AM55" s="376" t="s">
        <v>182</v>
      </c>
      <c r="AN55" s="376" t="s">
        <v>68</v>
      </c>
      <c r="AO55" s="379">
        <v>80</v>
      </c>
      <c r="AP55" s="460">
        <v>1</v>
      </c>
      <c r="AQ55" s="460">
        <v>1</v>
      </c>
      <c r="AR55" s="458" t="s">
        <v>183</v>
      </c>
      <c r="AS55" s="462">
        <f t="shared" si="0"/>
        <v>1</v>
      </c>
      <c r="AT55">
        <f t="shared" si="1"/>
        <v>1</v>
      </c>
      <c r="AU55" s="462">
        <f>IF(AT55=0,"",IF(AND(AT55=1,M55="F",SUMIF(C2:C170,C55,AS2:AS170)&lt;=1),SUMIF(C2:C170,C55,AS2:AS170),IF(AND(AT55=1,M55="F",SUMIF(C2:C170,C55,AS2:AS170)&gt;1),1,"")))</f>
        <v>1</v>
      </c>
      <c r="AV55" s="462" t="str">
        <f>IF(AT55=0,"",IF(AND(AT55=3,M55="F",SUMIF(C2:C170,C55,AS2:AS170)&lt;=1),SUMIF(C2:C170,C55,AS2:AS170),IF(AND(AT55=3,M55="F",SUMIF(C2:C170,C55,AS2:AS170)&gt;1),1,"")))</f>
        <v/>
      </c>
      <c r="AW55" s="462">
        <f>SUMIF(C2:C170,C55,O2:O170)</f>
        <v>1</v>
      </c>
      <c r="AX55" s="462">
        <f>IF(AND(M55="F",AS55&lt;&gt;0),SUMIF(C2:C170,C55,W2:W170),0)</f>
        <v>68952</v>
      </c>
      <c r="AY55" s="462">
        <f t="shared" si="2"/>
        <v>68952</v>
      </c>
      <c r="AZ55" s="462" t="str">
        <f t="shared" si="3"/>
        <v/>
      </c>
      <c r="BA55" s="462">
        <f t="shared" si="4"/>
        <v>0</v>
      </c>
      <c r="BB55" s="462">
        <f>IF(AND(AT55=1,AK55="E",AU55&gt;=0.75,AW55=1),Health,IF(AND(AT55=1,AK55="E",AU55&gt;=0.75),Health*P55,IF(AND(AT55=1,AK55="E",AU55&gt;=0.5,AW55=1),PTHealth,IF(AND(AT55=1,AK55="E",AU55&gt;=0.5),PTHealth*P55,0))))</f>
        <v>11650</v>
      </c>
      <c r="BC55" s="462">
        <f>IF(AND(AT55=3,AK55="E",AV55&gt;=0.75,AW55=1),Health,IF(AND(AT55=3,AK55="E",AV55&gt;=0.75),Health*P55,IF(AND(AT55=3,AK55="E",AV55&gt;=0.5,AW55=1),PTHealth,IF(AND(AT55=3,AK55="E",AV55&gt;=0.5),PTHealth*P55,0))))</f>
        <v>0</v>
      </c>
      <c r="BD55" s="462">
        <f>IF(AND(AT55&lt;&gt;0,AX55&gt;=MAXSSDI),SSDI*MAXSSDI*P55,IF(AT55&lt;&gt;0,SSDI*W55,0))</f>
        <v>4275.0240000000003</v>
      </c>
      <c r="BE55" s="462">
        <f>IF(AT55&lt;&gt;0,SSHI*W55,0)</f>
        <v>999.80400000000009</v>
      </c>
      <c r="BF55" s="462">
        <f>IF(AND(AT55&lt;&gt;0,AN55&lt;&gt;"NE"),VLOOKUP(AN55,Retirement_Rates,3,FALSE)*W55,0)</f>
        <v>8232.8688000000002</v>
      </c>
      <c r="BG55" s="462">
        <f>IF(AND(AT55&lt;&gt;0,AJ55&lt;&gt;"PF"),Life*W55,0)</f>
        <v>497.14392000000004</v>
      </c>
      <c r="BH55" s="462">
        <f>IF(AND(AT55&lt;&gt;0,AM55="Y"),UI*W55,0)</f>
        <v>337.8648</v>
      </c>
      <c r="BI55" s="462">
        <f>IF(AND(AT55&lt;&gt;0,N55&lt;&gt;"NR"),DHR*W55,0)</f>
        <v>381.99408</v>
      </c>
      <c r="BJ55" s="462">
        <f>IF(AT55&lt;&gt;0,WC*W55,0)</f>
        <v>137.904</v>
      </c>
      <c r="BK55" s="462">
        <f>IF(OR(AND(AT55&lt;&gt;0,AJ55&lt;&gt;"PF",AN55&lt;&gt;"NE",AG55&lt;&gt;"A"),AND(AL55="E",OR(AT55=1,AT55=3))),Sick*W55,0)</f>
        <v>0</v>
      </c>
      <c r="BL55" s="462">
        <f t="shared" si="5"/>
        <v>14862.603600000002</v>
      </c>
      <c r="BM55" s="462">
        <f t="shared" si="6"/>
        <v>0</v>
      </c>
      <c r="BN55" s="462">
        <f>IF(AND(AT55=1,AK55="E",AU55&gt;=0.75,AW55=1),HealthBY,IF(AND(AT55=1,AK55="E",AU55&gt;=0.75),HealthBY*P55,IF(AND(AT55=1,AK55="E",AU55&gt;=0.5,AW55=1),PTHealthBY,IF(AND(AT55=1,AK55="E",AU55&gt;=0.5),PTHealthBY*P55,0))))</f>
        <v>11650</v>
      </c>
      <c r="BO55" s="462">
        <f>IF(AND(AT55=3,AK55="E",AV55&gt;=0.75,AW55=1),HealthBY,IF(AND(AT55=3,AK55="E",AV55&gt;=0.75),HealthBY*P55,IF(AND(AT55=3,AK55="E",AV55&gt;=0.5,AW55=1),PTHealthBY,IF(AND(AT55=3,AK55="E",AV55&gt;=0.5),PTHealthBY*P55,0))))</f>
        <v>0</v>
      </c>
      <c r="BP55" s="462">
        <f>IF(AND(AT55&lt;&gt;0,(AX55+BA55)&gt;=MAXSSDIBY),SSDIBY*MAXSSDIBY*P55,IF(AT55&lt;&gt;0,SSDIBY*W55,0))</f>
        <v>4275.0240000000003</v>
      </c>
      <c r="BQ55" s="462">
        <f>IF(AT55&lt;&gt;0,SSHIBY*W55,0)</f>
        <v>999.80400000000009</v>
      </c>
      <c r="BR55" s="462">
        <f>IF(AND(AT55&lt;&gt;0,AN55&lt;&gt;"NE"),VLOOKUP(AN55,Retirement_Rates,4,FALSE)*W55,0)</f>
        <v>8232.8688000000002</v>
      </c>
      <c r="BS55" s="462">
        <f>IF(AND(AT55&lt;&gt;0,AJ55&lt;&gt;"PF"),LifeBY*W55,0)</f>
        <v>497.14392000000004</v>
      </c>
      <c r="BT55" s="462">
        <f>IF(AND(AT55&lt;&gt;0,AM55="Y"),UIBY*W55,0)</f>
        <v>0</v>
      </c>
      <c r="BU55" s="462">
        <f>IF(AND(AT55&lt;&gt;0,N55&lt;&gt;"NR"),DHRBY*W55,0)</f>
        <v>381.99408</v>
      </c>
      <c r="BV55" s="462">
        <f>IF(AT55&lt;&gt;0,WCBY*W55,0)</f>
        <v>117.21839999999999</v>
      </c>
      <c r="BW55" s="462">
        <f>IF(OR(AND(AT55&lt;&gt;0,AJ55&lt;&gt;"PF",AN55&lt;&gt;"NE",AG55&lt;&gt;"A"),AND(AL55="E",OR(AT55=1,AT55=3))),SickBY*W55,0)</f>
        <v>0</v>
      </c>
      <c r="BX55" s="462">
        <f t="shared" si="7"/>
        <v>14504.053200000002</v>
      </c>
      <c r="BY55" s="462">
        <f t="shared" si="8"/>
        <v>0</v>
      </c>
      <c r="BZ55" s="462">
        <f t="shared" si="9"/>
        <v>0</v>
      </c>
      <c r="CA55" s="462">
        <f t="shared" si="10"/>
        <v>0</v>
      </c>
      <c r="CB55" s="462">
        <f t="shared" si="11"/>
        <v>0</v>
      </c>
      <c r="CC55" s="462">
        <f>IF(AT55&lt;&gt;0,SSHICHG*Y55,0)</f>
        <v>0</v>
      </c>
      <c r="CD55" s="462">
        <f>IF(AND(AT55&lt;&gt;0,AN55&lt;&gt;"NE"),VLOOKUP(AN55,Retirement_Rates,5,FALSE)*Y55,0)</f>
        <v>0</v>
      </c>
      <c r="CE55" s="462">
        <f>IF(AND(AT55&lt;&gt;0,AJ55&lt;&gt;"PF"),LifeCHG*Y55,0)</f>
        <v>0</v>
      </c>
      <c r="CF55" s="462">
        <f>IF(AND(AT55&lt;&gt;0,AM55="Y"),UICHG*Y55,0)</f>
        <v>-337.8648</v>
      </c>
      <c r="CG55" s="462">
        <f>IF(AND(AT55&lt;&gt;0,N55&lt;&gt;"NR"),DHRCHG*Y55,0)</f>
        <v>0</v>
      </c>
      <c r="CH55" s="462">
        <f>IF(AT55&lt;&gt;0,WCCHG*Y55,0)</f>
        <v>-20.685600000000008</v>
      </c>
      <c r="CI55" s="462">
        <f>IF(OR(AND(AT55&lt;&gt;0,AJ55&lt;&gt;"PF",AN55&lt;&gt;"NE",AG55&lt;&gt;"A"),AND(AL55="E",OR(AT55=1,AT55=3))),SickCHG*Y55,0)</f>
        <v>0</v>
      </c>
      <c r="CJ55" s="462">
        <f t="shared" si="12"/>
        <v>-358.55040000000002</v>
      </c>
      <c r="CK55" s="462" t="str">
        <f t="shared" si="13"/>
        <v/>
      </c>
      <c r="CL55" s="462" t="str">
        <f t="shared" si="14"/>
        <v/>
      </c>
      <c r="CM55" s="462" t="str">
        <f t="shared" si="15"/>
        <v/>
      </c>
      <c r="CN55" s="462" t="str">
        <f t="shared" si="16"/>
        <v>0450-38</v>
      </c>
    </row>
    <row r="56" spans="1:92" ht="15" thickBot="1" x14ac:dyDescent="0.35">
      <c r="A56" s="376" t="s">
        <v>161</v>
      </c>
      <c r="B56" s="376" t="s">
        <v>162</v>
      </c>
      <c r="C56" s="376" t="s">
        <v>441</v>
      </c>
      <c r="D56" s="376" t="s">
        <v>313</v>
      </c>
      <c r="E56" s="376" t="s">
        <v>314</v>
      </c>
      <c r="F56" s="382" t="s">
        <v>406</v>
      </c>
      <c r="G56" s="376" t="s">
        <v>167</v>
      </c>
      <c r="H56" s="378"/>
      <c r="I56" s="378"/>
      <c r="J56" s="376" t="s">
        <v>168</v>
      </c>
      <c r="K56" s="376" t="s">
        <v>316</v>
      </c>
      <c r="L56" s="376" t="s">
        <v>216</v>
      </c>
      <c r="M56" s="376" t="s">
        <v>171</v>
      </c>
      <c r="N56" s="376" t="s">
        <v>172</v>
      </c>
      <c r="O56" s="379">
        <v>1</v>
      </c>
      <c r="P56" s="460">
        <v>1</v>
      </c>
      <c r="Q56" s="460">
        <v>1</v>
      </c>
      <c r="R56" s="380">
        <v>80</v>
      </c>
      <c r="S56" s="460">
        <v>1</v>
      </c>
      <c r="T56" s="380">
        <v>58336.97</v>
      </c>
      <c r="U56" s="380">
        <v>0</v>
      </c>
      <c r="V56" s="380">
        <v>21870.63</v>
      </c>
      <c r="W56" s="380">
        <v>73112</v>
      </c>
      <c r="X56" s="380">
        <v>27409.26</v>
      </c>
      <c r="Y56" s="380">
        <v>73112</v>
      </c>
      <c r="Z56" s="380">
        <v>27029.09</v>
      </c>
      <c r="AA56" s="376" t="s">
        <v>442</v>
      </c>
      <c r="AB56" s="376" t="s">
        <v>443</v>
      </c>
      <c r="AC56" s="376" t="s">
        <v>444</v>
      </c>
      <c r="AD56" s="376" t="s">
        <v>445</v>
      </c>
      <c r="AE56" s="376" t="s">
        <v>316</v>
      </c>
      <c r="AF56" s="376" t="s">
        <v>311</v>
      </c>
      <c r="AG56" s="376" t="s">
        <v>178</v>
      </c>
      <c r="AH56" s="381">
        <v>35.15</v>
      </c>
      <c r="AI56" s="379">
        <v>52191</v>
      </c>
      <c r="AJ56" s="376" t="s">
        <v>179</v>
      </c>
      <c r="AK56" s="376" t="s">
        <v>180</v>
      </c>
      <c r="AL56" s="376" t="s">
        <v>181</v>
      </c>
      <c r="AM56" s="376" t="s">
        <v>182</v>
      </c>
      <c r="AN56" s="376" t="s">
        <v>68</v>
      </c>
      <c r="AO56" s="379">
        <v>80</v>
      </c>
      <c r="AP56" s="460">
        <v>1</v>
      </c>
      <c r="AQ56" s="460">
        <v>1</v>
      </c>
      <c r="AR56" s="458" t="s">
        <v>183</v>
      </c>
      <c r="AS56" s="462">
        <f t="shared" si="0"/>
        <v>1</v>
      </c>
      <c r="AT56">
        <f t="shared" si="1"/>
        <v>1</v>
      </c>
      <c r="AU56" s="462">
        <f>IF(AT56=0,"",IF(AND(AT56=1,M56="F",SUMIF(C2:C170,C56,AS2:AS170)&lt;=1),SUMIF(C2:C170,C56,AS2:AS170),IF(AND(AT56=1,M56="F",SUMIF(C2:C170,C56,AS2:AS170)&gt;1),1,"")))</f>
        <v>1</v>
      </c>
      <c r="AV56" s="462" t="str">
        <f>IF(AT56=0,"",IF(AND(AT56=3,M56="F",SUMIF(C2:C170,C56,AS2:AS170)&lt;=1),SUMIF(C2:C170,C56,AS2:AS170),IF(AND(AT56=3,M56="F",SUMIF(C2:C170,C56,AS2:AS170)&gt;1),1,"")))</f>
        <v/>
      </c>
      <c r="AW56" s="462">
        <f>SUMIF(C2:C170,C56,O2:O170)</f>
        <v>1</v>
      </c>
      <c r="AX56" s="462">
        <f>IF(AND(M56="F",AS56&lt;&gt;0),SUMIF(C2:C170,C56,W2:W170),0)</f>
        <v>73112</v>
      </c>
      <c r="AY56" s="462">
        <f t="shared" si="2"/>
        <v>73112</v>
      </c>
      <c r="AZ56" s="462" t="str">
        <f t="shared" si="3"/>
        <v/>
      </c>
      <c r="BA56" s="462">
        <f t="shared" si="4"/>
        <v>0</v>
      </c>
      <c r="BB56" s="462">
        <f>IF(AND(AT56=1,AK56="E",AU56&gt;=0.75,AW56=1),Health,IF(AND(AT56=1,AK56="E",AU56&gt;=0.75),Health*P56,IF(AND(AT56=1,AK56="E",AU56&gt;=0.5,AW56=1),PTHealth,IF(AND(AT56=1,AK56="E",AU56&gt;=0.5),PTHealth*P56,0))))</f>
        <v>11650</v>
      </c>
      <c r="BC56" s="462">
        <f>IF(AND(AT56=3,AK56="E",AV56&gt;=0.75,AW56=1),Health,IF(AND(AT56=3,AK56="E",AV56&gt;=0.75),Health*P56,IF(AND(AT56=3,AK56="E",AV56&gt;=0.5,AW56=1),PTHealth,IF(AND(AT56=3,AK56="E",AV56&gt;=0.5),PTHealth*P56,0))))</f>
        <v>0</v>
      </c>
      <c r="BD56" s="462">
        <f>IF(AND(AT56&lt;&gt;0,AX56&gt;=MAXSSDI),SSDI*MAXSSDI*P56,IF(AT56&lt;&gt;0,SSDI*W56,0))</f>
        <v>4532.9440000000004</v>
      </c>
      <c r="BE56" s="462">
        <f>IF(AT56&lt;&gt;0,SSHI*W56,0)</f>
        <v>1060.124</v>
      </c>
      <c r="BF56" s="462">
        <f>IF(AND(AT56&lt;&gt;0,AN56&lt;&gt;"NE"),VLOOKUP(AN56,Retirement_Rates,3,FALSE)*W56,0)</f>
        <v>8729.5727999999999</v>
      </c>
      <c r="BG56" s="462">
        <f>IF(AND(AT56&lt;&gt;0,AJ56&lt;&gt;"PF"),Life*W56,0)</f>
        <v>527.13751999999999</v>
      </c>
      <c r="BH56" s="462">
        <f>IF(AND(AT56&lt;&gt;0,AM56="Y"),UI*W56,0)</f>
        <v>358.24879999999996</v>
      </c>
      <c r="BI56" s="462">
        <f>IF(AND(AT56&lt;&gt;0,N56&lt;&gt;"NR"),DHR*W56,0)</f>
        <v>405.04048</v>
      </c>
      <c r="BJ56" s="462">
        <f>IF(AT56&lt;&gt;0,WC*W56,0)</f>
        <v>146.22399999999999</v>
      </c>
      <c r="BK56" s="462">
        <f>IF(OR(AND(AT56&lt;&gt;0,AJ56&lt;&gt;"PF",AN56&lt;&gt;"NE",AG56&lt;&gt;"A"),AND(AL56="E",OR(AT56=1,AT56=3))),Sick*W56,0)</f>
        <v>0</v>
      </c>
      <c r="BL56" s="462">
        <f t="shared" si="5"/>
        <v>15759.2916</v>
      </c>
      <c r="BM56" s="462">
        <f t="shared" si="6"/>
        <v>0</v>
      </c>
      <c r="BN56" s="462">
        <f>IF(AND(AT56=1,AK56="E",AU56&gt;=0.75,AW56=1),HealthBY,IF(AND(AT56=1,AK56="E",AU56&gt;=0.75),HealthBY*P56,IF(AND(AT56=1,AK56="E",AU56&gt;=0.5,AW56=1),PTHealthBY,IF(AND(AT56=1,AK56="E",AU56&gt;=0.5),PTHealthBY*P56,0))))</f>
        <v>11650</v>
      </c>
      <c r="BO56" s="462">
        <f>IF(AND(AT56=3,AK56="E",AV56&gt;=0.75,AW56=1),HealthBY,IF(AND(AT56=3,AK56="E",AV56&gt;=0.75),HealthBY*P56,IF(AND(AT56=3,AK56="E",AV56&gt;=0.5,AW56=1),PTHealthBY,IF(AND(AT56=3,AK56="E",AV56&gt;=0.5),PTHealthBY*P56,0))))</f>
        <v>0</v>
      </c>
      <c r="BP56" s="462">
        <f>IF(AND(AT56&lt;&gt;0,(AX56+BA56)&gt;=MAXSSDIBY),SSDIBY*MAXSSDIBY*P56,IF(AT56&lt;&gt;0,SSDIBY*W56,0))</f>
        <v>4532.9440000000004</v>
      </c>
      <c r="BQ56" s="462">
        <f>IF(AT56&lt;&gt;0,SSHIBY*W56,0)</f>
        <v>1060.124</v>
      </c>
      <c r="BR56" s="462">
        <f>IF(AND(AT56&lt;&gt;0,AN56&lt;&gt;"NE"),VLOOKUP(AN56,Retirement_Rates,4,FALSE)*W56,0)</f>
        <v>8729.5727999999999</v>
      </c>
      <c r="BS56" s="462">
        <f>IF(AND(AT56&lt;&gt;0,AJ56&lt;&gt;"PF"),LifeBY*W56,0)</f>
        <v>527.13751999999999</v>
      </c>
      <c r="BT56" s="462">
        <f>IF(AND(AT56&lt;&gt;0,AM56="Y"),UIBY*W56,0)</f>
        <v>0</v>
      </c>
      <c r="BU56" s="462">
        <f>IF(AND(AT56&lt;&gt;0,N56&lt;&gt;"NR"),DHRBY*W56,0)</f>
        <v>405.04048</v>
      </c>
      <c r="BV56" s="462">
        <f>IF(AT56&lt;&gt;0,WCBY*W56,0)</f>
        <v>124.29039999999999</v>
      </c>
      <c r="BW56" s="462">
        <f>IF(OR(AND(AT56&lt;&gt;0,AJ56&lt;&gt;"PF",AN56&lt;&gt;"NE",AG56&lt;&gt;"A"),AND(AL56="E",OR(AT56=1,AT56=3))),SickBY*W56,0)</f>
        <v>0</v>
      </c>
      <c r="BX56" s="462">
        <f t="shared" si="7"/>
        <v>15379.109200000001</v>
      </c>
      <c r="BY56" s="462">
        <f t="shared" si="8"/>
        <v>0</v>
      </c>
      <c r="BZ56" s="462">
        <f t="shared" si="9"/>
        <v>0</v>
      </c>
      <c r="CA56" s="462">
        <f t="shared" si="10"/>
        <v>0</v>
      </c>
      <c r="CB56" s="462">
        <f t="shared" si="11"/>
        <v>0</v>
      </c>
      <c r="CC56" s="462">
        <f>IF(AT56&lt;&gt;0,SSHICHG*Y56,0)</f>
        <v>0</v>
      </c>
      <c r="CD56" s="462">
        <f>IF(AND(AT56&lt;&gt;0,AN56&lt;&gt;"NE"),VLOOKUP(AN56,Retirement_Rates,5,FALSE)*Y56,0)</f>
        <v>0</v>
      </c>
      <c r="CE56" s="462">
        <f>IF(AND(AT56&lt;&gt;0,AJ56&lt;&gt;"PF"),LifeCHG*Y56,0)</f>
        <v>0</v>
      </c>
      <c r="CF56" s="462">
        <f>IF(AND(AT56&lt;&gt;0,AM56="Y"),UICHG*Y56,0)</f>
        <v>-358.24879999999996</v>
      </c>
      <c r="CG56" s="462">
        <f>IF(AND(AT56&lt;&gt;0,N56&lt;&gt;"NR"),DHRCHG*Y56,0)</f>
        <v>0</v>
      </c>
      <c r="CH56" s="462">
        <f>IF(AT56&lt;&gt;0,WCCHG*Y56,0)</f>
        <v>-21.933600000000009</v>
      </c>
      <c r="CI56" s="462">
        <f>IF(OR(AND(AT56&lt;&gt;0,AJ56&lt;&gt;"PF",AN56&lt;&gt;"NE",AG56&lt;&gt;"A"),AND(AL56="E",OR(AT56=1,AT56=3))),SickCHG*Y56,0)</f>
        <v>0</v>
      </c>
      <c r="CJ56" s="462">
        <f t="shared" si="12"/>
        <v>-380.18239999999997</v>
      </c>
      <c r="CK56" s="462" t="str">
        <f t="shared" si="13"/>
        <v/>
      </c>
      <c r="CL56" s="462" t="str">
        <f t="shared" si="14"/>
        <v/>
      </c>
      <c r="CM56" s="462" t="str">
        <f t="shared" si="15"/>
        <v/>
      </c>
      <c r="CN56" s="462" t="str">
        <f t="shared" si="16"/>
        <v>0450-38</v>
      </c>
    </row>
    <row r="57" spans="1:92" ht="15" thickBot="1" x14ac:dyDescent="0.35">
      <c r="A57" s="376" t="s">
        <v>161</v>
      </c>
      <c r="B57" s="376" t="s">
        <v>162</v>
      </c>
      <c r="C57" s="376" t="s">
        <v>326</v>
      </c>
      <c r="D57" s="376" t="s">
        <v>211</v>
      </c>
      <c r="E57" s="376" t="s">
        <v>314</v>
      </c>
      <c r="F57" s="382" t="s">
        <v>406</v>
      </c>
      <c r="G57" s="376" t="s">
        <v>167</v>
      </c>
      <c r="H57" s="378"/>
      <c r="I57" s="378"/>
      <c r="J57" s="376" t="s">
        <v>168</v>
      </c>
      <c r="K57" s="376" t="s">
        <v>212</v>
      </c>
      <c r="L57" s="376" t="s">
        <v>170</v>
      </c>
      <c r="M57" s="376" t="s">
        <v>171</v>
      </c>
      <c r="N57" s="376" t="s">
        <v>172</v>
      </c>
      <c r="O57" s="379">
        <v>1</v>
      </c>
      <c r="P57" s="460">
        <v>1</v>
      </c>
      <c r="Q57" s="460">
        <v>1</v>
      </c>
      <c r="R57" s="380">
        <v>80</v>
      </c>
      <c r="S57" s="460">
        <v>1</v>
      </c>
      <c r="T57" s="380">
        <v>90969.84</v>
      </c>
      <c r="U57" s="380">
        <v>0</v>
      </c>
      <c r="V57" s="380">
        <v>31180.81</v>
      </c>
      <c r="W57" s="380">
        <v>93496</v>
      </c>
      <c r="X57" s="380">
        <v>31803.040000000001</v>
      </c>
      <c r="Y57" s="380">
        <v>93496</v>
      </c>
      <c r="Z57" s="380">
        <v>31316.86</v>
      </c>
      <c r="AA57" s="376" t="s">
        <v>327</v>
      </c>
      <c r="AB57" s="376" t="s">
        <v>328</v>
      </c>
      <c r="AC57" s="376" t="s">
        <v>329</v>
      </c>
      <c r="AD57" s="376" t="s">
        <v>276</v>
      </c>
      <c r="AE57" s="376" t="s">
        <v>212</v>
      </c>
      <c r="AF57" s="376" t="s">
        <v>177</v>
      </c>
      <c r="AG57" s="376" t="s">
        <v>178</v>
      </c>
      <c r="AH57" s="381">
        <v>44.95</v>
      </c>
      <c r="AI57" s="381">
        <v>24769.8</v>
      </c>
      <c r="AJ57" s="376" t="s">
        <v>179</v>
      </c>
      <c r="AK57" s="376" t="s">
        <v>180</v>
      </c>
      <c r="AL57" s="376" t="s">
        <v>181</v>
      </c>
      <c r="AM57" s="376" t="s">
        <v>182</v>
      </c>
      <c r="AN57" s="376" t="s">
        <v>68</v>
      </c>
      <c r="AO57" s="379">
        <v>80</v>
      </c>
      <c r="AP57" s="460">
        <v>1</v>
      </c>
      <c r="AQ57" s="460">
        <v>1</v>
      </c>
      <c r="AR57" s="458" t="s">
        <v>183</v>
      </c>
      <c r="AS57" s="462">
        <f t="shared" si="0"/>
        <v>1</v>
      </c>
      <c r="AT57">
        <f t="shared" si="1"/>
        <v>1</v>
      </c>
      <c r="AU57" s="462">
        <f>IF(AT57=0,"",IF(AND(AT57=1,M57="F",SUMIF(C2:C170,C57,AS2:AS170)&lt;=1),SUMIF(C2:C170,C57,AS2:AS170),IF(AND(AT57=1,M57="F",SUMIF(C2:C170,C57,AS2:AS170)&gt;1),1,"")))</f>
        <v>1</v>
      </c>
      <c r="AV57" s="462" t="str">
        <f>IF(AT57=0,"",IF(AND(AT57=3,M57="F",SUMIF(C2:C170,C57,AS2:AS170)&lt;=1),SUMIF(C2:C170,C57,AS2:AS170),IF(AND(AT57=3,M57="F",SUMIF(C2:C170,C57,AS2:AS170)&gt;1),1,"")))</f>
        <v/>
      </c>
      <c r="AW57" s="462">
        <f>SUMIF(C2:C170,C57,O2:O170)</f>
        <v>2</v>
      </c>
      <c r="AX57" s="462">
        <f>IF(AND(M57="F",AS57&lt;&gt;0),SUMIF(C2:C170,C57,W2:W170),0)</f>
        <v>93496</v>
      </c>
      <c r="AY57" s="462">
        <f t="shared" si="2"/>
        <v>93496</v>
      </c>
      <c r="AZ57" s="462" t="str">
        <f t="shared" si="3"/>
        <v/>
      </c>
      <c r="BA57" s="462">
        <f t="shared" si="4"/>
        <v>0</v>
      </c>
      <c r="BB57" s="462">
        <f>IF(AND(AT57=1,AK57="E",AU57&gt;=0.75,AW57=1),Health,IF(AND(AT57=1,AK57="E",AU57&gt;=0.75),Health*P57,IF(AND(AT57=1,AK57="E",AU57&gt;=0.5,AW57=1),PTHealth,IF(AND(AT57=1,AK57="E",AU57&gt;=0.5),PTHealth*P57,0))))</f>
        <v>11650</v>
      </c>
      <c r="BC57" s="462">
        <f>IF(AND(AT57=3,AK57="E",AV57&gt;=0.75,AW57=1),Health,IF(AND(AT57=3,AK57="E",AV57&gt;=0.75),Health*P57,IF(AND(AT57=3,AK57="E",AV57&gt;=0.5,AW57=1),PTHealth,IF(AND(AT57=3,AK57="E",AV57&gt;=0.5),PTHealth*P57,0))))</f>
        <v>0</v>
      </c>
      <c r="BD57" s="462">
        <f>IF(AND(AT57&lt;&gt;0,AX57&gt;=MAXSSDI),SSDI*MAXSSDI*P57,IF(AT57&lt;&gt;0,SSDI*W57,0))</f>
        <v>5796.7520000000004</v>
      </c>
      <c r="BE57" s="462">
        <f>IF(AT57&lt;&gt;0,SSHI*W57,0)</f>
        <v>1355.692</v>
      </c>
      <c r="BF57" s="462">
        <f>IF(AND(AT57&lt;&gt;0,AN57&lt;&gt;"NE"),VLOOKUP(AN57,Retirement_Rates,3,FALSE)*W57,0)</f>
        <v>11163.422400000001</v>
      </c>
      <c r="BG57" s="462">
        <f>IF(AND(AT57&lt;&gt;0,AJ57&lt;&gt;"PF"),Life*W57,0)</f>
        <v>674.10616000000005</v>
      </c>
      <c r="BH57" s="462">
        <f>IF(AND(AT57&lt;&gt;0,AM57="Y"),UI*W57,0)</f>
        <v>458.13040000000001</v>
      </c>
      <c r="BI57" s="462">
        <f>IF(AND(AT57&lt;&gt;0,N57&lt;&gt;"NR"),DHR*W57,0)</f>
        <v>517.96784000000002</v>
      </c>
      <c r="BJ57" s="462">
        <f>IF(AT57&lt;&gt;0,WC*W57,0)</f>
        <v>186.99199999999999</v>
      </c>
      <c r="BK57" s="462">
        <f>IF(OR(AND(AT57&lt;&gt;0,AJ57&lt;&gt;"PF",AN57&lt;&gt;"NE",AG57&lt;&gt;"A"),AND(AL57="E",OR(AT57=1,AT57=3))),Sick*W57,0)</f>
        <v>0</v>
      </c>
      <c r="BL57" s="462">
        <f t="shared" si="5"/>
        <v>20153.062800000003</v>
      </c>
      <c r="BM57" s="462">
        <f t="shared" si="6"/>
        <v>0</v>
      </c>
      <c r="BN57" s="462">
        <f>IF(AND(AT57=1,AK57="E",AU57&gt;=0.75,AW57=1),HealthBY,IF(AND(AT57=1,AK57="E",AU57&gt;=0.75),HealthBY*P57,IF(AND(AT57=1,AK57="E",AU57&gt;=0.5,AW57=1),PTHealthBY,IF(AND(AT57=1,AK57="E",AU57&gt;=0.5),PTHealthBY*P57,0))))</f>
        <v>11650</v>
      </c>
      <c r="BO57" s="462">
        <f>IF(AND(AT57=3,AK57="E",AV57&gt;=0.75,AW57=1),HealthBY,IF(AND(AT57=3,AK57="E",AV57&gt;=0.75),HealthBY*P57,IF(AND(AT57=3,AK57="E",AV57&gt;=0.5,AW57=1),PTHealthBY,IF(AND(AT57=3,AK57="E",AV57&gt;=0.5),PTHealthBY*P57,0))))</f>
        <v>0</v>
      </c>
      <c r="BP57" s="462">
        <f>IF(AND(AT57&lt;&gt;0,(AX57+BA57)&gt;=MAXSSDIBY),SSDIBY*MAXSSDIBY*P57,IF(AT57&lt;&gt;0,SSDIBY*W57,0))</f>
        <v>5796.7520000000004</v>
      </c>
      <c r="BQ57" s="462">
        <f>IF(AT57&lt;&gt;0,SSHIBY*W57,0)</f>
        <v>1355.692</v>
      </c>
      <c r="BR57" s="462">
        <f>IF(AND(AT57&lt;&gt;0,AN57&lt;&gt;"NE"),VLOOKUP(AN57,Retirement_Rates,4,FALSE)*W57,0)</f>
        <v>11163.422400000001</v>
      </c>
      <c r="BS57" s="462">
        <f>IF(AND(AT57&lt;&gt;0,AJ57&lt;&gt;"PF"),LifeBY*W57,0)</f>
        <v>674.10616000000005</v>
      </c>
      <c r="BT57" s="462">
        <f>IF(AND(AT57&lt;&gt;0,AM57="Y"),UIBY*W57,0)</f>
        <v>0</v>
      </c>
      <c r="BU57" s="462">
        <f>IF(AND(AT57&lt;&gt;0,N57&lt;&gt;"NR"),DHRBY*W57,0)</f>
        <v>517.96784000000002</v>
      </c>
      <c r="BV57" s="462">
        <f>IF(AT57&lt;&gt;0,WCBY*W57,0)</f>
        <v>158.94319999999999</v>
      </c>
      <c r="BW57" s="462">
        <f>IF(OR(AND(AT57&lt;&gt;0,AJ57&lt;&gt;"PF",AN57&lt;&gt;"NE",AG57&lt;&gt;"A"),AND(AL57="E",OR(AT57=1,AT57=3))),SickBY*W57,0)</f>
        <v>0</v>
      </c>
      <c r="BX57" s="462">
        <f t="shared" si="7"/>
        <v>19666.883600000005</v>
      </c>
      <c r="BY57" s="462">
        <f t="shared" si="8"/>
        <v>0</v>
      </c>
      <c r="BZ57" s="462">
        <f t="shared" si="9"/>
        <v>0</v>
      </c>
      <c r="CA57" s="462">
        <f t="shared" si="10"/>
        <v>0</v>
      </c>
      <c r="CB57" s="462">
        <f t="shared" si="11"/>
        <v>0</v>
      </c>
      <c r="CC57" s="462">
        <f>IF(AT57&lt;&gt;0,SSHICHG*Y57,0)</f>
        <v>0</v>
      </c>
      <c r="CD57" s="462">
        <f>IF(AND(AT57&lt;&gt;0,AN57&lt;&gt;"NE"),VLOOKUP(AN57,Retirement_Rates,5,FALSE)*Y57,0)</f>
        <v>0</v>
      </c>
      <c r="CE57" s="462">
        <f>IF(AND(AT57&lt;&gt;0,AJ57&lt;&gt;"PF"),LifeCHG*Y57,0)</f>
        <v>0</v>
      </c>
      <c r="CF57" s="462">
        <f>IF(AND(AT57&lt;&gt;0,AM57="Y"),UICHG*Y57,0)</f>
        <v>-458.13040000000001</v>
      </c>
      <c r="CG57" s="462">
        <f>IF(AND(AT57&lt;&gt;0,N57&lt;&gt;"NR"),DHRCHG*Y57,0)</f>
        <v>0</v>
      </c>
      <c r="CH57" s="462">
        <f>IF(AT57&lt;&gt;0,WCCHG*Y57,0)</f>
        <v>-28.048800000000014</v>
      </c>
      <c r="CI57" s="462">
        <f>IF(OR(AND(AT57&lt;&gt;0,AJ57&lt;&gt;"PF",AN57&lt;&gt;"NE",AG57&lt;&gt;"A"),AND(AL57="E",OR(AT57=1,AT57=3))),SickCHG*Y57,0)</f>
        <v>0</v>
      </c>
      <c r="CJ57" s="462">
        <f t="shared" si="12"/>
        <v>-486.17920000000004</v>
      </c>
      <c r="CK57" s="462" t="str">
        <f t="shared" si="13"/>
        <v/>
      </c>
      <c r="CL57" s="462" t="str">
        <f t="shared" si="14"/>
        <v/>
      </c>
      <c r="CM57" s="462" t="str">
        <f t="shared" si="15"/>
        <v/>
      </c>
      <c r="CN57" s="462" t="str">
        <f t="shared" si="16"/>
        <v>0450-38</v>
      </c>
    </row>
    <row r="58" spans="1:92" ht="15" thickBot="1" x14ac:dyDescent="0.35">
      <c r="A58" s="376" t="s">
        <v>161</v>
      </c>
      <c r="B58" s="376" t="s">
        <v>162</v>
      </c>
      <c r="C58" s="376" t="s">
        <v>446</v>
      </c>
      <c r="D58" s="376" t="s">
        <v>313</v>
      </c>
      <c r="E58" s="376" t="s">
        <v>314</v>
      </c>
      <c r="F58" s="382" t="s">
        <v>406</v>
      </c>
      <c r="G58" s="376" t="s">
        <v>167</v>
      </c>
      <c r="H58" s="378"/>
      <c r="I58" s="378"/>
      <c r="J58" s="376" t="s">
        <v>168</v>
      </c>
      <c r="K58" s="376" t="s">
        <v>316</v>
      </c>
      <c r="L58" s="376" t="s">
        <v>216</v>
      </c>
      <c r="M58" s="376" t="s">
        <v>171</v>
      </c>
      <c r="N58" s="376" t="s">
        <v>172</v>
      </c>
      <c r="O58" s="379">
        <v>1</v>
      </c>
      <c r="P58" s="460">
        <v>1</v>
      </c>
      <c r="Q58" s="460">
        <v>1</v>
      </c>
      <c r="R58" s="380">
        <v>80</v>
      </c>
      <c r="S58" s="460">
        <v>1</v>
      </c>
      <c r="T58" s="380">
        <v>63990.93</v>
      </c>
      <c r="U58" s="380">
        <v>0</v>
      </c>
      <c r="V58" s="380">
        <v>25782.62</v>
      </c>
      <c r="W58" s="380">
        <v>64688</v>
      </c>
      <c r="X58" s="380">
        <v>25593.47</v>
      </c>
      <c r="Y58" s="380">
        <v>64688</v>
      </c>
      <c r="Z58" s="380">
        <v>25257.09</v>
      </c>
      <c r="AA58" s="376" t="s">
        <v>447</v>
      </c>
      <c r="AB58" s="376" t="s">
        <v>448</v>
      </c>
      <c r="AC58" s="376" t="s">
        <v>449</v>
      </c>
      <c r="AD58" s="376" t="s">
        <v>353</v>
      </c>
      <c r="AE58" s="376" t="s">
        <v>316</v>
      </c>
      <c r="AF58" s="376" t="s">
        <v>311</v>
      </c>
      <c r="AG58" s="376" t="s">
        <v>178</v>
      </c>
      <c r="AH58" s="381">
        <v>31.1</v>
      </c>
      <c r="AI58" s="381">
        <v>18664.099999999999</v>
      </c>
      <c r="AJ58" s="376" t="s">
        <v>179</v>
      </c>
      <c r="AK58" s="376" t="s">
        <v>180</v>
      </c>
      <c r="AL58" s="376" t="s">
        <v>181</v>
      </c>
      <c r="AM58" s="376" t="s">
        <v>182</v>
      </c>
      <c r="AN58" s="376" t="s">
        <v>68</v>
      </c>
      <c r="AO58" s="379">
        <v>80</v>
      </c>
      <c r="AP58" s="460">
        <v>1</v>
      </c>
      <c r="AQ58" s="460">
        <v>1</v>
      </c>
      <c r="AR58" s="458" t="s">
        <v>183</v>
      </c>
      <c r="AS58" s="462">
        <f t="shared" si="0"/>
        <v>1</v>
      </c>
      <c r="AT58">
        <f t="shared" si="1"/>
        <v>1</v>
      </c>
      <c r="AU58" s="462">
        <f>IF(AT58=0,"",IF(AND(AT58=1,M58="F",SUMIF(C2:C170,C58,AS2:AS170)&lt;=1),SUMIF(C2:C170,C58,AS2:AS170),IF(AND(AT58=1,M58="F",SUMIF(C2:C170,C58,AS2:AS170)&gt;1),1,"")))</f>
        <v>1</v>
      </c>
      <c r="AV58" s="462" t="str">
        <f>IF(AT58=0,"",IF(AND(AT58=3,M58="F",SUMIF(C2:C170,C58,AS2:AS170)&lt;=1),SUMIF(C2:C170,C58,AS2:AS170),IF(AND(AT58=3,M58="F",SUMIF(C2:C170,C58,AS2:AS170)&gt;1),1,"")))</f>
        <v/>
      </c>
      <c r="AW58" s="462">
        <f>SUMIF(C2:C170,C58,O2:O170)</f>
        <v>1</v>
      </c>
      <c r="AX58" s="462">
        <f>IF(AND(M58="F",AS58&lt;&gt;0),SUMIF(C2:C170,C58,W2:W170),0)</f>
        <v>64688</v>
      </c>
      <c r="AY58" s="462">
        <f t="shared" si="2"/>
        <v>64688</v>
      </c>
      <c r="AZ58" s="462" t="str">
        <f t="shared" si="3"/>
        <v/>
      </c>
      <c r="BA58" s="462">
        <f t="shared" si="4"/>
        <v>0</v>
      </c>
      <c r="BB58" s="462">
        <f>IF(AND(AT58=1,AK58="E",AU58&gt;=0.75,AW58=1),Health,IF(AND(AT58=1,AK58="E",AU58&gt;=0.75),Health*P58,IF(AND(AT58=1,AK58="E",AU58&gt;=0.5,AW58=1),PTHealth,IF(AND(AT58=1,AK58="E",AU58&gt;=0.5),PTHealth*P58,0))))</f>
        <v>11650</v>
      </c>
      <c r="BC58" s="462">
        <f>IF(AND(AT58=3,AK58="E",AV58&gt;=0.75,AW58=1),Health,IF(AND(AT58=3,AK58="E",AV58&gt;=0.75),Health*P58,IF(AND(AT58=3,AK58="E",AV58&gt;=0.5,AW58=1),PTHealth,IF(AND(AT58=3,AK58="E",AV58&gt;=0.5),PTHealth*P58,0))))</f>
        <v>0</v>
      </c>
      <c r="BD58" s="462">
        <f>IF(AND(AT58&lt;&gt;0,AX58&gt;=MAXSSDI),SSDI*MAXSSDI*P58,IF(AT58&lt;&gt;0,SSDI*W58,0))</f>
        <v>4010.6559999999999</v>
      </c>
      <c r="BE58" s="462">
        <f>IF(AT58&lt;&gt;0,SSHI*W58,0)</f>
        <v>937.976</v>
      </c>
      <c r="BF58" s="462">
        <f>IF(AND(AT58&lt;&gt;0,AN58&lt;&gt;"NE"),VLOOKUP(AN58,Retirement_Rates,3,FALSE)*W58,0)</f>
        <v>7723.7472000000007</v>
      </c>
      <c r="BG58" s="462">
        <f>IF(AND(AT58&lt;&gt;0,AJ58&lt;&gt;"PF"),Life*W58,0)</f>
        <v>466.40048000000002</v>
      </c>
      <c r="BH58" s="462">
        <f>IF(AND(AT58&lt;&gt;0,AM58="Y"),UI*W58,0)</f>
        <v>316.97120000000001</v>
      </c>
      <c r="BI58" s="462">
        <f>IF(AND(AT58&lt;&gt;0,N58&lt;&gt;"NR"),DHR*W58,0)</f>
        <v>358.37151999999998</v>
      </c>
      <c r="BJ58" s="462">
        <f>IF(AT58&lt;&gt;0,WC*W58,0)</f>
        <v>129.376</v>
      </c>
      <c r="BK58" s="462">
        <f>IF(OR(AND(AT58&lt;&gt;0,AJ58&lt;&gt;"PF",AN58&lt;&gt;"NE",AG58&lt;&gt;"A"),AND(AL58="E",OR(AT58=1,AT58=3))),Sick*W58,0)</f>
        <v>0</v>
      </c>
      <c r="BL58" s="462">
        <f t="shared" si="5"/>
        <v>13943.4984</v>
      </c>
      <c r="BM58" s="462">
        <f t="shared" si="6"/>
        <v>0</v>
      </c>
      <c r="BN58" s="462">
        <f>IF(AND(AT58=1,AK58="E",AU58&gt;=0.75,AW58=1),HealthBY,IF(AND(AT58=1,AK58="E",AU58&gt;=0.75),HealthBY*P58,IF(AND(AT58=1,AK58="E",AU58&gt;=0.5,AW58=1),PTHealthBY,IF(AND(AT58=1,AK58="E",AU58&gt;=0.5),PTHealthBY*P58,0))))</f>
        <v>11650</v>
      </c>
      <c r="BO58" s="462">
        <f>IF(AND(AT58=3,AK58="E",AV58&gt;=0.75,AW58=1),HealthBY,IF(AND(AT58=3,AK58="E",AV58&gt;=0.75),HealthBY*P58,IF(AND(AT58=3,AK58="E",AV58&gt;=0.5,AW58=1),PTHealthBY,IF(AND(AT58=3,AK58="E",AV58&gt;=0.5),PTHealthBY*P58,0))))</f>
        <v>0</v>
      </c>
      <c r="BP58" s="462">
        <f>IF(AND(AT58&lt;&gt;0,(AX58+BA58)&gt;=MAXSSDIBY),SSDIBY*MAXSSDIBY*P58,IF(AT58&lt;&gt;0,SSDIBY*W58,0))</f>
        <v>4010.6559999999999</v>
      </c>
      <c r="BQ58" s="462">
        <f>IF(AT58&lt;&gt;0,SSHIBY*W58,0)</f>
        <v>937.976</v>
      </c>
      <c r="BR58" s="462">
        <f>IF(AND(AT58&lt;&gt;0,AN58&lt;&gt;"NE"),VLOOKUP(AN58,Retirement_Rates,4,FALSE)*W58,0)</f>
        <v>7723.7472000000007</v>
      </c>
      <c r="BS58" s="462">
        <f>IF(AND(AT58&lt;&gt;0,AJ58&lt;&gt;"PF"),LifeBY*W58,0)</f>
        <v>466.40048000000002</v>
      </c>
      <c r="BT58" s="462">
        <f>IF(AND(AT58&lt;&gt;0,AM58="Y"),UIBY*W58,0)</f>
        <v>0</v>
      </c>
      <c r="BU58" s="462">
        <f>IF(AND(AT58&lt;&gt;0,N58&lt;&gt;"NR"),DHRBY*W58,0)</f>
        <v>358.37151999999998</v>
      </c>
      <c r="BV58" s="462">
        <f>IF(AT58&lt;&gt;0,WCBY*W58,0)</f>
        <v>109.9696</v>
      </c>
      <c r="BW58" s="462">
        <f>IF(OR(AND(AT58&lt;&gt;0,AJ58&lt;&gt;"PF",AN58&lt;&gt;"NE",AG58&lt;&gt;"A"),AND(AL58="E",OR(AT58=1,AT58=3))),SickBY*W58,0)</f>
        <v>0</v>
      </c>
      <c r="BX58" s="462">
        <f t="shared" si="7"/>
        <v>13607.120800000001</v>
      </c>
      <c r="BY58" s="462">
        <f t="shared" si="8"/>
        <v>0</v>
      </c>
      <c r="BZ58" s="462">
        <f t="shared" si="9"/>
        <v>0</v>
      </c>
      <c r="CA58" s="462">
        <f t="shared" si="10"/>
        <v>0</v>
      </c>
      <c r="CB58" s="462">
        <f t="shared" si="11"/>
        <v>0</v>
      </c>
      <c r="CC58" s="462">
        <f>IF(AT58&lt;&gt;0,SSHICHG*Y58,0)</f>
        <v>0</v>
      </c>
      <c r="CD58" s="462">
        <f>IF(AND(AT58&lt;&gt;0,AN58&lt;&gt;"NE"),VLOOKUP(AN58,Retirement_Rates,5,FALSE)*Y58,0)</f>
        <v>0</v>
      </c>
      <c r="CE58" s="462">
        <f>IF(AND(AT58&lt;&gt;0,AJ58&lt;&gt;"PF"),LifeCHG*Y58,0)</f>
        <v>0</v>
      </c>
      <c r="CF58" s="462">
        <f>IF(AND(AT58&lt;&gt;0,AM58="Y"),UICHG*Y58,0)</f>
        <v>-316.97120000000001</v>
      </c>
      <c r="CG58" s="462">
        <f>IF(AND(AT58&lt;&gt;0,N58&lt;&gt;"NR"),DHRCHG*Y58,0)</f>
        <v>0</v>
      </c>
      <c r="CH58" s="462">
        <f>IF(AT58&lt;&gt;0,WCCHG*Y58,0)</f>
        <v>-19.406400000000009</v>
      </c>
      <c r="CI58" s="462">
        <f>IF(OR(AND(AT58&lt;&gt;0,AJ58&lt;&gt;"PF",AN58&lt;&gt;"NE",AG58&lt;&gt;"A"),AND(AL58="E",OR(AT58=1,AT58=3))),SickCHG*Y58,0)</f>
        <v>0</v>
      </c>
      <c r="CJ58" s="462">
        <f t="shared" si="12"/>
        <v>-336.37760000000003</v>
      </c>
      <c r="CK58" s="462" t="str">
        <f t="shared" si="13"/>
        <v/>
      </c>
      <c r="CL58" s="462" t="str">
        <f t="shared" si="14"/>
        <v/>
      </c>
      <c r="CM58" s="462" t="str">
        <f t="shared" si="15"/>
        <v/>
      </c>
      <c r="CN58" s="462" t="str">
        <f t="shared" si="16"/>
        <v>0450-38</v>
      </c>
    </row>
    <row r="59" spans="1:92" ht="15" thickBot="1" x14ac:dyDescent="0.35">
      <c r="A59" s="376" t="s">
        <v>161</v>
      </c>
      <c r="B59" s="376" t="s">
        <v>162</v>
      </c>
      <c r="C59" s="376" t="s">
        <v>450</v>
      </c>
      <c r="D59" s="376" t="s">
        <v>313</v>
      </c>
      <c r="E59" s="376" t="s">
        <v>314</v>
      </c>
      <c r="F59" s="382" t="s">
        <v>406</v>
      </c>
      <c r="G59" s="376" t="s">
        <v>167</v>
      </c>
      <c r="H59" s="378"/>
      <c r="I59" s="378"/>
      <c r="J59" s="376" t="s">
        <v>168</v>
      </c>
      <c r="K59" s="376" t="s">
        <v>316</v>
      </c>
      <c r="L59" s="376" t="s">
        <v>216</v>
      </c>
      <c r="M59" s="376" t="s">
        <v>171</v>
      </c>
      <c r="N59" s="376" t="s">
        <v>172</v>
      </c>
      <c r="O59" s="379">
        <v>1</v>
      </c>
      <c r="P59" s="460">
        <v>1</v>
      </c>
      <c r="Q59" s="460">
        <v>1</v>
      </c>
      <c r="R59" s="380">
        <v>80</v>
      </c>
      <c r="S59" s="460">
        <v>1</v>
      </c>
      <c r="T59" s="380">
        <v>58875.199999999997</v>
      </c>
      <c r="U59" s="380">
        <v>0</v>
      </c>
      <c r="V59" s="380">
        <v>24018.43</v>
      </c>
      <c r="W59" s="380">
        <v>71281.600000000006</v>
      </c>
      <c r="X59" s="380">
        <v>27014.720000000001</v>
      </c>
      <c r="Y59" s="380">
        <v>71281.600000000006</v>
      </c>
      <c r="Z59" s="380">
        <v>26644.06</v>
      </c>
      <c r="AA59" s="376" t="s">
        <v>451</v>
      </c>
      <c r="AB59" s="376" t="s">
        <v>452</v>
      </c>
      <c r="AC59" s="376" t="s">
        <v>453</v>
      </c>
      <c r="AD59" s="376" t="s">
        <v>440</v>
      </c>
      <c r="AE59" s="376" t="s">
        <v>316</v>
      </c>
      <c r="AF59" s="376" t="s">
        <v>311</v>
      </c>
      <c r="AG59" s="376" t="s">
        <v>178</v>
      </c>
      <c r="AH59" s="381">
        <v>34.270000000000003</v>
      </c>
      <c r="AI59" s="381">
        <v>18018.2</v>
      </c>
      <c r="AJ59" s="376" t="s">
        <v>179</v>
      </c>
      <c r="AK59" s="376" t="s">
        <v>180</v>
      </c>
      <c r="AL59" s="376" t="s">
        <v>181</v>
      </c>
      <c r="AM59" s="376" t="s">
        <v>182</v>
      </c>
      <c r="AN59" s="376" t="s">
        <v>68</v>
      </c>
      <c r="AO59" s="379">
        <v>80</v>
      </c>
      <c r="AP59" s="460">
        <v>1</v>
      </c>
      <c r="AQ59" s="460">
        <v>1</v>
      </c>
      <c r="AR59" s="458" t="s">
        <v>183</v>
      </c>
      <c r="AS59" s="462">
        <f t="shared" si="0"/>
        <v>1</v>
      </c>
      <c r="AT59">
        <f t="shared" si="1"/>
        <v>1</v>
      </c>
      <c r="AU59" s="462">
        <f>IF(AT59=0,"",IF(AND(AT59=1,M59="F",SUMIF(C2:C170,C59,AS2:AS170)&lt;=1),SUMIF(C2:C170,C59,AS2:AS170),IF(AND(AT59=1,M59="F",SUMIF(C2:C170,C59,AS2:AS170)&gt;1),1,"")))</f>
        <v>1</v>
      </c>
      <c r="AV59" s="462" t="str">
        <f>IF(AT59=0,"",IF(AND(AT59=3,M59="F",SUMIF(C2:C170,C59,AS2:AS170)&lt;=1),SUMIF(C2:C170,C59,AS2:AS170),IF(AND(AT59=3,M59="F",SUMIF(C2:C170,C59,AS2:AS170)&gt;1),1,"")))</f>
        <v/>
      </c>
      <c r="AW59" s="462">
        <f>SUMIF(C2:C170,C59,O2:O170)</f>
        <v>1</v>
      </c>
      <c r="AX59" s="462">
        <f>IF(AND(M59="F",AS59&lt;&gt;0),SUMIF(C2:C170,C59,W2:W170),0)</f>
        <v>71281.600000000006</v>
      </c>
      <c r="AY59" s="462">
        <f t="shared" si="2"/>
        <v>71281.600000000006</v>
      </c>
      <c r="AZ59" s="462" t="str">
        <f t="shared" si="3"/>
        <v/>
      </c>
      <c r="BA59" s="462">
        <f t="shared" si="4"/>
        <v>0</v>
      </c>
      <c r="BB59" s="462">
        <f>IF(AND(AT59=1,AK59="E",AU59&gt;=0.75,AW59=1),Health,IF(AND(AT59=1,AK59="E",AU59&gt;=0.75),Health*P59,IF(AND(AT59=1,AK59="E",AU59&gt;=0.5,AW59=1),PTHealth,IF(AND(AT59=1,AK59="E",AU59&gt;=0.5),PTHealth*P59,0))))</f>
        <v>11650</v>
      </c>
      <c r="BC59" s="462">
        <f>IF(AND(AT59=3,AK59="E",AV59&gt;=0.75,AW59=1),Health,IF(AND(AT59=3,AK59="E",AV59&gt;=0.75),Health*P59,IF(AND(AT59=3,AK59="E",AV59&gt;=0.5,AW59=1),PTHealth,IF(AND(AT59=3,AK59="E",AV59&gt;=0.5),PTHealth*P59,0))))</f>
        <v>0</v>
      </c>
      <c r="BD59" s="462">
        <f>IF(AND(AT59&lt;&gt;0,AX59&gt;=MAXSSDI),SSDI*MAXSSDI*P59,IF(AT59&lt;&gt;0,SSDI*W59,0))</f>
        <v>4419.4592000000002</v>
      </c>
      <c r="BE59" s="462">
        <f>IF(AT59&lt;&gt;0,SSHI*W59,0)</f>
        <v>1033.5832</v>
      </c>
      <c r="BF59" s="462">
        <f>IF(AND(AT59&lt;&gt;0,AN59&lt;&gt;"NE"),VLOOKUP(AN59,Retirement_Rates,3,FALSE)*W59,0)</f>
        <v>8511.0230400000019</v>
      </c>
      <c r="BG59" s="462">
        <f>IF(AND(AT59&lt;&gt;0,AJ59&lt;&gt;"PF"),Life*W59,0)</f>
        <v>513.94033600000012</v>
      </c>
      <c r="BH59" s="462">
        <f>IF(AND(AT59&lt;&gt;0,AM59="Y"),UI*W59,0)</f>
        <v>349.27984000000004</v>
      </c>
      <c r="BI59" s="462">
        <f>IF(AND(AT59&lt;&gt;0,N59&lt;&gt;"NR"),DHR*W59,0)</f>
        <v>394.90006400000004</v>
      </c>
      <c r="BJ59" s="462">
        <f>IF(AT59&lt;&gt;0,WC*W59,0)</f>
        <v>142.56320000000002</v>
      </c>
      <c r="BK59" s="462">
        <f>IF(OR(AND(AT59&lt;&gt;0,AJ59&lt;&gt;"PF",AN59&lt;&gt;"NE",AG59&lt;&gt;"A"),AND(AL59="E",OR(AT59=1,AT59=3))),Sick*W59,0)</f>
        <v>0</v>
      </c>
      <c r="BL59" s="462">
        <f t="shared" si="5"/>
        <v>15364.748880000001</v>
      </c>
      <c r="BM59" s="462">
        <f t="shared" si="6"/>
        <v>0</v>
      </c>
      <c r="BN59" s="462">
        <f>IF(AND(AT59=1,AK59="E",AU59&gt;=0.75,AW59=1),HealthBY,IF(AND(AT59=1,AK59="E",AU59&gt;=0.75),HealthBY*P59,IF(AND(AT59=1,AK59="E",AU59&gt;=0.5,AW59=1),PTHealthBY,IF(AND(AT59=1,AK59="E",AU59&gt;=0.5),PTHealthBY*P59,0))))</f>
        <v>11650</v>
      </c>
      <c r="BO59" s="462">
        <f>IF(AND(AT59=3,AK59="E",AV59&gt;=0.75,AW59=1),HealthBY,IF(AND(AT59=3,AK59="E",AV59&gt;=0.75),HealthBY*P59,IF(AND(AT59=3,AK59="E",AV59&gt;=0.5,AW59=1),PTHealthBY,IF(AND(AT59=3,AK59="E",AV59&gt;=0.5),PTHealthBY*P59,0))))</f>
        <v>0</v>
      </c>
      <c r="BP59" s="462">
        <f>IF(AND(AT59&lt;&gt;0,(AX59+BA59)&gt;=MAXSSDIBY),SSDIBY*MAXSSDIBY*P59,IF(AT59&lt;&gt;0,SSDIBY*W59,0))</f>
        <v>4419.4592000000002</v>
      </c>
      <c r="BQ59" s="462">
        <f>IF(AT59&lt;&gt;0,SSHIBY*W59,0)</f>
        <v>1033.5832</v>
      </c>
      <c r="BR59" s="462">
        <f>IF(AND(AT59&lt;&gt;0,AN59&lt;&gt;"NE"),VLOOKUP(AN59,Retirement_Rates,4,FALSE)*W59,0)</f>
        <v>8511.0230400000019</v>
      </c>
      <c r="BS59" s="462">
        <f>IF(AND(AT59&lt;&gt;0,AJ59&lt;&gt;"PF"),LifeBY*W59,0)</f>
        <v>513.94033600000012</v>
      </c>
      <c r="BT59" s="462">
        <f>IF(AND(AT59&lt;&gt;0,AM59="Y"),UIBY*W59,0)</f>
        <v>0</v>
      </c>
      <c r="BU59" s="462">
        <f>IF(AND(AT59&lt;&gt;0,N59&lt;&gt;"NR"),DHRBY*W59,0)</f>
        <v>394.90006400000004</v>
      </c>
      <c r="BV59" s="462">
        <f>IF(AT59&lt;&gt;0,WCBY*W59,0)</f>
        <v>121.17872</v>
      </c>
      <c r="BW59" s="462">
        <f>IF(OR(AND(AT59&lt;&gt;0,AJ59&lt;&gt;"PF",AN59&lt;&gt;"NE",AG59&lt;&gt;"A"),AND(AL59="E",OR(AT59=1,AT59=3))),SickBY*W59,0)</f>
        <v>0</v>
      </c>
      <c r="BX59" s="462">
        <f t="shared" si="7"/>
        <v>14994.084560000001</v>
      </c>
      <c r="BY59" s="462">
        <f t="shared" si="8"/>
        <v>0</v>
      </c>
      <c r="BZ59" s="462">
        <f t="shared" si="9"/>
        <v>0</v>
      </c>
      <c r="CA59" s="462">
        <f t="shared" si="10"/>
        <v>0</v>
      </c>
      <c r="CB59" s="462">
        <f t="shared" si="11"/>
        <v>0</v>
      </c>
      <c r="CC59" s="462">
        <f>IF(AT59&lt;&gt;0,SSHICHG*Y59,0)</f>
        <v>0</v>
      </c>
      <c r="CD59" s="462">
        <f>IF(AND(AT59&lt;&gt;0,AN59&lt;&gt;"NE"),VLOOKUP(AN59,Retirement_Rates,5,FALSE)*Y59,0)</f>
        <v>0</v>
      </c>
      <c r="CE59" s="462">
        <f>IF(AND(AT59&lt;&gt;0,AJ59&lt;&gt;"PF"),LifeCHG*Y59,0)</f>
        <v>0</v>
      </c>
      <c r="CF59" s="462">
        <f>IF(AND(AT59&lt;&gt;0,AM59="Y"),UICHG*Y59,0)</f>
        <v>-349.27984000000004</v>
      </c>
      <c r="CG59" s="462">
        <f>IF(AND(AT59&lt;&gt;0,N59&lt;&gt;"NR"),DHRCHG*Y59,0)</f>
        <v>0</v>
      </c>
      <c r="CH59" s="462">
        <f>IF(AT59&lt;&gt;0,WCCHG*Y59,0)</f>
        <v>-21.384480000000011</v>
      </c>
      <c r="CI59" s="462">
        <f>IF(OR(AND(AT59&lt;&gt;0,AJ59&lt;&gt;"PF",AN59&lt;&gt;"NE",AG59&lt;&gt;"A"),AND(AL59="E",OR(AT59=1,AT59=3))),SickCHG*Y59,0)</f>
        <v>0</v>
      </c>
      <c r="CJ59" s="462">
        <f t="shared" si="12"/>
        <v>-370.66432000000003</v>
      </c>
      <c r="CK59" s="462" t="str">
        <f t="shared" si="13"/>
        <v/>
      </c>
      <c r="CL59" s="462" t="str">
        <f t="shared" si="14"/>
        <v/>
      </c>
      <c r="CM59" s="462" t="str">
        <f t="shared" si="15"/>
        <v/>
      </c>
      <c r="CN59" s="462" t="str">
        <f t="shared" si="16"/>
        <v>0450-38</v>
      </c>
    </row>
    <row r="60" spans="1:92" ht="15" thickBot="1" x14ac:dyDescent="0.35">
      <c r="A60" s="376" t="s">
        <v>161</v>
      </c>
      <c r="B60" s="376" t="s">
        <v>162</v>
      </c>
      <c r="C60" s="376" t="s">
        <v>454</v>
      </c>
      <c r="D60" s="376" t="s">
        <v>455</v>
      </c>
      <c r="E60" s="376" t="s">
        <v>314</v>
      </c>
      <c r="F60" s="382" t="s">
        <v>406</v>
      </c>
      <c r="G60" s="376" t="s">
        <v>167</v>
      </c>
      <c r="H60" s="378"/>
      <c r="I60" s="378"/>
      <c r="J60" s="376" t="s">
        <v>168</v>
      </c>
      <c r="K60" s="376" t="s">
        <v>456</v>
      </c>
      <c r="L60" s="376" t="s">
        <v>457</v>
      </c>
      <c r="M60" s="376" t="s">
        <v>171</v>
      </c>
      <c r="N60" s="376" t="s">
        <v>172</v>
      </c>
      <c r="O60" s="379">
        <v>1</v>
      </c>
      <c r="P60" s="460">
        <v>1</v>
      </c>
      <c r="Q60" s="460">
        <v>1</v>
      </c>
      <c r="R60" s="380">
        <v>80</v>
      </c>
      <c r="S60" s="460">
        <v>1</v>
      </c>
      <c r="T60" s="380">
        <v>109024</v>
      </c>
      <c r="U60" s="380">
        <v>0</v>
      </c>
      <c r="V60" s="380">
        <v>34342</v>
      </c>
      <c r="W60" s="380">
        <v>111072</v>
      </c>
      <c r="X60" s="380">
        <v>35591.53</v>
      </c>
      <c r="Y60" s="380">
        <v>111072</v>
      </c>
      <c r="Z60" s="380">
        <v>35013.96</v>
      </c>
      <c r="AA60" s="376" t="s">
        <v>458</v>
      </c>
      <c r="AB60" s="376" t="s">
        <v>459</v>
      </c>
      <c r="AC60" s="376" t="s">
        <v>460</v>
      </c>
      <c r="AD60" s="376" t="s">
        <v>194</v>
      </c>
      <c r="AE60" s="376" t="s">
        <v>456</v>
      </c>
      <c r="AF60" s="376" t="s">
        <v>461</v>
      </c>
      <c r="AG60" s="376" t="s">
        <v>178</v>
      </c>
      <c r="AH60" s="381">
        <v>53.4</v>
      </c>
      <c r="AI60" s="379">
        <v>30097</v>
      </c>
      <c r="AJ60" s="376" t="s">
        <v>179</v>
      </c>
      <c r="AK60" s="376" t="s">
        <v>180</v>
      </c>
      <c r="AL60" s="376" t="s">
        <v>181</v>
      </c>
      <c r="AM60" s="376" t="s">
        <v>182</v>
      </c>
      <c r="AN60" s="376" t="s">
        <v>68</v>
      </c>
      <c r="AO60" s="379">
        <v>80</v>
      </c>
      <c r="AP60" s="460">
        <v>1</v>
      </c>
      <c r="AQ60" s="460">
        <v>1</v>
      </c>
      <c r="AR60" s="458" t="s">
        <v>183</v>
      </c>
      <c r="AS60" s="462">
        <f t="shared" si="0"/>
        <v>1</v>
      </c>
      <c r="AT60">
        <f t="shared" si="1"/>
        <v>1</v>
      </c>
      <c r="AU60" s="462">
        <f>IF(AT60=0,"",IF(AND(AT60=1,M60="F",SUMIF(C2:C170,C60,AS2:AS170)&lt;=1),SUMIF(C2:C170,C60,AS2:AS170),IF(AND(AT60=1,M60="F",SUMIF(C2:C170,C60,AS2:AS170)&gt;1),1,"")))</f>
        <v>1</v>
      </c>
      <c r="AV60" s="462" t="str">
        <f>IF(AT60=0,"",IF(AND(AT60=3,M60="F",SUMIF(C2:C170,C60,AS2:AS170)&lt;=1),SUMIF(C2:C170,C60,AS2:AS170),IF(AND(AT60=3,M60="F",SUMIF(C2:C170,C60,AS2:AS170)&gt;1),1,"")))</f>
        <v/>
      </c>
      <c r="AW60" s="462">
        <f>SUMIF(C2:C170,C60,O2:O170)</f>
        <v>1</v>
      </c>
      <c r="AX60" s="462">
        <f>IF(AND(M60="F",AS60&lt;&gt;0),SUMIF(C2:C170,C60,W2:W170),0)</f>
        <v>111072</v>
      </c>
      <c r="AY60" s="462">
        <f t="shared" si="2"/>
        <v>111072</v>
      </c>
      <c r="AZ60" s="462" t="str">
        <f t="shared" si="3"/>
        <v/>
      </c>
      <c r="BA60" s="462">
        <f t="shared" si="4"/>
        <v>0</v>
      </c>
      <c r="BB60" s="462">
        <f>IF(AND(AT60=1,AK60="E",AU60&gt;=0.75,AW60=1),Health,IF(AND(AT60=1,AK60="E",AU60&gt;=0.75),Health*P60,IF(AND(AT60=1,AK60="E",AU60&gt;=0.5,AW60=1),PTHealth,IF(AND(AT60=1,AK60="E",AU60&gt;=0.5),PTHealth*P60,0))))</f>
        <v>11650</v>
      </c>
      <c r="BC60" s="462">
        <f>IF(AND(AT60=3,AK60="E",AV60&gt;=0.75,AW60=1),Health,IF(AND(AT60=3,AK60="E",AV60&gt;=0.75),Health*P60,IF(AND(AT60=3,AK60="E",AV60&gt;=0.5,AW60=1),PTHealth,IF(AND(AT60=3,AK60="E",AV60&gt;=0.5),PTHealth*P60,0))))</f>
        <v>0</v>
      </c>
      <c r="BD60" s="462">
        <f>IF(AND(AT60&lt;&gt;0,AX60&gt;=MAXSSDI),SSDI*MAXSSDI*P60,IF(AT60&lt;&gt;0,SSDI*W60,0))</f>
        <v>6886.4639999999999</v>
      </c>
      <c r="BE60" s="462">
        <f>IF(AT60&lt;&gt;0,SSHI*W60,0)</f>
        <v>1610.5440000000001</v>
      </c>
      <c r="BF60" s="462">
        <f>IF(AND(AT60&lt;&gt;0,AN60&lt;&gt;"NE"),VLOOKUP(AN60,Retirement_Rates,3,FALSE)*W60,0)</f>
        <v>13261.996800000001</v>
      </c>
      <c r="BG60" s="462">
        <f>IF(AND(AT60&lt;&gt;0,AJ60&lt;&gt;"PF"),Life*W60,0)</f>
        <v>800.82911999999999</v>
      </c>
      <c r="BH60" s="462">
        <f>IF(AND(AT60&lt;&gt;0,AM60="Y"),UI*W60,0)</f>
        <v>544.25279999999998</v>
      </c>
      <c r="BI60" s="462">
        <f>IF(AND(AT60&lt;&gt;0,N60&lt;&gt;"NR"),DHR*W60,0)</f>
        <v>615.33888000000002</v>
      </c>
      <c r="BJ60" s="462">
        <f>IF(AT60&lt;&gt;0,WC*W60,0)</f>
        <v>222.14400000000001</v>
      </c>
      <c r="BK60" s="462">
        <f>IF(OR(AND(AT60&lt;&gt;0,AJ60&lt;&gt;"PF",AN60&lt;&gt;"NE",AG60&lt;&gt;"A"),AND(AL60="E",OR(AT60=1,AT60=3))),Sick*W60,0)</f>
        <v>0</v>
      </c>
      <c r="BL60" s="462">
        <f t="shared" si="5"/>
        <v>23941.569599999999</v>
      </c>
      <c r="BM60" s="462">
        <f t="shared" si="6"/>
        <v>0</v>
      </c>
      <c r="BN60" s="462">
        <f>IF(AND(AT60=1,AK60="E",AU60&gt;=0.75,AW60=1),HealthBY,IF(AND(AT60=1,AK60="E",AU60&gt;=0.75),HealthBY*P60,IF(AND(AT60=1,AK60="E",AU60&gt;=0.5,AW60=1),PTHealthBY,IF(AND(AT60=1,AK60="E",AU60&gt;=0.5),PTHealthBY*P60,0))))</f>
        <v>11650</v>
      </c>
      <c r="BO60" s="462">
        <f>IF(AND(AT60=3,AK60="E",AV60&gt;=0.75,AW60=1),HealthBY,IF(AND(AT60=3,AK60="E",AV60&gt;=0.75),HealthBY*P60,IF(AND(AT60=3,AK60="E",AV60&gt;=0.5,AW60=1),PTHealthBY,IF(AND(AT60=3,AK60="E",AV60&gt;=0.5),PTHealthBY*P60,0))))</f>
        <v>0</v>
      </c>
      <c r="BP60" s="462">
        <f>IF(AND(AT60&lt;&gt;0,(AX60+BA60)&gt;=MAXSSDIBY),SSDIBY*MAXSSDIBY*P60,IF(AT60&lt;&gt;0,SSDIBY*W60,0))</f>
        <v>6886.4639999999999</v>
      </c>
      <c r="BQ60" s="462">
        <f>IF(AT60&lt;&gt;0,SSHIBY*W60,0)</f>
        <v>1610.5440000000001</v>
      </c>
      <c r="BR60" s="462">
        <f>IF(AND(AT60&lt;&gt;0,AN60&lt;&gt;"NE"),VLOOKUP(AN60,Retirement_Rates,4,FALSE)*W60,0)</f>
        <v>13261.996800000001</v>
      </c>
      <c r="BS60" s="462">
        <f>IF(AND(AT60&lt;&gt;0,AJ60&lt;&gt;"PF"),LifeBY*W60,0)</f>
        <v>800.82911999999999</v>
      </c>
      <c r="BT60" s="462">
        <f>IF(AND(AT60&lt;&gt;0,AM60="Y"),UIBY*W60,0)</f>
        <v>0</v>
      </c>
      <c r="BU60" s="462">
        <f>IF(AND(AT60&lt;&gt;0,N60&lt;&gt;"NR"),DHRBY*W60,0)</f>
        <v>615.33888000000002</v>
      </c>
      <c r="BV60" s="462">
        <f>IF(AT60&lt;&gt;0,WCBY*W60,0)</f>
        <v>188.82239999999999</v>
      </c>
      <c r="BW60" s="462">
        <f>IF(OR(AND(AT60&lt;&gt;0,AJ60&lt;&gt;"PF",AN60&lt;&gt;"NE",AG60&lt;&gt;"A"),AND(AL60="E",OR(AT60=1,AT60=3))),SickBY*W60,0)</f>
        <v>0</v>
      </c>
      <c r="BX60" s="462">
        <f t="shared" si="7"/>
        <v>23363.995200000001</v>
      </c>
      <c r="BY60" s="462">
        <f t="shared" si="8"/>
        <v>0</v>
      </c>
      <c r="BZ60" s="462">
        <f t="shared" si="9"/>
        <v>0</v>
      </c>
      <c r="CA60" s="462">
        <f t="shared" si="10"/>
        <v>0</v>
      </c>
      <c r="CB60" s="462">
        <f t="shared" si="11"/>
        <v>0</v>
      </c>
      <c r="CC60" s="462">
        <f>IF(AT60&lt;&gt;0,SSHICHG*Y60,0)</f>
        <v>0</v>
      </c>
      <c r="CD60" s="462">
        <f>IF(AND(AT60&lt;&gt;0,AN60&lt;&gt;"NE"),VLOOKUP(AN60,Retirement_Rates,5,FALSE)*Y60,0)</f>
        <v>0</v>
      </c>
      <c r="CE60" s="462">
        <f>IF(AND(AT60&lt;&gt;0,AJ60&lt;&gt;"PF"),LifeCHG*Y60,0)</f>
        <v>0</v>
      </c>
      <c r="CF60" s="462">
        <f>IF(AND(AT60&lt;&gt;0,AM60="Y"),UICHG*Y60,0)</f>
        <v>-544.25279999999998</v>
      </c>
      <c r="CG60" s="462">
        <f>IF(AND(AT60&lt;&gt;0,N60&lt;&gt;"NR"),DHRCHG*Y60,0)</f>
        <v>0</v>
      </c>
      <c r="CH60" s="462">
        <f>IF(AT60&lt;&gt;0,WCCHG*Y60,0)</f>
        <v>-33.321600000000018</v>
      </c>
      <c r="CI60" s="462">
        <f>IF(OR(AND(AT60&lt;&gt;0,AJ60&lt;&gt;"PF",AN60&lt;&gt;"NE",AG60&lt;&gt;"A"),AND(AL60="E",OR(AT60=1,AT60=3))),SickCHG*Y60,0)</f>
        <v>0</v>
      </c>
      <c r="CJ60" s="462">
        <f t="shared" si="12"/>
        <v>-577.57439999999997</v>
      </c>
      <c r="CK60" s="462" t="str">
        <f t="shared" si="13"/>
        <v/>
      </c>
      <c r="CL60" s="462" t="str">
        <f t="shared" si="14"/>
        <v/>
      </c>
      <c r="CM60" s="462" t="str">
        <f t="shared" si="15"/>
        <v/>
      </c>
      <c r="CN60" s="462" t="str">
        <f t="shared" si="16"/>
        <v>0450-38</v>
      </c>
    </row>
    <row r="61" spans="1:92" ht="15" thickBot="1" x14ac:dyDescent="0.35">
      <c r="A61" s="376" t="s">
        <v>161</v>
      </c>
      <c r="B61" s="376" t="s">
        <v>162</v>
      </c>
      <c r="C61" s="376" t="s">
        <v>462</v>
      </c>
      <c r="D61" s="376" t="s">
        <v>463</v>
      </c>
      <c r="E61" s="376" t="s">
        <v>314</v>
      </c>
      <c r="F61" s="382" t="s">
        <v>406</v>
      </c>
      <c r="G61" s="376" t="s">
        <v>167</v>
      </c>
      <c r="H61" s="378"/>
      <c r="I61" s="378"/>
      <c r="J61" s="376" t="s">
        <v>168</v>
      </c>
      <c r="K61" s="376" t="s">
        <v>464</v>
      </c>
      <c r="L61" s="376" t="s">
        <v>181</v>
      </c>
      <c r="M61" s="376" t="s">
        <v>171</v>
      </c>
      <c r="N61" s="376" t="s">
        <v>172</v>
      </c>
      <c r="O61" s="379">
        <v>1</v>
      </c>
      <c r="P61" s="460">
        <v>1</v>
      </c>
      <c r="Q61" s="460">
        <v>1</v>
      </c>
      <c r="R61" s="380">
        <v>80</v>
      </c>
      <c r="S61" s="460">
        <v>1</v>
      </c>
      <c r="T61" s="380">
        <v>60462.400000000001</v>
      </c>
      <c r="U61" s="380">
        <v>0</v>
      </c>
      <c r="V61" s="380">
        <v>20816.98</v>
      </c>
      <c r="W61" s="380">
        <v>81265.600000000006</v>
      </c>
      <c r="X61" s="380">
        <v>29166.78</v>
      </c>
      <c r="Y61" s="380">
        <v>81265.600000000006</v>
      </c>
      <c r="Z61" s="380">
        <v>28744.2</v>
      </c>
      <c r="AA61" s="376" t="s">
        <v>465</v>
      </c>
      <c r="AB61" s="376" t="s">
        <v>466</v>
      </c>
      <c r="AC61" s="376" t="s">
        <v>467</v>
      </c>
      <c r="AD61" s="376" t="s">
        <v>468</v>
      </c>
      <c r="AE61" s="376" t="s">
        <v>464</v>
      </c>
      <c r="AF61" s="376" t="s">
        <v>349</v>
      </c>
      <c r="AG61" s="376" t="s">
        <v>178</v>
      </c>
      <c r="AH61" s="381">
        <v>39.07</v>
      </c>
      <c r="AI61" s="381">
        <v>18357.599999999999</v>
      </c>
      <c r="AJ61" s="376" t="s">
        <v>179</v>
      </c>
      <c r="AK61" s="376" t="s">
        <v>180</v>
      </c>
      <c r="AL61" s="376" t="s">
        <v>181</v>
      </c>
      <c r="AM61" s="376" t="s">
        <v>182</v>
      </c>
      <c r="AN61" s="376" t="s">
        <v>68</v>
      </c>
      <c r="AO61" s="379">
        <v>80</v>
      </c>
      <c r="AP61" s="460">
        <v>1</v>
      </c>
      <c r="AQ61" s="460">
        <v>1</v>
      </c>
      <c r="AR61" s="458" t="s">
        <v>183</v>
      </c>
      <c r="AS61" s="462">
        <f t="shared" si="0"/>
        <v>1</v>
      </c>
      <c r="AT61">
        <f t="shared" si="1"/>
        <v>1</v>
      </c>
      <c r="AU61" s="462">
        <f>IF(AT61=0,"",IF(AND(AT61=1,M61="F",SUMIF(C2:C170,C61,AS2:AS170)&lt;=1),SUMIF(C2:C170,C61,AS2:AS170),IF(AND(AT61=1,M61="F",SUMIF(C2:C170,C61,AS2:AS170)&gt;1),1,"")))</f>
        <v>1</v>
      </c>
      <c r="AV61" s="462" t="str">
        <f>IF(AT61=0,"",IF(AND(AT61=3,M61="F",SUMIF(C2:C170,C61,AS2:AS170)&lt;=1),SUMIF(C2:C170,C61,AS2:AS170),IF(AND(AT61=3,M61="F",SUMIF(C2:C170,C61,AS2:AS170)&gt;1),1,"")))</f>
        <v/>
      </c>
      <c r="AW61" s="462">
        <f>SUMIF(C2:C170,C61,O2:O170)</f>
        <v>1</v>
      </c>
      <c r="AX61" s="462">
        <f>IF(AND(M61="F",AS61&lt;&gt;0),SUMIF(C2:C170,C61,W2:W170),0)</f>
        <v>81265.600000000006</v>
      </c>
      <c r="AY61" s="462">
        <f t="shared" si="2"/>
        <v>81265.600000000006</v>
      </c>
      <c r="AZ61" s="462" t="str">
        <f t="shared" si="3"/>
        <v/>
      </c>
      <c r="BA61" s="462">
        <f t="shared" si="4"/>
        <v>0</v>
      </c>
      <c r="BB61" s="462">
        <f>IF(AND(AT61=1,AK61="E",AU61&gt;=0.75,AW61=1),Health,IF(AND(AT61=1,AK61="E",AU61&gt;=0.75),Health*P61,IF(AND(AT61=1,AK61="E",AU61&gt;=0.5,AW61=1),PTHealth,IF(AND(AT61=1,AK61="E",AU61&gt;=0.5),PTHealth*P61,0))))</f>
        <v>11650</v>
      </c>
      <c r="BC61" s="462">
        <f>IF(AND(AT61=3,AK61="E",AV61&gt;=0.75,AW61=1),Health,IF(AND(AT61=3,AK61="E",AV61&gt;=0.75),Health*P61,IF(AND(AT61=3,AK61="E",AV61&gt;=0.5,AW61=1),PTHealth,IF(AND(AT61=3,AK61="E",AV61&gt;=0.5),PTHealth*P61,0))))</f>
        <v>0</v>
      </c>
      <c r="BD61" s="462">
        <f>IF(AND(AT61&lt;&gt;0,AX61&gt;=MAXSSDI),SSDI*MAXSSDI*P61,IF(AT61&lt;&gt;0,SSDI*W61,0))</f>
        <v>5038.4672</v>
      </c>
      <c r="BE61" s="462">
        <f>IF(AT61&lt;&gt;0,SSHI*W61,0)</f>
        <v>1178.3512000000001</v>
      </c>
      <c r="BF61" s="462">
        <f>IF(AND(AT61&lt;&gt;0,AN61&lt;&gt;"NE"),VLOOKUP(AN61,Retirement_Rates,3,FALSE)*W61,0)</f>
        <v>9703.1126400000012</v>
      </c>
      <c r="BG61" s="462">
        <f>IF(AND(AT61&lt;&gt;0,AJ61&lt;&gt;"PF"),Life*W61,0)</f>
        <v>585.92497600000002</v>
      </c>
      <c r="BH61" s="462">
        <f>IF(AND(AT61&lt;&gt;0,AM61="Y"),UI*W61,0)</f>
        <v>398.20143999999999</v>
      </c>
      <c r="BI61" s="462">
        <f>IF(AND(AT61&lt;&gt;0,N61&lt;&gt;"NR"),DHR*W61,0)</f>
        <v>450.21142400000002</v>
      </c>
      <c r="BJ61" s="462">
        <f>IF(AT61&lt;&gt;0,WC*W61,0)</f>
        <v>162.53120000000001</v>
      </c>
      <c r="BK61" s="462">
        <f>IF(OR(AND(AT61&lt;&gt;0,AJ61&lt;&gt;"PF",AN61&lt;&gt;"NE",AG61&lt;&gt;"A"),AND(AL61="E",OR(AT61=1,AT61=3))),Sick*W61,0)</f>
        <v>0</v>
      </c>
      <c r="BL61" s="462">
        <f t="shared" si="5"/>
        <v>17516.800080000005</v>
      </c>
      <c r="BM61" s="462">
        <f t="shared" si="6"/>
        <v>0</v>
      </c>
      <c r="BN61" s="462">
        <f>IF(AND(AT61=1,AK61="E",AU61&gt;=0.75,AW61=1),HealthBY,IF(AND(AT61=1,AK61="E",AU61&gt;=0.75),HealthBY*P61,IF(AND(AT61=1,AK61="E",AU61&gt;=0.5,AW61=1),PTHealthBY,IF(AND(AT61=1,AK61="E",AU61&gt;=0.5),PTHealthBY*P61,0))))</f>
        <v>11650</v>
      </c>
      <c r="BO61" s="462">
        <f>IF(AND(AT61=3,AK61="E",AV61&gt;=0.75,AW61=1),HealthBY,IF(AND(AT61=3,AK61="E",AV61&gt;=0.75),HealthBY*P61,IF(AND(AT61=3,AK61="E",AV61&gt;=0.5,AW61=1),PTHealthBY,IF(AND(AT61=3,AK61="E",AV61&gt;=0.5),PTHealthBY*P61,0))))</f>
        <v>0</v>
      </c>
      <c r="BP61" s="462">
        <f>IF(AND(AT61&lt;&gt;0,(AX61+BA61)&gt;=MAXSSDIBY),SSDIBY*MAXSSDIBY*P61,IF(AT61&lt;&gt;0,SSDIBY*W61,0))</f>
        <v>5038.4672</v>
      </c>
      <c r="BQ61" s="462">
        <f>IF(AT61&lt;&gt;0,SSHIBY*W61,0)</f>
        <v>1178.3512000000001</v>
      </c>
      <c r="BR61" s="462">
        <f>IF(AND(AT61&lt;&gt;0,AN61&lt;&gt;"NE"),VLOOKUP(AN61,Retirement_Rates,4,FALSE)*W61,0)</f>
        <v>9703.1126400000012</v>
      </c>
      <c r="BS61" s="462">
        <f>IF(AND(AT61&lt;&gt;0,AJ61&lt;&gt;"PF"),LifeBY*W61,0)</f>
        <v>585.92497600000002</v>
      </c>
      <c r="BT61" s="462">
        <f>IF(AND(AT61&lt;&gt;0,AM61="Y"),UIBY*W61,0)</f>
        <v>0</v>
      </c>
      <c r="BU61" s="462">
        <f>IF(AND(AT61&lt;&gt;0,N61&lt;&gt;"NR"),DHRBY*W61,0)</f>
        <v>450.21142400000002</v>
      </c>
      <c r="BV61" s="462">
        <f>IF(AT61&lt;&gt;0,WCBY*W61,0)</f>
        <v>138.15152</v>
      </c>
      <c r="BW61" s="462">
        <f>IF(OR(AND(AT61&lt;&gt;0,AJ61&lt;&gt;"PF",AN61&lt;&gt;"NE",AG61&lt;&gt;"A"),AND(AL61="E",OR(AT61=1,AT61=3))),SickBY*W61,0)</f>
        <v>0</v>
      </c>
      <c r="BX61" s="462">
        <f t="shared" si="7"/>
        <v>17094.218960000002</v>
      </c>
      <c r="BY61" s="462">
        <f t="shared" si="8"/>
        <v>0</v>
      </c>
      <c r="BZ61" s="462">
        <f t="shared" si="9"/>
        <v>0</v>
      </c>
      <c r="CA61" s="462">
        <f t="shared" si="10"/>
        <v>0</v>
      </c>
      <c r="CB61" s="462">
        <f t="shared" si="11"/>
        <v>0</v>
      </c>
      <c r="CC61" s="462">
        <f>IF(AT61&lt;&gt;0,SSHICHG*Y61,0)</f>
        <v>0</v>
      </c>
      <c r="CD61" s="462">
        <f>IF(AND(AT61&lt;&gt;0,AN61&lt;&gt;"NE"),VLOOKUP(AN61,Retirement_Rates,5,FALSE)*Y61,0)</f>
        <v>0</v>
      </c>
      <c r="CE61" s="462">
        <f>IF(AND(AT61&lt;&gt;0,AJ61&lt;&gt;"PF"),LifeCHG*Y61,0)</f>
        <v>0</v>
      </c>
      <c r="CF61" s="462">
        <f>IF(AND(AT61&lt;&gt;0,AM61="Y"),UICHG*Y61,0)</f>
        <v>-398.20143999999999</v>
      </c>
      <c r="CG61" s="462">
        <f>IF(AND(AT61&lt;&gt;0,N61&lt;&gt;"NR"),DHRCHG*Y61,0)</f>
        <v>0</v>
      </c>
      <c r="CH61" s="462">
        <f>IF(AT61&lt;&gt;0,WCCHG*Y61,0)</f>
        <v>-24.379680000000011</v>
      </c>
      <c r="CI61" s="462">
        <f>IF(OR(AND(AT61&lt;&gt;0,AJ61&lt;&gt;"PF",AN61&lt;&gt;"NE",AG61&lt;&gt;"A"),AND(AL61="E",OR(AT61=1,AT61=3))),SickCHG*Y61,0)</f>
        <v>0</v>
      </c>
      <c r="CJ61" s="462">
        <f t="shared" si="12"/>
        <v>-422.58112</v>
      </c>
      <c r="CK61" s="462" t="str">
        <f t="shared" si="13"/>
        <v/>
      </c>
      <c r="CL61" s="462" t="str">
        <f t="shared" si="14"/>
        <v/>
      </c>
      <c r="CM61" s="462" t="str">
        <f t="shared" si="15"/>
        <v/>
      </c>
      <c r="CN61" s="462" t="str">
        <f t="shared" si="16"/>
        <v>0450-38</v>
      </c>
    </row>
    <row r="62" spans="1:92" ht="15" thickBot="1" x14ac:dyDescent="0.35">
      <c r="A62" s="376" t="s">
        <v>161</v>
      </c>
      <c r="B62" s="376" t="s">
        <v>162</v>
      </c>
      <c r="C62" s="376" t="s">
        <v>469</v>
      </c>
      <c r="D62" s="376" t="s">
        <v>313</v>
      </c>
      <c r="E62" s="376" t="s">
        <v>314</v>
      </c>
      <c r="F62" s="382" t="s">
        <v>406</v>
      </c>
      <c r="G62" s="376" t="s">
        <v>167</v>
      </c>
      <c r="H62" s="378"/>
      <c r="I62" s="378"/>
      <c r="J62" s="376" t="s">
        <v>168</v>
      </c>
      <c r="K62" s="376" t="s">
        <v>316</v>
      </c>
      <c r="L62" s="376" t="s">
        <v>216</v>
      </c>
      <c r="M62" s="376" t="s">
        <v>171</v>
      </c>
      <c r="N62" s="376" t="s">
        <v>172</v>
      </c>
      <c r="O62" s="379">
        <v>1</v>
      </c>
      <c r="P62" s="460">
        <v>1</v>
      </c>
      <c r="Q62" s="460">
        <v>1</v>
      </c>
      <c r="R62" s="380">
        <v>80</v>
      </c>
      <c r="S62" s="460">
        <v>1</v>
      </c>
      <c r="T62" s="380">
        <v>58875.24</v>
      </c>
      <c r="U62" s="380">
        <v>0</v>
      </c>
      <c r="V62" s="380">
        <v>22865.84</v>
      </c>
      <c r="W62" s="380">
        <v>71281.600000000006</v>
      </c>
      <c r="X62" s="380">
        <v>27014.720000000001</v>
      </c>
      <c r="Y62" s="380">
        <v>71281.600000000006</v>
      </c>
      <c r="Z62" s="380">
        <v>26644.06</v>
      </c>
      <c r="AA62" s="376" t="s">
        <v>470</v>
      </c>
      <c r="AB62" s="376" t="s">
        <v>471</v>
      </c>
      <c r="AC62" s="376" t="s">
        <v>472</v>
      </c>
      <c r="AD62" s="376" t="s">
        <v>216</v>
      </c>
      <c r="AE62" s="376" t="s">
        <v>316</v>
      </c>
      <c r="AF62" s="376" t="s">
        <v>311</v>
      </c>
      <c r="AG62" s="376" t="s">
        <v>178</v>
      </c>
      <c r="AH62" s="381">
        <v>34.270000000000003</v>
      </c>
      <c r="AI62" s="379">
        <v>1840</v>
      </c>
      <c r="AJ62" s="376" t="s">
        <v>179</v>
      </c>
      <c r="AK62" s="376" t="s">
        <v>180</v>
      </c>
      <c r="AL62" s="376" t="s">
        <v>181</v>
      </c>
      <c r="AM62" s="376" t="s">
        <v>182</v>
      </c>
      <c r="AN62" s="376" t="s">
        <v>68</v>
      </c>
      <c r="AO62" s="379">
        <v>80</v>
      </c>
      <c r="AP62" s="460">
        <v>1</v>
      </c>
      <c r="AQ62" s="460">
        <v>1</v>
      </c>
      <c r="AR62" s="458" t="s">
        <v>183</v>
      </c>
      <c r="AS62" s="462">
        <f t="shared" si="0"/>
        <v>1</v>
      </c>
      <c r="AT62">
        <f t="shared" si="1"/>
        <v>1</v>
      </c>
      <c r="AU62" s="462">
        <f>IF(AT62=0,"",IF(AND(AT62=1,M62="F",SUMIF(C2:C170,C62,AS2:AS170)&lt;=1),SUMIF(C2:C170,C62,AS2:AS170),IF(AND(AT62=1,M62="F",SUMIF(C2:C170,C62,AS2:AS170)&gt;1),1,"")))</f>
        <v>1</v>
      </c>
      <c r="AV62" s="462" t="str">
        <f>IF(AT62=0,"",IF(AND(AT62=3,M62="F",SUMIF(C2:C170,C62,AS2:AS170)&lt;=1),SUMIF(C2:C170,C62,AS2:AS170),IF(AND(AT62=3,M62="F",SUMIF(C2:C170,C62,AS2:AS170)&gt;1),1,"")))</f>
        <v/>
      </c>
      <c r="AW62" s="462">
        <f>SUMIF(C2:C170,C62,O2:O170)</f>
        <v>1</v>
      </c>
      <c r="AX62" s="462">
        <f>IF(AND(M62="F",AS62&lt;&gt;0),SUMIF(C2:C170,C62,W2:W170),0)</f>
        <v>71281.600000000006</v>
      </c>
      <c r="AY62" s="462">
        <f t="shared" si="2"/>
        <v>71281.600000000006</v>
      </c>
      <c r="AZ62" s="462" t="str">
        <f t="shared" si="3"/>
        <v/>
      </c>
      <c r="BA62" s="462">
        <f t="shared" si="4"/>
        <v>0</v>
      </c>
      <c r="BB62" s="462">
        <f>IF(AND(AT62=1,AK62="E",AU62&gt;=0.75,AW62=1),Health,IF(AND(AT62=1,AK62="E",AU62&gt;=0.75),Health*P62,IF(AND(AT62=1,AK62="E",AU62&gt;=0.5,AW62=1),PTHealth,IF(AND(AT62=1,AK62="E",AU62&gt;=0.5),PTHealth*P62,0))))</f>
        <v>11650</v>
      </c>
      <c r="BC62" s="462">
        <f>IF(AND(AT62=3,AK62="E",AV62&gt;=0.75,AW62=1),Health,IF(AND(AT62=3,AK62="E",AV62&gt;=0.75),Health*P62,IF(AND(AT62=3,AK62="E",AV62&gt;=0.5,AW62=1),PTHealth,IF(AND(AT62=3,AK62="E",AV62&gt;=0.5),PTHealth*P62,0))))</f>
        <v>0</v>
      </c>
      <c r="BD62" s="462">
        <f>IF(AND(AT62&lt;&gt;0,AX62&gt;=MAXSSDI),SSDI*MAXSSDI*P62,IF(AT62&lt;&gt;0,SSDI*W62,0))</f>
        <v>4419.4592000000002</v>
      </c>
      <c r="BE62" s="462">
        <f>IF(AT62&lt;&gt;0,SSHI*W62,0)</f>
        <v>1033.5832</v>
      </c>
      <c r="BF62" s="462">
        <f>IF(AND(AT62&lt;&gt;0,AN62&lt;&gt;"NE"),VLOOKUP(AN62,Retirement_Rates,3,FALSE)*W62,0)</f>
        <v>8511.0230400000019</v>
      </c>
      <c r="BG62" s="462">
        <f>IF(AND(AT62&lt;&gt;0,AJ62&lt;&gt;"PF"),Life*W62,0)</f>
        <v>513.94033600000012</v>
      </c>
      <c r="BH62" s="462">
        <f>IF(AND(AT62&lt;&gt;0,AM62="Y"),UI*W62,0)</f>
        <v>349.27984000000004</v>
      </c>
      <c r="BI62" s="462">
        <f>IF(AND(AT62&lt;&gt;0,N62&lt;&gt;"NR"),DHR*W62,0)</f>
        <v>394.90006400000004</v>
      </c>
      <c r="BJ62" s="462">
        <f>IF(AT62&lt;&gt;0,WC*W62,0)</f>
        <v>142.56320000000002</v>
      </c>
      <c r="BK62" s="462">
        <f>IF(OR(AND(AT62&lt;&gt;0,AJ62&lt;&gt;"PF",AN62&lt;&gt;"NE",AG62&lt;&gt;"A"),AND(AL62="E",OR(AT62=1,AT62=3))),Sick*W62,0)</f>
        <v>0</v>
      </c>
      <c r="BL62" s="462">
        <f t="shared" si="5"/>
        <v>15364.748880000001</v>
      </c>
      <c r="BM62" s="462">
        <f t="shared" si="6"/>
        <v>0</v>
      </c>
      <c r="BN62" s="462">
        <f>IF(AND(AT62=1,AK62="E",AU62&gt;=0.75,AW62=1),HealthBY,IF(AND(AT62=1,AK62="E",AU62&gt;=0.75),HealthBY*P62,IF(AND(AT62=1,AK62="E",AU62&gt;=0.5,AW62=1),PTHealthBY,IF(AND(AT62=1,AK62="E",AU62&gt;=0.5),PTHealthBY*P62,0))))</f>
        <v>11650</v>
      </c>
      <c r="BO62" s="462">
        <f>IF(AND(AT62=3,AK62="E",AV62&gt;=0.75,AW62=1),HealthBY,IF(AND(AT62=3,AK62="E",AV62&gt;=0.75),HealthBY*P62,IF(AND(AT62=3,AK62="E",AV62&gt;=0.5,AW62=1),PTHealthBY,IF(AND(AT62=3,AK62="E",AV62&gt;=0.5),PTHealthBY*P62,0))))</f>
        <v>0</v>
      </c>
      <c r="BP62" s="462">
        <f>IF(AND(AT62&lt;&gt;0,(AX62+BA62)&gt;=MAXSSDIBY),SSDIBY*MAXSSDIBY*P62,IF(AT62&lt;&gt;0,SSDIBY*W62,0))</f>
        <v>4419.4592000000002</v>
      </c>
      <c r="BQ62" s="462">
        <f>IF(AT62&lt;&gt;0,SSHIBY*W62,0)</f>
        <v>1033.5832</v>
      </c>
      <c r="BR62" s="462">
        <f>IF(AND(AT62&lt;&gt;0,AN62&lt;&gt;"NE"),VLOOKUP(AN62,Retirement_Rates,4,FALSE)*W62,0)</f>
        <v>8511.0230400000019</v>
      </c>
      <c r="BS62" s="462">
        <f>IF(AND(AT62&lt;&gt;0,AJ62&lt;&gt;"PF"),LifeBY*W62,0)</f>
        <v>513.94033600000012</v>
      </c>
      <c r="BT62" s="462">
        <f>IF(AND(AT62&lt;&gt;0,AM62="Y"),UIBY*W62,0)</f>
        <v>0</v>
      </c>
      <c r="BU62" s="462">
        <f>IF(AND(AT62&lt;&gt;0,N62&lt;&gt;"NR"),DHRBY*W62,0)</f>
        <v>394.90006400000004</v>
      </c>
      <c r="BV62" s="462">
        <f>IF(AT62&lt;&gt;0,WCBY*W62,0)</f>
        <v>121.17872</v>
      </c>
      <c r="BW62" s="462">
        <f>IF(OR(AND(AT62&lt;&gt;0,AJ62&lt;&gt;"PF",AN62&lt;&gt;"NE",AG62&lt;&gt;"A"),AND(AL62="E",OR(AT62=1,AT62=3))),SickBY*W62,0)</f>
        <v>0</v>
      </c>
      <c r="BX62" s="462">
        <f t="shared" si="7"/>
        <v>14994.084560000001</v>
      </c>
      <c r="BY62" s="462">
        <f t="shared" si="8"/>
        <v>0</v>
      </c>
      <c r="BZ62" s="462">
        <f t="shared" si="9"/>
        <v>0</v>
      </c>
      <c r="CA62" s="462">
        <f t="shared" si="10"/>
        <v>0</v>
      </c>
      <c r="CB62" s="462">
        <f t="shared" si="11"/>
        <v>0</v>
      </c>
      <c r="CC62" s="462">
        <f>IF(AT62&lt;&gt;0,SSHICHG*Y62,0)</f>
        <v>0</v>
      </c>
      <c r="CD62" s="462">
        <f>IF(AND(AT62&lt;&gt;0,AN62&lt;&gt;"NE"),VLOOKUP(AN62,Retirement_Rates,5,FALSE)*Y62,0)</f>
        <v>0</v>
      </c>
      <c r="CE62" s="462">
        <f>IF(AND(AT62&lt;&gt;0,AJ62&lt;&gt;"PF"),LifeCHG*Y62,0)</f>
        <v>0</v>
      </c>
      <c r="CF62" s="462">
        <f>IF(AND(AT62&lt;&gt;0,AM62="Y"),UICHG*Y62,0)</f>
        <v>-349.27984000000004</v>
      </c>
      <c r="CG62" s="462">
        <f>IF(AND(AT62&lt;&gt;0,N62&lt;&gt;"NR"),DHRCHG*Y62,0)</f>
        <v>0</v>
      </c>
      <c r="CH62" s="462">
        <f>IF(AT62&lt;&gt;0,WCCHG*Y62,0)</f>
        <v>-21.384480000000011</v>
      </c>
      <c r="CI62" s="462">
        <f>IF(OR(AND(AT62&lt;&gt;0,AJ62&lt;&gt;"PF",AN62&lt;&gt;"NE",AG62&lt;&gt;"A"),AND(AL62="E",OR(AT62=1,AT62=3))),SickCHG*Y62,0)</f>
        <v>0</v>
      </c>
      <c r="CJ62" s="462">
        <f t="shared" si="12"/>
        <v>-370.66432000000003</v>
      </c>
      <c r="CK62" s="462" t="str">
        <f t="shared" si="13"/>
        <v/>
      </c>
      <c r="CL62" s="462" t="str">
        <f t="shared" si="14"/>
        <v/>
      </c>
      <c r="CM62" s="462" t="str">
        <f t="shared" si="15"/>
        <v/>
      </c>
      <c r="CN62" s="462" t="str">
        <f t="shared" si="16"/>
        <v>0450-38</v>
      </c>
    </row>
    <row r="63" spans="1:92" ht="15" thickBot="1" x14ac:dyDescent="0.35">
      <c r="A63" s="376" t="s">
        <v>161</v>
      </c>
      <c r="B63" s="376" t="s">
        <v>162</v>
      </c>
      <c r="C63" s="376" t="s">
        <v>473</v>
      </c>
      <c r="D63" s="376" t="s">
        <v>436</v>
      </c>
      <c r="E63" s="376" t="s">
        <v>314</v>
      </c>
      <c r="F63" s="382" t="s">
        <v>406</v>
      </c>
      <c r="G63" s="376" t="s">
        <v>167</v>
      </c>
      <c r="H63" s="378"/>
      <c r="I63" s="378"/>
      <c r="J63" s="376" t="s">
        <v>168</v>
      </c>
      <c r="K63" s="376" t="s">
        <v>437</v>
      </c>
      <c r="L63" s="376" t="s">
        <v>216</v>
      </c>
      <c r="M63" s="376" t="s">
        <v>171</v>
      </c>
      <c r="N63" s="376" t="s">
        <v>172</v>
      </c>
      <c r="O63" s="379">
        <v>1</v>
      </c>
      <c r="P63" s="460">
        <v>1</v>
      </c>
      <c r="Q63" s="460">
        <v>1</v>
      </c>
      <c r="R63" s="380">
        <v>80</v>
      </c>
      <c r="S63" s="460">
        <v>1</v>
      </c>
      <c r="T63" s="380">
        <v>67913.600000000006</v>
      </c>
      <c r="U63" s="380">
        <v>0</v>
      </c>
      <c r="V63" s="380">
        <v>26841.47</v>
      </c>
      <c r="W63" s="380">
        <v>69638.399999999994</v>
      </c>
      <c r="X63" s="380">
        <v>26660.52</v>
      </c>
      <c r="Y63" s="380">
        <v>69638.399999999994</v>
      </c>
      <c r="Z63" s="380">
        <v>26298.41</v>
      </c>
      <c r="AA63" s="376" t="s">
        <v>474</v>
      </c>
      <c r="AB63" s="376" t="s">
        <v>475</v>
      </c>
      <c r="AC63" s="376" t="s">
        <v>269</v>
      </c>
      <c r="AD63" s="376" t="s">
        <v>220</v>
      </c>
      <c r="AE63" s="376" t="s">
        <v>437</v>
      </c>
      <c r="AF63" s="376" t="s">
        <v>311</v>
      </c>
      <c r="AG63" s="376" t="s">
        <v>178</v>
      </c>
      <c r="AH63" s="381">
        <v>33.479999999999997</v>
      </c>
      <c r="AI63" s="381">
        <v>8687.5</v>
      </c>
      <c r="AJ63" s="376" t="s">
        <v>179</v>
      </c>
      <c r="AK63" s="376" t="s">
        <v>180</v>
      </c>
      <c r="AL63" s="376" t="s">
        <v>181</v>
      </c>
      <c r="AM63" s="376" t="s">
        <v>182</v>
      </c>
      <c r="AN63" s="376" t="s">
        <v>68</v>
      </c>
      <c r="AO63" s="379">
        <v>80</v>
      </c>
      <c r="AP63" s="460">
        <v>1</v>
      </c>
      <c r="AQ63" s="460">
        <v>1</v>
      </c>
      <c r="AR63" s="458" t="s">
        <v>183</v>
      </c>
      <c r="AS63" s="462">
        <f t="shared" si="0"/>
        <v>1</v>
      </c>
      <c r="AT63">
        <f t="shared" si="1"/>
        <v>1</v>
      </c>
      <c r="AU63" s="462">
        <f>IF(AT63=0,"",IF(AND(AT63=1,M63="F",SUMIF(C2:C170,C63,AS2:AS170)&lt;=1),SUMIF(C2:C170,C63,AS2:AS170),IF(AND(AT63=1,M63="F",SUMIF(C2:C170,C63,AS2:AS170)&gt;1),1,"")))</f>
        <v>1</v>
      </c>
      <c r="AV63" s="462" t="str">
        <f>IF(AT63=0,"",IF(AND(AT63=3,M63="F",SUMIF(C2:C170,C63,AS2:AS170)&lt;=1),SUMIF(C2:C170,C63,AS2:AS170),IF(AND(AT63=3,M63="F",SUMIF(C2:C170,C63,AS2:AS170)&gt;1),1,"")))</f>
        <v/>
      </c>
      <c r="AW63" s="462">
        <f>SUMIF(C2:C170,C63,O2:O170)</f>
        <v>1</v>
      </c>
      <c r="AX63" s="462">
        <f>IF(AND(M63="F",AS63&lt;&gt;0),SUMIF(C2:C170,C63,W2:W170),0)</f>
        <v>69638.399999999994</v>
      </c>
      <c r="AY63" s="462">
        <f t="shared" si="2"/>
        <v>69638.399999999994</v>
      </c>
      <c r="AZ63" s="462" t="str">
        <f t="shared" si="3"/>
        <v/>
      </c>
      <c r="BA63" s="462">
        <f t="shared" si="4"/>
        <v>0</v>
      </c>
      <c r="BB63" s="462">
        <f>IF(AND(AT63=1,AK63="E",AU63&gt;=0.75,AW63=1),Health,IF(AND(AT63=1,AK63="E",AU63&gt;=0.75),Health*P63,IF(AND(AT63=1,AK63="E",AU63&gt;=0.5,AW63=1),PTHealth,IF(AND(AT63=1,AK63="E",AU63&gt;=0.5),PTHealth*P63,0))))</f>
        <v>11650</v>
      </c>
      <c r="BC63" s="462">
        <f>IF(AND(AT63=3,AK63="E",AV63&gt;=0.75,AW63=1),Health,IF(AND(AT63=3,AK63="E",AV63&gt;=0.75),Health*P63,IF(AND(AT63=3,AK63="E",AV63&gt;=0.5,AW63=1),PTHealth,IF(AND(AT63=3,AK63="E",AV63&gt;=0.5),PTHealth*P63,0))))</f>
        <v>0</v>
      </c>
      <c r="BD63" s="462">
        <f>IF(AND(AT63&lt;&gt;0,AX63&gt;=MAXSSDI),SSDI*MAXSSDI*P63,IF(AT63&lt;&gt;0,SSDI*W63,0))</f>
        <v>4317.5807999999997</v>
      </c>
      <c r="BE63" s="462">
        <f>IF(AT63&lt;&gt;0,SSHI*W63,0)</f>
        <v>1009.7568</v>
      </c>
      <c r="BF63" s="462">
        <f>IF(AND(AT63&lt;&gt;0,AN63&lt;&gt;"NE"),VLOOKUP(AN63,Retirement_Rates,3,FALSE)*W63,0)</f>
        <v>8314.8249599999999</v>
      </c>
      <c r="BG63" s="462">
        <f>IF(AND(AT63&lt;&gt;0,AJ63&lt;&gt;"PF"),Life*W63,0)</f>
        <v>502.09286399999996</v>
      </c>
      <c r="BH63" s="462">
        <f>IF(AND(AT63&lt;&gt;0,AM63="Y"),UI*W63,0)</f>
        <v>341.22815999999995</v>
      </c>
      <c r="BI63" s="462">
        <f>IF(AND(AT63&lt;&gt;0,N63&lt;&gt;"NR"),DHR*W63,0)</f>
        <v>385.79673599999995</v>
      </c>
      <c r="BJ63" s="462">
        <f>IF(AT63&lt;&gt;0,WC*W63,0)</f>
        <v>139.27679999999998</v>
      </c>
      <c r="BK63" s="462">
        <f>IF(OR(AND(AT63&lt;&gt;0,AJ63&lt;&gt;"PF",AN63&lt;&gt;"NE",AG63&lt;&gt;"A"),AND(AL63="E",OR(AT63=1,AT63=3))),Sick*W63,0)</f>
        <v>0</v>
      </c>
      <c r="BL63" s="462">
        <f t="shared" si="5"/>
        <v>15010.557120000001</v>
      </c>
      <c r="BM63" s="462">
        <f t="shared" si="6"/>
        <v>0</v>
      </c>
      <c r="BN63" s="462">
        <f>IF(AND(AT63=1,AK63="E",AU63&gt;=0.75,AW63=1),HealthBY,IF(AND(AT63=1,AK63="E",AU63&gt;=0.75),HealthBY*P63,IF(AND(AT63=1,AK63="E",AU63&gt;=0.5,AW63=1),PTHealthBY,IF(AND(AT63=1,AK63="E",AU63&gt;=0.5),PTHealthBY*P63,0))))</f>
        <v>11650</v>
      </c>
      <c r="BO63" s="462">
        <f>IF(AND(AT63=3,AK63="E",AV63&gt;=0.75,AW63=1),HealthBY,IF(AND(AT63=3,AK63="E",AV63&gt;=0.75),HealthBY*P63,IF(AND(AT63=3,AK63="E",AV63&gt;=0.5,AW63=1),PTHealthBY,IF(AND(AT63=3,AK63="E",AV63&gt;=0.5),PTHealthBY*P63,0))))</f>
        <v>0</v>
      </c>
      <c r="BP63" s="462">
        <f>IF(AND(AT63&lt;&gt;0,(AX63+BA63)&gt;=MAXSSDIBY),SSDIBY*MAXSSDIBY*P63,IF(AT63&lt;&gt;0,SSDIBY*W63,0))</f>
        <v>4317.5807999999997</v>
      </c>
      <c r="BQ63" s="462">
        <f>IF(AT63&lt;&gt;0,SSHIBY*W63,0)</f>
        <v>1009.7568</v>
      </c>
      <c r="BR63" s="462">
        <f>IF(AND(AT63&lt;&gt;0,AN63&lt;&gt;"NE"),VLOOKUP(AN63,Retirement_Rates,4,FALSE)*W63,0)</f>
        <v>8314.8249599999999</v>
      </c>
      <c r="BS63" s="462">
        <f>IF(AND(AT63&lt;&gt;0,AJ63&lt;&gt;"PF"),LifeBY*W63,0)</f>
        <v>502.09286399999996</v>
      </c>
      <c r="BT63" s="462">
        <f>IF(AND(AT63&lt;&gt;0,AM63="Y"),UIBY*W63,0)</f>
        <v>0</v>
      </c>
      <c r="BU63" s="462">
        <f>IF(AND(AT63&lt;&gt;0,N63&lt;&gt;"NR"),DHRBY*W63,0)</f>
        <v>385.79673599999995</v>
      </c>
      <c r="BV63" s="462">
        <f>IF(AT63&lt;&gt;0,WCBY*W63,0)</f>
        <v>118.38527999999998</v>
      </c>
      <c r="BW63" s="462">
        <f>IF(OR(AND(AT63&lt;&gt;0,AJ63&lt;&gt;"PF",AN63&lt;&gt;"NE",AG63&lt;&gt;"A"),AND(AL63="E",OR(AT63=1,AT63=3))),SickBY*W63,0)</f>
        <v>0</v>
      </c>
      <c r="BX63" s="462">
        <f t="shared" si="7"/>
        <v>14648.437440000002</v>
      </c>
      <c r="BY63" s="462">
        <f t="shared" si="8"/>
        <v>0</v>
      </c>
      <c r="BZ63" s="462">
        <f t="shared" si="9"/>
        <v>0</v>
      </c>
      <c r="CA63" s="462">
        <f t="shared" si="10"/>
        <v>0</v>
      </c>
      <c r="CB63" s="462">
        <f t="shared" si="11"/>
        <v>0</v>
      </c>
      <c r="CC63" s="462">
        <f>IF(AT63&lt;&gt;0,SSHICHG*Y63,0)</f>
        <v>0</v>
      </c>
      <c r="CD63" s="462">
        <f>IF(AND(AT63&lt;&gt;0,AN63&lt;&gt;"NE"),VLOOKUP(AN63,Retirement_Rates,5,FALSE)*Y63,0)</f>
        <v>0</v>
      </c>
      <c r="CE63" s="462">
        <f>IF(AND(AT63&lt;&gt;0,AJ63&lt;&gt;"PF"),LifeCHG*Y63,0)</f>
        <v>0</v>
      </c>
      <c r="CF63" s="462">
        <f>IF(AND(AT63&lt;&gt;0,AM63="Y"),UICHG*Y63,0)</f>
        <v>-341.22815999999995</v>
      </c>
      <c r="CG63" s="462">
        <f>IF(AND(AT63&lt;&gt;0,N63&lt;&gt;"NR"),DHRCHG*Y63,0)</f>
        <v>0</v>
      </c>
      <c r="CH63" s="462">
        <f>IF(AT63&lt;&gt;0,WCCHG*Y63,0)</f>
        <v>-20.891520000000007</v>
      </c>
      <c r="CI63" s="462">
        <f>IF(OR(AND(AT63&lt;&gt;0,AJ63&lt;&gt;"PF",AN63&lt;&gt;"NE",AG63&lt;&gt;"A"),AND(AL63="E",OR(AT63=1,AT63=3))),SickCHG*Y63,0)</f>
        <v>0</v>
      </c>
      <c r="CJ63" s="462">
        <f t="shared" si="12"/>
        <v>-362.11967999999996</v>
      </c>
      <c r="CK63" s="462" t="str">
        <f t="shared" si="13"/>
        <v/>
      </c>
      <c r="CL63" s="462" t="str">
        <f t="shared" si="14"/>
        <v/>
      </c>
      <c r="CM63" s="462" t="str">
        <f t="shared" si="15"/>
        <v/>
      </c>
      <c r="CN63" s="462" t="str">
        <f t="shared" si="16"/>
        <v>0450-38</v>
      </c>
    </row>
    <row r="64" spans="1:92" ht="15" thickBot="1" x14ac:dyDescent="0.35">
      <c r="A64" s="376" t="s">
        <v>161</v>
      </c>
      <c r="B64" s="376" t="s">
        <v>162</v>
      </c>
      <c r="C64" s="376" t="s">
        <v>476</v>
      </c>
      <c r="D64" s="376" t="s">
        <v>313</v>
      </c>
      <c r="E64" s="376" t="s">
        <v>314</v>
      </c>
      <c r="F64" s="382" t="s">
        <v>406</v>
      </c>
      <c r="G64" s="376" t="s">
        <v>167</v>
      </c>
      <c r="H64" s="378"/>
      <c r="I64" s="378"/>
      <c r="J64" s="376" t="s">
        <v>168</v>
      </c>
      <c r="K64" s="376" t="s">
        <v>316</v>
      </c>
      <c r="L64" s="376" t="s">
        <v>216</v>
      </c>
      <c r="M64" s="376" t="s">
        <v>171</v>
      </c>
      <c r="N64" s="376" t="s">
        <v>172</v>
      </c>
      <c r="O64" s="379">
        <v>1</v>
      </c>
      <c r="P64" s="460">
        <v>1</v>
      </c>
      <c r="Q64" s="460">
        <v>1</v>
      </c>
      <c r="R64" s="380">
        <v>80</v>
      </c>
      <c r="S64" s="460">
        <v>1</v>
      </c>
      <c r="T64" s="380">
        <v>62944</v>
      </c>
      <c r="U64" s="380">
        <v>0</v>
      </c>
      <c r="V64" s="380">
        <v>25559.89</v>
      </c>
      <c r="W64" s="380">
        <v>64792</v>
      </c>
      <c r="X64" s="380">
        <v>25615.89</v>
      </c>
      <c r="Y64" s="380">
        <v>64792</v>
      </c>
      <c r="Z64" s="380">
        <v>25278.97</v>
      </c>
      <c r="AA64" s="376" t="s">
        <v>477</v>
      </c>
      <c r="AB64" s="376" t="s">
        <v>478</v>
      </c>
      <c r="AC64" s="376" t="s">
        <v>479</v>
      </c>
      <c r="AD64" s="376" t="s">
        <v>220</v>
      </c>
      <c r="AE64" s="376" t="s">
        <v>316</v>
      </c>
      <c r="AF64" s="376" t="s">
        <v>311</v>
      </c>
      <c r="AG64" s="376" t="s">
        <v>178</v>
      </c>
      <c r="AH64" s="381">
        <v>31.15</v>
      </c>
      <c r="AI64" s="379">
        <v>2160</v>
      </c>
      <c r="AJ64" s="376" t="s">
        <v>179</v>
      </c>
      <c r="AK64" s="376" t="s">
        <v>180</v>
      </c>
      <c r="AL64" s="376" t="s">
        <v>181</v>
      </c>
      <c r="AM64" s="376" t="s">
        <v>182</v>
      </c>
      <c r="AN64" s="376" t="s">
        <v>68</v>
      </c>
      <c r="AO64" s="379">
        <v>80</v>
      </c>
      <c r="AP64" s="460">
        <v>1</v>
      </c>
      <c r="AQ64" s="460">
        <v>1</v>
      </c>
      <c r="AR64" s="458" t="s">
        <v>183</v>
      </c>
      <c r="AS64" s="462">
        <f t="shared" si="0"/>
        <v>1</v>
      </c>
      <c r="AT64">
        <f t="shared" si="1"/>
        <v>1</v>
      </c>
      <c r="AU64" s="462">
        <f>IF(AT64=0,"",IF(AND(AT64=1,M64="F",SUMIF(C2:C170,C64,AS2:AS170)&lt;=1),SUMIF(C2:C170,C64,AS2:AS170),IF(AND(AT64=1,M64="F",SUMIF(C2:C170,C64,AS2:AS170)&gt;1),1,"")))</f>
        <v>1</v>
      </c>
      <c r="AV64" s="462" t="str">
        <f>IF(AT64=0,"",IF(AND(AT64=3,M64="F",SUMIF(C2:C170,C64,AS2:AS170)&lt;=1),SUMIF(C2:C170,C64,AS2:AS170),IF(AND(AT64=3,M64="F",SUMIF(C2:C170,C64,AS2:AS170)&gt;1),1,"")))</f>
        <v/>
      </c>
      <c r="AW64" s="462">
        <f>SUMIF(C2:C170,C64,O2:O170)</f>
        <v>1</v>
      </c>
      <c r="AX64" s="462">
        <f>IF(AND(M64="F",AS64&lt;&gt;0),SUMIF(C2:C170,C64,W2:W170),0)</f>
        <v>64792</v>
      </c>
      <c r="AY64" s="462">
        <f t="shared" si="2"/>
        <v>64792</v>
      </c>
      <c r="AZ64" s="462" t="str">
        <f t="shared" si="3"/>
        <v/>
      </c>
      <c r="BA64" s="462">
        <f t="shared" si="4"/>
        <v>0</v>
      </c>
      <c r="BB64" s="462">
        <f>IF(AND(AT64=1,AK64="E",AU64&gt;=0.75,AW64=1),Health,IF(AND(AT64=1,AK64="E",AU64&gt;=0.75),Health*P64,IF(AND(AT64=1,AK64="E",AU64&gt;=0.5,AW64=1),PTHealth,IF(AND(AT64=1,AK64="E",AU64&gt;=0.5),PTHealth*P64,0))))</f>
        <v>11650</v>
      </c>
      <c r="BC64" s="462">
        <f>IF(AND(AT64=3,AK64="E",AV64&gt;=0.75,AW64=1),Health,IF(AND(AT64=3,AK64="E",AV64&gt;=0.75),Health*P64,IF(AND(AT64=3,AK64="E",AV64&gt;=0.5,AW64=1),PTHealth,IF(AND(AT64=3,AK64="E",AV64&gt;=0.5),PTHealth*P64,0))))</f>
        <v>0</v>
      </c>
      <c r="BD64" s="462">
        <f>IF(AND(AT64&lt;&gt;0,AX64&gt;=MAXSSDI),SSDI*MAXSSDI*P64,IF(AT64&lt;&gt;0,SSDI*W64,0))</f>
        <v>4017.1039999999998</v>
      </c>
      <c r="BE64" s="462">
        <f>IF(AT64&lt;&gt;0,SSHI*W64,0)</f>
        <v>939.48400000000004</v>
      </c>
      <c r="BF64" s="462">
        <f>IF(AND(AT64&lt;&gt;0,AN64&lt;&gt;"NE"),VLOOKUP(AN64,Retirement_Rates,3,FALSE)*W64,0)</f>
        <v>7736.1648000000005</v>
      </c>
      <c r="BG64" s="462">
        <f>IF(AND(AT64&lt;&gt;0,AJ64&lt;&gt;"PF"),Life*W64,0)</f>
        <v>467.15032000000002</v>
      </c>
      <c r="BH64" s="462">
        <f>IF(AND(AT64&lt;&gt;0,AM64="Y"),UI*W64,0)</f>
        <v>317.48079999999999</v>
      </c>
      <c r="BI64" s="462">
        <f>IF(AND(AT64&lt;&gt;0,N64&lt;&gt;"NR"),DHR*W64,0)</f>
        <v>358.94767999999999</v>
      </c>
      <c r="BJ64" s="462">
        <f>IF(AT64&lt;&gt;0,WC*W64,0)</f>
        <v>129.584</v>
      </c>
      <c r="BK64" s="462">
        <f>IF(OR(AND(AT64&lt;&gt;0,AJ64&lt;&gt;"PF",AN64&lt;&gt;"NE",AG64&lt;&gt;"A"),AND(AL64="E",OR(AT64=1,AT64=3))),Sick*W64,0)</f>
        <v>0</v>
      </c>
      <c r="BL64" s="462">
        <f t="shared" si="5"/>
        <v>13965.9156</v>
      </c>
      <c r="BM64" s="462">
        <f t="shared" si="6"/>
        <v>0</v>
      </c>
      <c r="BN64" s="462">
        <f>IF(AND(AT64=1,AK64="E",AU64&gt;=0.75,AW64=1),HealthBY,IF(AND(AT64=1,AK64="E",AU64&gt;=0.75),HealthBY*P64,IF(AND(AT64=1,AK64="E",AU64&gt;=0.5,AW64=1),PTHealthBY,IF(AND(AT64=1,AK64="E",AU64&gt;=0.5),PTHealthBY*P64,0))))</f>
        <v>11650</v>
      </c>
      <c r="BO64" s="462">
        <f>IF(AND(AT64=3,AK64="E",AV64&gt;=0.75,AW64=1),HealthBY,IF(AND(AT64=3,AK64="E",AV64&gt;=0.75),HealthBY*P64,IF(AND(AT64=3,AK64="E",AV64&gt;=0.5,AW64=1),PTHealthBY,IF(AND(AT64=3,AK64="E",AV64&gt;=0.5),PTHealthBY*P64,0))))</f>
        <v>0</v>
      </c>
      <c r="BP64" s="462">
        <f>IF(AND(AT64&lt;&gt;0,(AX64+BA64)&gt;=MAXSSDIBY),SSDIBY*MAXSSDIBY*P64,IF(AT64&lt;&gt;0,SSDIBY*W64,0))</f>
        <v>4017.1039999999998</v>
      </c>
      <c r="BQ64" s="462">
        <f>IF(AT64&lt;&gt;0,SSHIBY*W64,0)</f>
        <v>939.48400000000004</v>
      </c>
      <c r="BR64" s="462">
        <f>IF(AND(AT64&lt;&gt;0,AN64&lt;&gt;"NE"),VLOOKUP(AN64,Retirement_Rates,4,FALSE)*W64,0)</f>
        <v>7736.1648000000005</v>
      </c>
      <c r="BS64" s="462">
        <f>IF(AND(AT64&lt;&gt;0,AJ64&lt;&gt;"PF"),LifeBY*W64,0)</f>
        <v>467.15032000000002</v>
      </c>
      <c r="BT64" s="462">
        <f>IF(AND(AT64&lt;&gt;0,AM64="Y"),UIBY*W64,0)</f>
        <v>0</v>
      </c>
      <c r="BU64" s="462">
        <f>IF(AND(AT64&lt;&gt;0,N64&lt;&gt;"NR"),DHRBY*W64,0)</f>
        <v>358.94767999999999</v>
      </c>
      <c r="BV64" s="462">
        <f>IF(AT64&lt;&gt;0,WCBY*W64,0)</f>
        <v>110.1464</v>
      </c>
      <c r="BW64" s="462">
        <f>IF(OR(AND(AT64&lt;&gt;0,AJ64&lt;&gt;"PF",AN64&lt;&gt;"NE",AG64&lt;&gt;"A"),AND(AL64="E",OR(AT64=1,AT64=3))),SickBY*W64,0)</f>
        <v>0</v>
      </c>
      <c r="BX64" s="462">
        <f t="shared" si="7"/>
        <v>13628.9972</v>
      </c>
      <c r="BY64" s="462">
        <f t="shared" si="8"/>
        <v>0</v>
      </c>
      <c r="BZ64" s="462">
        <f t="shared" si="9"/>
        <v>0</v>
      </c>
      <c r="CA64" s="462">
        <f t="shared" si="10"/>
        <v>0</v>
      </c>
      <c r="CB64" s="462">
        <f t="shared" si="11"/>
        <v>0</v>
      </c>
      <c r="CC64" s="462">
        <f>IF(AT64&lt;&gt;0,SSHICHG*Y64,0)</f>
        <v>0</v>
      </c>
      <c r="CD64" s="462">
        <f>IF(AND(AT64&lt;&gt;0,AN64&lt;&gt;"NE"),VLOOKUP(AN64,Retirement_Rates,5,FALSE)*Y64,0)</f>
        <v>0</v>
      </c>
      <c r="CE64" s="462">
        <f>IF(AND(AT64&lt;&gt;0,AJ64&lt;&gt;"PF"),LifeCHG*Y64,0)</f>
        <v>0</v>
      </c>
      <c r="CF64" s="462">
        <f>IF(AND(AT64&lt;&gt;0,AM64="Y"),UICHG*Y64,0)</f>
        <v>-317.48079999999999</v>
      </c>
      <c r="CG64" s="462">
        <f>IF(AND(AT64&lt;&gt;0,N64&lt;&gt;"NR"),DHRCHG*Y64,0)</f>
        <v>0</v>
      </c>
      <c r="CH64" s="462">
        <f>IF(AT64&lt;&gt;0,WCCHG*Y64,0)</f>
        <v>-19.43760000000001</v>
      </c>
      <c r="CI64" s="462">
        <f>IF(OR(AND(AT64&lt;&gt;0,AJ64&lt;&gt;"PF",AN64&lt;&gt;"NE",AG64&lt;&gt;"A"),AND(AL64="E",OR(AT64=1,AT64=3))),SickCHG*Y64,0)</f>
        <v>0</v>
      </c>
      <c r="CJ64" s="462">
        <f t="shared" si="12"/>
        <v>-336.91840000000002</v>
      </c>
      <c r="CK64" s="462" t="str">
        <f t="shared" si="13"/>
        <v/>
      </c>
      <c r="CL64" s="462" t="str">
        <f t="shared" si="14"/>
        <v/>
      </c>
      <c r="CM64" s="462" t="str">
        <f t="shared" si="15"/>
        <v/>
      </c>
      <c r="CN64" s="462" t="str">
        <f t="shared" si="16"/>
        <v>0450-38</v>
      </c>
    </row>
    <row r="65" spans="1:92" ht="15" thickBot="1" x14ac:dyDescent="0.35">
      <c r="A65" s="376" t="s">
        <v>161</v>
      </c>
      <c r="B65" s="376" t="s">
        <v>162</v>
      </c>
      <c r="C65" s="376" t="s">
        <v>302</v>
      </c>
      <c r="D65" s="376" t="s">
        <v>164</v>
      </c>
      <c r="E65" s="376" t="s">
        <v>314</v>
      </c>
      <c r="F65" s="382" t="s">
        <v>406</v>
      </c>
      <c r="G65" s="376" t="s">
        <v>167</v>
      </c>
      <c r="H65" s="378"/>
      <c r="I65" s="378"/>
      <c r="J65" s="376" t="s">
        <v>168</v>
      </c>
      <c r="K65" s="376" t="s">
        <v>169</v>
      </c>
      <c r="L65" s="376" t="s">
        <v>170</v>
      </c>
      <c r="M65" s="376" t="s">
        <v>171</v>
      </c>
      <c r="N65" s="376" t="s">
        <v>172</v>
      </c>
      <c r="O65" s="379">
        <v>1</v>
      </c>
      <c r="P65" s="460">
        <v>1</v>
      </c>
      <c r="Q65" s="460">
        <v>1</v>
      </c>
      <c r="R65" s="380">
        <v>80</v>
      </c>
      <c r="S65" s="460">
        <v>1</v>
      </c>
      <c r="T65" s="380">
        <v>0</v>
      </c>
      <c r="U65" s="380">
        <v>0</v>
      </c>
      <c r="V65" s="380">
        <v>0</v>
      </c>
      <c r="W65" s="380">
        <v>92060.800000000003</v>
      </c>
      <c r="X65" s="380">
        <v>31493.66</v>
      </c>
      <c r="Y65" s="380">
        <v>92060.800000000003</v>
      </c>
      <c r="Z65" s="380">
        <v>31014.95</v>
      </c>
      <c r="AA65" s="376" t="s">
        <v>303</v>
      </c>
      <c r="AB65" s="376" t="s">
        <v>304</v>
      </c>
      <c r="AC65" s="376" t="s">
        <v>305</v>
      </c>
      <c r="AD65" s="376" t="s">
        <v>228</v>
      </c>
      <c r="AE65" s="376" t="s">
        <v>169</v>
      </c>
      <c r="AF65" s="376" t="s">
        <v>177</v>
      </c>
      <c r="AG65" s="376" t="s">
        <v>178</v>
      </c>
      <c r="AH65" s="381">
        <v>44.26</v>
      </c>
      <c r="AI65" s="379">
        <v>11032</v>
      </c>
      <c r="AJ65" s="376" t="s">
        <v>179</v>
      </c>
      <c r="AK65" s="376" t="s">
        <v>180</v>
      </c>
      <c r="AL65" s="376" t="s">
        <v>181</v>
      </c>
      <c r="AM65" s="376" t="s">
        <v>182</v>
      </c>
      <c r="AN65" s="376" t="s">
        <v>68</v>
      </c>
      <c r="AO65" s="379">
        <v>80</v>
      </c>
      <c r="AP65" s="460">
        <v>1</v>
      </c>
      <c r="AQ65" s="460">
        <v>1</v>
      </c>
      <c r="AR65" s="458" t="s">
        <v>183</v>
      </c>
      <c r="AS65" s="462">
        <f t="shared" si="0"/>
        <v>1</v>
      </c>
      <c r="AT65">
        <f t="shared" si="1"/>
        <v>1</v>
      </c>
      <c r="AU65" s="462">
        <f>IF(AT65=0,"",IF(AND(AT65=1,M65="F",SUMIF(C2:C170,C65,AS2:AS170)&lt;=1),SUMIF(C2:C170,C65,AS2:AS170),IF(AND(AT65=1,M65="F",SUMIF(C2:C170,C65,AS2:AS170)&gt;1),1,"")))</f>
        <v>1</v>
      </c>
      <c r="AV65" s="462" t="str">
        <f>IF(AT65=0,"",IF(AND(AT65=3,M65="F",SUMIF(C2:C170,C65,AS2:AS170)&lt;=1),SUMIF(C2:C170,C65,AS2:AS170),IF(AND(AT65=3,M65="F",SUMIF(C2:C170,C65,AS2:AS170)&gt;1),1,"")))</f>
        <v/>
      </c>
      <c r="AW65" s="462">
        <f>SUMIF(C2:C170,C65,O2:O170)</f>
        <v>2</v>
      </c>
      <c r="AX65" s="462">
        <f>IF(AND(M65="F",AS65&lt;&gt;0),SUMIF(C2:C170,C65,W2:W170),0)</f>
        <v>92060.800000000003</v>
      </c>
      <c r="AY65" s="462">
        <f t="shared" si="2"/>
        <v>92060.800000000003</v>
      </c>
      <c r="AZ65" s="462" t="str">
        <f t="shared" si="3"/>
        <v/>
      </c>
      <c r="BA65" s="462">
        <f t="shared" si="4"/>
        <v>0</v>
      </c>
      <c r="BB65" s="462">
        <f>IF(AND(AT65=1,AK65="E",AU65&gt;=0.75,AW65=1),Health,IF(AND(AT65=1,AK65="E",AU65&gt;=0.75),Health*P65,IF(AND(AT65=1,AK65="E",AU65&gt;=0.5,AW65=1),PTHealth,IF(AND(AT65=1,AK65="E",AU65&gt;=0.5),PTHealth*P65,0))))</f>
        <v>11650</v>
      </c>
      <c r="BC65" s="462">
        <f>IF(AND(AT65=3,AK65="E",AV65&gt;=0.75,AW65=1),Health,IF(AND(AT65=3,AK65="E",AV65&gt;=0.75),Health*P65,IF(AND(AT65=3,AK65="E",AV65&gt;=0.5,AW65=1),PTHealth,IF(AND(AT65=3,AK65="E",AV65&gt;=0.5),PTHealth*P65,0))))</f>
        <v>0</v>
      </c>
      <c r="BD65" s="462">
        <f>IF(AND(AT65&lt;&gt;0,AX65&gt;=MAXSSDI),SSDI*MAXSSDI*P65,IF(AT65&lt;&gt;0,SSDI*W65,0))</f>
        <v>5707.7696000000005</v>
      </c>
      <c r="BE65" s="462">
        <f>IF(AT65&lt;&gt;0,SSHI*W65,0)</f>
        <v>1334.8816000000002</v>
      </c>
      <c r="BF65" s="462">
        <f>IF(AND(AT65&lt;&gt;0,AN65&lt;&gt;"NE"),VLOOKUP(AN65,Retirement_Rates,3,FALSE)*W65,0)</f>
        <v>10992.059520000001</v>
      </c>
      <c r="BG65" s="462">
        <f>IF(AND(AT65&lt;&gt;0,AJ65&lt;&gt;"PF"),Life*W65,0)</f>
        <v>663.75836800000002</v>
      </c>
      <c r="BH65" s="462">
        <f>IF(AND(AT65&lt;&gt;0,AM65="Y"),UI*W65,0)</f>
        <v>451.09791999999999</v>
      </c>
      <c r="BI65" s="462">
        <f>IF(AND(AT65&lt;&gt;0,N65&lt;&gt;"NR"),DHR*W65,0)</f>
        <v>510.01683200000002</v>
      </c>
      <c r="BJ65" s="462">
        <f>IF(AT65&lt;&gt;0,WC*W65,0)</f>
        <v>184.1216</v>
      </c>
      <c r="BK65" s="462">
        <f>IF(OR(AND(AT65&lt;&gt;0,AJ65&lt;&gt;"PF",AN65&lt;&gt;"NE",AG65&lt;&gt;"A"),AND(AL65="E",OR(AT65=1,AT65=3))),Sick*W65,0)</f>
        <v>0</v>
      </c>
      <c r="BL65" s="462">
        <f t="shared" si="5"/>
        <v>19843.705440000002</v>
      </c>
      <c r="BM65" s="462">
        <f t="shared" si="6"/>
        <v>0</v>
      </c>
      <c r="BN65" s="462">
        <f>IF(AND(AT65=1,AK65="E",AU65&gt;=0.75,AW65=1),HealthBY,IF(AND(AT65=1,AK65="E",AU65&gt;=0.75),HealthBY*P65,IF(AND(AT65=1,AK65="E",AU65&gt;=0.5,AW65=1),PTHealthBY,IF(AND(AT65=1,AK65="E",AU65&gt;=0.5),PTHealthBY*P65,0))))</f>
        <v>11650</v>
      </c>
      <c r="BO65" s="462">
        <f>IF(AND(AT65=3,AK65="E",AV65&gt;=0.75,AW65=1),HealthBY,IF(AND(AT65=3,AK65="E",AV65&gt;=0.75),HealthBY*P65,IF(AND(AT65=3,AK65="E",AV65&gt;=0.5,AW65=1),PTHealthBY,IF(AND(AT65=3,AK65="E",AV65&gt;=0.5),PTHealthBY*P65,0))))</f>
        <v>0</v>
      </c>
      <c r="BP65" s="462">
        <f>IF(AND(AT65&lt;&gt;0,(AX65+BA65)&gt;=MAXSSDIBY),SSDIBY*MAXSSDIBY*P65,IF(AT65&lt;&gt;0,SSDIBY*W65,0))</f>
        <v>5707.7696000000005</v>
      </c>
      <c r="BQ65" s="462">
        <f>IF(AT65&lt;&gt;0,SSHIBY*W65,0)</f>
        <v>1334.8816000000002</v>
      </c>
      <c r="BR65" s="462">
        <f>IF(AND(AT65&lt;&gt;0,AN65&lt;&gt;"NE"),VLOOKUP(AN65,Retirement_Rates,4,FALSE)*W65,0)</f>
        <v>10992.059520000001</v>
      </c>
      <c r="BS65" s="462">
        <f>IF(AND(AT65&lt;&gt;0,AJ65&lt;&gt;"PF"),LifeBY*W65,0)</f>
        <v>663.75836800000002</v>
      </c>
      <c r="BT65" s="462">
        <f>IF(AND(AT65&lt;&gt;0,AM65="Y"),UIBY*W65,0)</f>
        <v>0</v>
      </c>
      <c r="BU65" s="462">
        <f>IF(AND(AT65&lt;&gt;0,N65&lt;&gt;"NR"),DHRBY*W65,0)</f>
        <v>510.01683200000002</v>
      </c>
      <c r="BV65" s="462">
        <f>IF(AT65&lt;&gt;0,WCBY*W65,0)</f>
        <v>156.50335999999999</v>
      </c>
      <c r="BW65" s="462">
        <f>IF(OR(AND(AT65&lt;&gt;0,AJ65&lt;&gt;"PF",AN65&lt;&gt;"NE",AG65&lt;&gt;"A"),AND(AL65="E",OR(AT65=1,AT65=3))),SickBY*W65,0)</f>
        <v>0</v>
      </c>
      <c r="BX65" s="462">
        <f t="shared" si="7"/>
        <v>19364.989280000002</v>
      </c>
      <c r="BY65" s="462">
        <f t="shared" si="8"/>
        <v>0</v>
      </c>
      <c r="BZ65" s="462">
        <f t="shared" si="9"/>
        <v>0</v>
      </c>
      <c r="CA65" s="462">
        <f t="shared" si="10"/>
        <v>0</v>
      </c>
      <c r="CB65" s="462">
        <f t="shared" si="11"/>
        <v>0</v>
      </c>
      <c r="CC65" s="462">
        <f>IF(AT65&lt;&gt;0,SSHICHG*Y65,0)</f>
        <v>0</v>
      </c>
      <c r="CD65" s="462">
        <f>IF(AND(AT65&lt;&gt;0,AN65&lt;&gt;"NE"),VLOOKUP(AN65,Retirement_Rates,5,FALSE)*Y65,0)</f>
        <v>0</v>
      </c>
      <c r="CE65" s="462">
        <f>IF(AND(AT65&lt;&gt;0,AJ65&lt;&gt;"PF"),LifeCHG*Y65,0)</f>
        <v>0</v>
      </c>
      <c r="CF65" s="462">
        <f>IF(AND(AT65&lt;&gt;0,AM65="Y"),UICHG*Y65,0)</f>
        <v>-451.09791999999999</v>
      </c>
      <c r="CG65" s="462">
        <f>IF(AND(AT65&lt;&gt;0,N65&lt;&gt;"NR"),DHRCHG*Y65,0)</f>
        <v>0</v>
      </c>
      <c r="CH65" s="462">
        <f>IF(AT65&lt;&gt;0,WCCHG*Y65,0)</f>
        <v>-27.618240000000014</v>
      </c>
      <c r="CI65" s="462">
        <f>IF(OR(AND(AT65&lt;&gt;0,AJ65&lt;&gt;"PF",AN65&lt;&gt;"NE",AG65&lt;&gt;"A"),AND(AL65="E",OR(AT65=1,AT65=3))),SickCHG*Y65,0)</f>
        <v>0</v>
      </c>
      <c r="CJ65" s="462">
        <f t="shared" si="12"/>
        <v>-478.71616</v>
      </c>
      <c r="CK65" s="462" t="str">
        <f t="shared" si="13"/>
        <v/>
      </c>
      <c r="CL65" s="462" t="str">
        <f t="shared" si="14"/>
        <v/>
      </c>
      <c r="CM65" s="462" t="str">
        <f t="shared" si="15"/>
        <v/>
      </c>
      <c r="CN65" s="462" t="str">
        <f t="shared" si="16"/>
        <v>0450-38</v>
      </c>
    </row>
    <row r="66" spans="1:92" ht="15" thickBot="1" x14ac:dyDescent="0.35">
      <c r="A66" s="376" t="s">
        <v>161</v>
      </c>
      <c r="B66" s="376" t="s">
        <v>162</v>
      </c>
      <c r="C66" s="376" t="s">
        <v>480</v>
      </c>
      <c r="D66" s="376" t="s">
        <v>356</v>
      </c>
      <c r="E66" s="376" t="s">
        <v>314</v>
      </c>
      <c r="F66" s="382" t="s">
        <v>406</v>
      </c>
      <c r="G66" s="376" t="s">
        <v>167</v>
      </c>
      <c r="H66" s="378"/>
      <c r="I66" s="378"/>
      <c r="J66" s="376" t="s">
        <v>168</v>
      </c>
      <c r="K66" s="376" t="s">
        <v>358</v>
      </c>
      <c r="L66" s="376" t="s">
        <v>176</v>
      </c>
      <c r="M66" s="376" t="s">
        <v>171</v>
      </c>
      <c r="N66" s="376" t="s">
        <v>172</v>
      </c>
      <c r="O66" s="379">
        <v>1</v>
      </c>
      <c r="P66" s="460">
        <v>1</v>
      </c>
      <c r="Q66" s="460">
        <v>1</v>
      </c>
      <c r="R66" s="380">
        <v>80</v>
      </c>
      <c r="S66" s="460">
        <v>1</v>
      </c>
      <c r="T66" s="380">
        <v>53565.95</v>
      </c>
      <c r="U66" s="380">
        <v>0</v>
      </c>
      <c r="V66" s="380">
        <v>23723.200000000001</v>
      </c>
      <c r="W66" s="380">
        <v>52748.800000000003</v>
      </c>
      <c r="X66" s="380">
        <v>23019.95</v>
      </c>
      <c r="Y66" s="380">
        <v>52748.800000000003</v>
      </c>
      <c r="Z66" s="380">
        <v>22745.67</v>
      </c>
      <c r="AA66" s="376" t="s">
        <v>481</v>
      </c>
      <c r="AB66" s="376" t="s">
        <v>482</v>
      </c>
      <c r="AC66" s="376" t="s">
        <v>195</v>
      </c>
      <c r="AD66" s="376" t="s">
        <v>216</v>
      </c>
      <c r="AE66" s="376" t="s">
        <v>358</v>
      </c>
      <c r="AF66" s="376" t="s">
        <v>190</v>
      </c>
      <c r="AG66" s="376" t="s">
        <v>178</v>
      </c>
      <c r="AH66" s="381">
        <v>25.36</v>
      </c>
      <c r="AI66" s="381">
        <v>10715.9</v>
      </c>
      <c r="AJ66" s="376" t="s">
        <v>179</v>
      </c>
      <c r="AK66" s="376" t="s">
        <v>180</v>
      </c>
      <c r="AL66" s="376" t="s">
        <v>181</v>
      </c>
      <c r="AM66" s="376" t="s">
        <v>182</v>
      </c>
      <c r="AN66" s="376" t="s">
        <v>68</v>
      </c>
      <c r="AO66" s="379">
        <v>80</v>
      </c>
      <c r="AP66" s="460">
        <v>1</v>
      </c>
      <c r="AQ66" s="460">
        <v>1</v>
      </c>
      <c r="AR66" s="458" t="s">
        <v>183</v>
      </c>
      <c r="AS66" s="462">
        <f t="shared" si="0"/>
        <v>1</v>
      </c>
      <c r="AT66">
        <f t="shared" si="1"/>
        <v>1</v>
      </c>
      <c r="AU66" s="462">
        <f>IF(AT66=0,"",IF(AND(AT66=1,M66="F",SUMIF(C2:C170,C66,AS2:AS170)&lt;=1),SUMIF(C2:C170,C66,AS2:AS170),IF(AND(AT66=1,M66="F",SUMIF(C2:C170,C66,AS2:AS170)&gt;1),1,"")))</f>
        <v>1</v>
      </c>
      <c r="AV66" s="462" t="str">
        <f>IF(AT66=0,"",IF(AND(AT66=3,M66="F",SUMIF(C2:C170,C66,AS2:AS170)&lt;=1),SUMIF(C2:C170,C66,AS2:AS170),IF(AND(AT66=3,M66="F",SUMIF(C2:C170,C66,AS2:AS170)&gt;1),1,"")))</f>
        <v/>
      </c>
      <c r="AW66" s="462">
        <f>SUMIF(C2:C170,C66,O2:O170)</f>
        <v>1</v>
      </c>
      <c r="AX66" s="462">
        <f>IF(AND(M66="F",AS66&lt;&gt;0),SUMIF(C2:C170,C66,W2:W170),0)</f>
        <v>52748.800000000003</v>
      </c>
      <c r="AY66" s="462">
        <f t="shared" si="2"/>
        <v>52748.800000000003</v>
      </c>
      <c r="AZ66" s="462" t="str">
        <f t="shared" si="3"/>
        <v/>
      </c>
      <c r="BA66" s="462">
        <f t="shared" si="4"/>
        <v>0</v>
      </c>
      <c r="BB66" s="462">
        <f>IF(AND(AT66=1,AK66="E",AU66&gt;=0.75,AW66=1),Health,IF(AND(AT66=1,AK66="E",AU66&gt;=0.75),Health*P66,IF(AND(AT66=1,AK66="E",AU66&gt;=0.5,AW66=1),PTHealth,IF(AND(AT66=1,AK66="E",AU66&gt;=0.5),PTHealth*P66,0))))</f>
        <v>11650</v>
      </c>
      <c r="BC66" s="462">
        <f>IF(AND(AT66=3,AK66="E",AV66&gt;=0.75,AW66=1),Health,IF(AND(AT66=3,AK66="E",AV66&gt;=0.75),Health*P66,IF(AND(AT66=3,AK66="E",AV66&gt;=0.5,AW66=1),PTHealth,IF(AND(AT66=3,AK66="E",AV66&gt;=0.5),PTHealth*P66,0))))</f>
        <v>0</v>
      </c>
      <c r="BD66" s="462">
        <f>IF(AND(AT66&lt;&gt;0,AX66&gt;=MAXSSDI),SSDI*MAXSSDI*P66,IF(AT66&lt;&gt;0,SSDI*W66,0))</f>
        <v>3270.4256</v>
      </c>
      <c r="BE66" s="462">
        <f>IF(AT66&lt;&gt;0,SSHI*W66,0)</f>
        <v>764.85760000000005</v>
      </c>
      <c r="BF66" s="462">
        <f>IF(AND(AT66&lt;&gt;0,AN66&lt;&gt;"NE"),VLOOKUP(AN66,Retirement_Rates,3,FALSE)*W66,0)</f>
        <v>6298.206720000001</v>
      </c>
      <c r="BG66" s="462">
        <f>IF(AND(AT66&lt;&gt;0,AJ66&lt;&gt;"PF"),Life*W66,0)</f>
        <v>380.31884800000006</v>
      </c>
      <c r="BH66" s="462">
        <f>IF(AND(AT66&lt;&gt;0,AM66="Y"),UI*W66,0)</f>
        <v>258.46912000000003</v>
      </c>
      <c r="BI66" s="462">
        <f>IF(AND(AT66&lt;&gt;0,N66&lt;&gt;"NR"),DHR*W66,0)</f>
        <v>292.22835200000003</v>
      </c>
      <c r="BJ66" s="462">
        <f>IF(AT66&lt;&gt;0,WC*W66,0)</f>
        <v>105.49760000000001</v>
      </c>
      <c r="BK66" s="462">
        <f>IF(OR(AND(AT66&lt;&gt;0,AJ66&lt;&gt;"PF",AN66&lt;&gt;"NE",AG66&lt;&gt;"A"),AND(AL66="E",OR(AT66=1,AT66=3))),Sick*W66,0)</f>
        <v>0</v>
      </c>
      <c r="BL66" s="462">
        <f t="shared" si="5"/>
        <v>11370.003840000001</v>
      </c>
      <c r="BM66" s="462">
        <f t="shared" si="6"/>
        <v>0</v>
      </c>
      <c r="BN66" s="462">
        <f>IF(AND(AT66=1,AK66="E",AU66&gt;=0.75,AW66=1),HealthBY,IF(AND(AT66=1,AK66="E",AU66&gt;=0.75),HealthBY*P66,IF(AND(AT66=1,AK66="E",AU66&gt;=0.5,AW66=1),PTHealthBY,IF(AND(AT66=1,AK66="E",AU66&gt;=0.5),PTHealthBY*P66,0))))</f>
        <v>11650</v>
      </c>
      <c r="BO66" s="462">
        <f>IF(AND(AT66=3,AK66="E",AV66&gt;=0.75,AW66=1),HealthBY,IF(AND(AT66=3,AK66="E",AV66&gt;=0.75),HealthBY*P66,IF(AND(AT66=3,AK66="E",AV66&gt;=0.5,AW66=1),PTHealthBY,IF(AND(AT66=3,AK66="E",AV66&gt;=0.5),PTHealthBY*P66,0))))</f>
        <v>0</v>
      </c>
      <c r="BP66" s="462">
        <f>IF(AND(AT66&lt;&gt;0,(AX66+BA66)&gt;=MAXSSDIBY),SSDIBY*MAXSSDIBY*P66,IF(AT66&lt;&gt;0,SSDIBY*W66,0))</f>
        <v>3270.4256</v>
      </c>
      <c r="BQ66" s="462">
        <f>IF(AT66&lt;&gt;0,SSHIBY*W66,0)</f>
        <v>764.85760000000005</v>
      </c>
      <c r="BR66" s="462">
        <f>IF(AND(AT66&lt;&gt;0,AN66&lt;&gt;"NE"),VLOOKUP(AN66,Retirement_Rates,4,FALSE)*W66,0)</f>
        <v>6298.206720000001</v>
      </c>
      <c r="BS66" s="462">
        <f>IF(AND(AT66&lt;&gt;0,AJ66&lt;&gt;"PF"),LifeBY*W66,0)</f>
        <v>380.31884800000006</v>
      </c>
      <c r="BT66" s="462">
        <f>IF(AND(AT66&lt;&gt;0,AM66="Y"),UIBY*W66,0)</f>
        <v>0</v>
      </c>
      <c r="BU66" s="462">
        <f>IF(AND(AT66&lt;&gt;0,N66&lt;&gt;"NR"),DHRBY*W66,0)</f>
        <v>292.22835200000003</v>
      </c>
      <c r="BV66" s="462">
        <f>IF(AT66&lt;&gt;0,WCBY*W66,0)</f>
        <v>89.672960000000003</v>
      </c>
      <c r="BW66" s="462">
        <f>IF(OR(AND(AT66&lt;&gt;0,AJ66&lt;&gt;"PF",AN66&lt;&gt;"NE",AG66&lt;&gt;"A"),AND(AL66="E",OR(AT66=1,AT66=3))),SickBY*W66,0)</f>
        <v>0</v>
      </c>
      <c r="BX66" s="462">
        <f t="shared" si="7"/>
        <v>11095.710080000001</v>
      </c>
      <c r="BY66" s="462">
        <f t="shared" si="8"/>
        <v>0</v>
      </c>
      <c r="BZ66" s="462">
        <f t="shared" si="9"/>
        <v>0</v>
      </c>
      <c r="CA66" s="462">
        <f t="shared" si="10"/>
        <v>0</v>
      </c>
      <c r="CB66" s="462">
        <f t="shared" si="11"/>
        <v>0</v>
      </c>
      <c r="CC66" s="462">
        <f>IF(AT66&lt;&gt;0,SSHICHG*Y66,0)</f>
        <v>0</v>
      </c>
      <c r="CD66" s="462">
        <f>IF(AND(AT66&lt;&gt;0,AN66&lt;&gt;"NE"),VLOOKUP(AN66,Retirement_Rates,5,FALSE)*Y66,0)</f>
        <v>0</v>
      </c>
      <c r="CE66" s="462">
        <f>IF(AND(AT66&lt;&gt;0,AJ66&lt;&gt;"PF"),LifeCHG*Y66,0)</f>
        <v>0</v>
      </c>
      <c r="CF66" s="462">
        <f>IF(AND(AT66&lt;&gt;0,AM66="Y"),UICHG*Y66,0)</f>
        <v>-258.46912000000003</v>
      </c>
      <c r="CG66" s="462">
        <f>IF(AND(AT66&lt;&gt;0,N66&lt;&gt;"NR"),DHRCHG*Y66,0)</f>
        <v>0</v>
      </c>
      <c r="CH66" s="462">
        <f>IF(AT66&lt;&gt;0,WCCHG*Y66,0)</f>
        <v>-15.824640000000008</v>
      </c>
      <c r="CI66" s="462">
        <f>IF(OR(AND(AT66&lt;&gt;0,AJ66&lt;&gt;"PF",AN66&lt;&gt;"NE",AG66&lt;&gt;"A"),AND(AL66="E",OR(AT66=1,AT66=3))),SickCHG*Y66,0)</f>
        <v>0</v>
      </c>
      <c r="CJ66" s="462">
        <f t="shared" si="12"/>
        <v>-274.29376000000002</v>
      </c>
      <c r="CK66" s="462" t="str">
        <f t="shared" si="13"/>
        <v/>
      </c>
      <c r="CL66" s="462" t="str">
        <f t="shared" si="14"/>
        <v/>
      </c>
      <c r="CM66" s="462" t="str">
        <f t="shared" si="15"/>
        <v/>
      </c>
      <c r="CN66" s="462" t="str">
        <f t="shared" si="16"/>
        <v>0450-38</v>
      </c>
    </row>
    <row r="67" spans="1:92" ht="15" thickBot="1" x14ac:dyDescent="0.35">
      <c r="A67" s="376" t="s">
        <v>161</v>
      </c>
      <c r="B67" s="376" t="s">
        <v>162</v>
      </c>
      <c r="C67" s="376" t="s">
        <v>483</v>
      </c>
      <c r="D67" s="376" t="s">
        <v>313</v>
      </c>
      <c r="E67" s="376" t="s">
        <v>314</v>
      </c>
      <c r="F67" s="382" t="s">
        <v>406</v>
      </c>
      <c r="G67" s="376" t="s">
        <v>167</v>
      </c>
      <c r="H67" s="378"/>
      <c r="I67" s="378"/>
      <c r="J67" s="376" t="s">
        <v>168</v>
      </c>
      <c r="K67" s="376" t="s">
        <v>316</v>
      </c>
      <c r="L67" s="376" t="s">
        <v>216</v>
      </c>
      <c r="M67" s="376" t="s">
        <v>171</v>
      </c>
      <c r="N67" s="376" t="s">
        <v>172</v>
      </c>
      <c r="O67" s="379">
        <v>1</v>
      </c>
      <c r="P67" s="460">
        <v>1</v>
      </c>
      <c r="Q67" s="460">
        <v>1</v>
      </c>
      <c r="R67" s="380">
        <v>80</v>
      </c>
      <c r="S67" s="460">
        <v>1</v>
      </c>
      <c r="T67" s="380">
        <v>70080.850000000006</v>
      </c>
      <c r="U67" s="380">
        <v>0</v>
      </c>
      <c r="V67" s="380">
        <v>27281.17</v>
      </c>
      <c r="W67" s="380">
        <v>72321.600000000006</v>
      </c>
      <c r="X67" s="380">
        <v>27238.880000000001</v>
      </c>
      <c r="Y67" s="380">
        <v>72321.600000000006</v>
      </c>
      <c r="Z67" s="380">
        <v>26862.81</v>
      </c>
      <c r="AA67" s="376" t="s">
        <v>484</v>
      </c>
      <c r="AB67" s="376" t="s">
        <v>485</v>
      </c>
      <c r="AC67" s="376" t="s">
        <v>486</v>
      </c>
      <c r="AD67" s="376" t="s">
        <v>208</v>
      </c>
      <c r="AE67" s="376" t="s">
        <v>316</v>
      </c>
      <c r="AF67" s="376" t="s">
        <v>311</v>
      </c>
      <c r="AG67" s="376" t="s">
        <v>178</v>
      </c>
      <c r="AH67" s="381">
        <v>34.770000000000003</v>
      </c>
      <c r="AI67" s="379">
        <v>2174</v>
      </c>
      <c r="AJ67" s="376" t="s">
        <v>179</v>
      </c>
      <c r="AK67" s="376" t="s">
        <v>180</v>
      </c>
      <c r="AL67" s="376" t="s">
        <v>181</v>
      </c>
      <c r="AM67" s="376" t="s">
        <v>182</v>
      </c>
      <c r="AN67" s="376" t="s">
        <v>68</v>
      </c>
      <c r="AO67" s="379">
        <v>80</v>
      </c>
      <c r="AP67" s="460">
        <v>1</v>
      </c>
      <c r="AQ67" s="460">
        <v>1</v>
      </c>
      <c r="AR67" s="458" t="s">
        <v>183</v>
      </c>
      <c r="AS67" s="462">
        <f t="shared" ref="AS67:AS130" si="17">IF(((AO67/80)*AP67*P67)&gt;1,AQ67,((AO67/80)*AP67*P67))</f>
        <v>1</v>
      </c>
      <c r="AT67">
        <f t="shared" ref="AT67:AT130" si="18">IF(AND(M67="F",N67&lt;&gt;"NG",AS67&lt;&gt;0,AND(AR67&lt;&gt;6,AR67&lt;&gt;36,AR67&lt;&gt;56),AG67&lt;&gt;"A",OR(AG67="H",AJ67="FS")),1,IF(AND(M67="F",N67&lt;&gt;"NG",AS67&lt;&gt;0,AG67="A"),3,0))</f>
        <v>1</v>
      </c>
      <c r="AU67" s="462">
        <f>IF(AT67=0,"",IF(AND(AT67=1,M67="F",SUMIF(C2:C170,C67,AS2:AS170)&lt;=1),SUMIF(C2:C170,C67,AS2:AS170),IF(AND(AT67=1,M67="F",SUMIF(C2:C170,C67,AS2:AS170)&gt;1),1,"")))</f>
        <v>1</v>
      </c>
      <c r="AV67" s="462" t="str">
        <f>IF(AT67=0,"",IF(AND(AT67=3,M67="F",SUMIF(C2:C170,C67,AS2:AS170)&lt;=1),SUMIF(C2:C170,C67,AS2:AS170),IF(AND(AT67=3,M67="F",SUMIF(C2:C170,C67,AS2:AS170)&gt;1),1,"")))</f>
        <v/>
      </c>
      <c r="AW67" s="462">
        <f>SUMIF(C2:C170,C67,O2:O170)</f>
        <v>1</v>
      </c>
      <c r="AX67" s="462">
        <f>IF(AND(M67="F",AS67&lt;&gt;0),SUMIF(C2:C170,C67,W2:W170),0)</f>
        <v>72321.600000000006</v>
      </c>
      <c r="AY67" s="462">
        <f t="shared" ref="AY67:AY130" si="19">IF(AT67=1,W67,"")</f>
        <v>72321.600000000006</v>
      </c>
      <c r="AZ67" s="462" t="str">
        <f t="shared" ref="AZ67:AZ130" si="20">IF(AT67=3,W67,"")</f>
        <v/>
      </c>
      <c r="BA67" s="462">
        <f t="shared" ref="BA67:BA130" si="21">IF(AT67=1,Y67-W67,0)</f>
        <v>0</v>
      </c>
      <c r="BB67" s="462">
        <f>IF(AND(AT67=1,AK67="E",AU67&gt;=0.75,AW67=1),Health,IF(AND(AT67=1,AK67="E",AU67&gt;=0.75),Health*P67,IF(AND(AT67=1,AK67="E",AU67&gt;=0.5,AW67=1),PTHealth,IF(AND(AT67=1,AK67="E",AU67&gt;=0.5),PTHealth*P67,0))))</f>
        <v>11650</v>
      </c>
      <c r="BC67" s="462">
        <f>IF(AND(AT67=3,AK67="E",AV67&gt;=0.75,AW67=1),Health,IF(AND(AT67=3,AK67="E",AV67&gt;=0.75),Health*P67,IF(AND(AT67=3,AK67="E",AV67&gt;=0.5,AW67=1),PTHealth,IF(AND(AT67=3,AK67="E",AV67&gt;=0.5),PTHealth*P67,0))))</f>
        <v>0</v>
      </c>
      <c r="BD67" s="462">
        <f>IF(AND(AT67&lt;&gt;0,AX67&gt;=MAXSSDI),SSDI*MAXSSDI*P67,IF(AT67&lt;&gt;0,SSDI*W67,0))</f>
        <v>4483.9392000000007</v>
      </c>
      <c r="BE67" s="462">
        <f>IF(AT67&lt;&gt;0,SSHI*W67,0)</f>
        <v>1048.6632000000002</v>
      </c>
      <c r="BF67" s="462">
        <f>IF(AND(AT67&lt;&gt;0,AN67&lt;&gt;"NE"),VLOOKUP(AN67,Retirement_Rates,3,FALSE)*W67,0)</f>
        <v>8635.1990400000013</v>
      </c>
      <c r="BG67" s="462">
        <f>IF(AND(AT67&lt;&gt;0,AJ67&lt;&gt;"PF"),Life*W67,0)</f>
        <v>521.43873600000006</v>
      </c>
      <c r="BH67" s="462">
        <f>IF(AND(AT67&lt;&gt;0,AM67="Y"),UI*W67,0)</f>
        <v>354.37584000000004</v>
      </c>
      <c r="BI67" s="462">
        <f>IF(AND(AT67&lt;&gt;0,N67&lt;&gt;"NR"),DHR*W67,0)</f>
        <v>400.66166400000003</v>
      </c>
      <c r="BJ67" s="462">
        <f>IF(AT67&lt;&gt;0,WC*W67,0)</f>
        <v>144.64320000000001</v>
      </c>
      <c r="BK67" s="462">
        <f>IF(OR(AND(AT67&lt;&gt;0,AJ67&lt;&gt;"PF",AN67&lt;&gt;"NE",AG67&lt;&gt;"A"),AND(AL67="E",OR(AT67=1,AT67=3))),Sick*W67,0)</f>
        <v>0</v>
      </c>
      <c r="BL67" s="462">
        <f t="shared" ref="BL67:BL130" si="22">IF(AT67=1,SUM(BD67:BK67),0)</f>
        <v>15588.920880000003</v>
      </c>
      <c r="BM67" s="462">
        <f t="shared" ref="BM67:BM130" si="23">IF(AT67=3,SUM(BD67:BK67),0)</f>
        <v>0</v>
      </c>
      <c r="BN67" s="462">
        <f>IF(AND(AT67=1,AK67="E",AU67&gt;=0.75,AW67=1),HealthBY,IF(AND(AT67=1,AK67="E",AU67&gt;=0.75),HealthBY*P67,IF(AND(AT67=1,AK67="E",AU67&gt;=0.5,AW67=1),PTHealthBY,IF(AND(AT67=1,AK67="E",AU67&gt;=0.5),PTHealthBY*P67,0))))</f>
        <v>11650</v>
      </c>
      <c r="BO67" s="462">
        <f>IF(AND(AT67=3,AK67="E",AV67&gt;=0.75,AW67=1),HealthBY,IF(AND(AT67=3,AK67="E",AV67&gt;=0.75),HealthBY*P67,IF(AND(AT67=3,AK67="E",AV67&gt;=0.5,AW67=1),PTHealthBY,IF(AND(AT67=3,AK67="E",AV67&gt;=0.5),PTHealthBY*P67,0))))</f>
        <v>0</v>
      </c>
      <c r="BP67" s="462">
        <f>IF(AND(AT67&lt;&gt;0,(AX67+BA67)&gt;=MAXSSDIBY),SSDIBY*MAXSSDIBY*P67,IF(AT67&lt;&gt;0,SSDIBY*W67,0))</f>
        <v>4483.9392000000007</v>
      </c>
      <c r="BQ67" s="462">
        <f>IF(AT67&lt;&gt;0,SSHIBY*W67,0)</f>
        <v>1048.6632000000002</v>
      </c>
      <c r="BR67" s="462">
        <f>IF(AND(AT67&lt;&gt;0,AN67&lt;&gt;"NE"),VLOOKUP(AN67,Retirement_Rates,4,FALSE)*W67,0)</f>
        <v>8635.1990400000013</v>
      </c>
      <c r="BS67" s="462">
        <f>IF(AND(AT67&lt;&gt;0,AJ67&lt;&gt;"PF"),LifeBY*W67,0)</f>
        <v>521.43873600000006</v>
      </c>
      <c r="BT67" s="462">
        <f>IF(AND(AT67&lt;&gt;0,AM67="Y"),UIBY*W67,0)</f>
        <v>0</v>
      </c>
      <c r="BU67" s="462">
        <f>IF(AND(AT67&lt;&gt;0,N67&lt;&gt;"NR"),DHRBY*W67,0)</f>
        <v>400.66166400000003</v>
      </c>
      <c r="BV67" s="462">
        <f>IF(AT67&lt;&gt;0,WCBY*W67,0)</f>
        <v>122.94672</v>
      </c>
      <c r="BW67" s="462">
        <f>IF(OR(AND(AT67&lt;&gt;0,AJ67&lt;&gt;"PF",AN67&lt;&gt;"NE",AG67&lt;&gt;"A"),AND(AL67="E",OR(AT67=1,AT67=3))),SickBY*W67,0)</f>
        <v>0</v>
      </c>
      <c r="BX67" s="462">
        <f t="shared" ref="BX67:BX130" si="24">IF(AT67=1,SUM(BP67:BW67),0)</f>
        <v>15212.848560000002</v>
      </c>
      <c r="BY67" s="462">
        <f t="shared" ref="BY67:BY130" si="25">IF(AT67=3,SUM(BP67:BW67),0)</f>
        <v>0</v>
      </c>
      <c r="BZ67" s="462">
        <f t="shared" ref="BZ67:BZ130" si="26">IF(AT67=1,BN67-BB67,0)</f>
        <v>0</v>
      </c>
      <c r="CA67" s="462">
        <f t="shared" ref="CA67:CA130" si="27">IF(AT67=3,BO67-BC67,0)</f>
        <v>0</v>
      </c>
      <c r="CB67" s="462">
        <f t="shared" ref="CB67:CB130" si="28">BP67-BD67</f>
        <v>0</v>
      </c>
      <c r="CC67" s="462">
        <f>IF(AT67&lt;&gt;0,SSHICHG*Y67,0)</f>
        <v>0</v>
      </c>
      <c r="CD67" s="462">
        <f>IF(AND(AT67&lt;&gt;0,AN67&lt;&gt;"NE"),VLOOKUP(AN67,Retirement_Rates,5,FALSE)*Y67,0)</f>
        <v>0</v>
      </c>
      <c r="CE67" s="462">
        <f>IF(AND(AT67&lt;&gt;0,AJ67&lt;&gt;"PF"),LifeCHG*Y67,0)</f>
        <v>0</v>
      </c>
      <c r="CF67" s="462">
        <f>IF(AND(AT67&lt;&gt;0,AM67="Y"),UICHG*Y67,0)</f>
        <v>-354.37584000000004</v>
      </c>
      <c r="CG67" s="462">
        <f>IF(AND(AT67&lt;&gt;0,N67&lt;&gt;"NR"),DHRCHG*Y67,0)</f>
        <v>0</v>
      </c>
      <c r="CH67" s="462">
        <f>IF(AT67&lt;&gt;0,WCCHG*Y67,0)</f>
        <v>-21.696480000000012</v>
      </c>
      <c r="CI67" s="462">
        <f>IF(OR(AND(AT67&lt;&gt;0,AJ67&lt;&gt;"PF",AN67&lt;&gt;"NE",AG67&lt;&gt;"A"),AND(AL67="E",OR(AT67=1,AT67=3))),SickCHG*Y67,0)</f>
        <v>0</v>
      </c>
      <c r="CJ67" s="462">
        <f t="shared" ref="CJ67:CJ130" si="29">IF(AT67=1,SUM(CB67:CI67),0)</f>
        <v>-376.07232000000005</v>
      </c>
      <c r="CK67" s="462" t="str">
        <f t="shared" ref="CK67:CK130" si="30">IF(AT67=3,SUM(CB67:CI67),"")</f>
        <v/>
      </c>
      <c r="CL67" s="462" t="str">
        <f t="shared" ref="CL67:CL130" si="31">IF(OR(N67="NG",AG67="D"),(T67+U67),"")</f>
        <v/>
      </c>
      <c r="CM67" s="462" t="str">
        <f t="shared" ref="CM67:CM130" si="32">IF(OR(N67="NG",AG67="D"),V67,"")</f>
        <v/>
      </c>
      <c r="CN67" s="462" t="str">
        <f t="shared" ref="CN67:CN130" si="33">E67 &amp; "-" &amp; F67</f>
        <v>0450-38</v>
      </c>
    </row>
    <row r="68" spans="1:92" ht="15" thickBot="1" x14ac:dyDescent="0.35">
      <c r="A68" s="376" t="s">
        <v>161</v>
      </c>
      <c r="B68" s="376" t="s">
        <v>162</v>
      </c>
      <c r="C68" s="376" t="s">
        <v>306</v>
      </c>
      <c r="D68" s="376" t="s">
        <v>298</v>
      </c>
      <c r="E68" s="376" t="s">
        <v>314</v>
      </c>
      <c r="F68" s="382" t="s">
        <v>406</v>
      </c>
      <c r="G68" s="376" t="s">
        <v>167</v>
      </c>
      <c r="H68" s="378"/>
      <c r="I68" s="378"/>
      <c r="J68" s="376" t="s">
        <v>168</v>
      </c>
      <c r="K68" s="376" t="s">
        <v>307</v>
      </c>
      <c r="L68" s="376" t="s">
        <v>216</v>
      </c>
      <c r="M68" s="376" t="s">
        <v>171</v>
      </c>
      <c r="N68" s="376" t="s">
        <v>172</v>
      </c>
      <c r="O68" s="379">
        <v>1</v>
      </c>
      <c r="P68" s="460">
        <v>0</v>
      </c>
      <c r="Q68" s="460">
        <v>0</v>
      </c>
      <c r="R68" s="380">
        <v>80</v>
      </c>
      <c r="S68" s="460">
        <v>0</v>
      </c>
      <c r="T68" s="380">
        <v>57051.44</v>
      </c>
      <c r="U68" s="380">
        <v>0</v>
      </c>
      <c r="V68" s="380">
        <v>22102.75</v>
      </c>
      <c r="W68" s="380">
        <v>0</v>
      </c>
      <c r="X68" s="380">
        <v>0</v>
      </c>
      <c r="Y68" s="380">
        <v>0</v>
      </c>
      <c r="Z68" s="380">
        <v>0</v>
      </c>
      <c r="AA68" s="376" t="s">
        <v>308</v>
      </c>
      <c r="AB68" s="376" t="s">
        <v>309</v>
      </c>
      <c r="AC68" s="376" t="s">
        <v>310</v>
      </c>
      <c r="AD68" s="376" t="s">
        <v>216</v>
      </c>
      <c r="AE68" s="376" t="s">
        <v>307</v>
      </c>
      <c r="AF68" s="376" t="s">
        <v>311</v>
      </c>
      <c r="AG68" s="376" t="s">
        <v>178</v>
      </c>
      <c r="AH68" s="381">
        <v>31.89</v>
      </c>
      <c r="AI68" s="381">
        <v>19197.099999999999</v>
      </c>
      <c r="AJ68" s="376" t="s">
        <v>179</v>
      </c>
      <c r="AK68" s="376" t="s">
        <v>180</v>
      </c>
      <c r="AL68" s="376" t="s">
        <v>181</v>
      </c>
      <c r="AM68" s="376" t="s">
        <v>182</v>
      </c>
      <c r="AN68" s="376" t="s">
        <v>68</v>
      </c>
      <c r="AO68" s="379">
        <v>80</v>
      </c>
      <c r="AP68" s="460">
        <v>1</v>
      </c>
      <c r="AQ68" s="460">
        <v>0</v>
      </c>
      <c r="AR68" s="458" t="s">
        <v>183</v>
      </c>
      <c r="AS68" s="462">
        <f t="shared" si="17"/>
        <v>0</v>
      </c>
      <c r="AT68">
        <f t="shared" si="18"/>
        <v>0</v>
      </c>
      <c r="AU68" s="462" t="str">
        <f>IF(AT68=0,"",IF(AND(AT68=1,M68="F",SUMIF(C2:C170,C68,AS2:AS170)&lt;=1),SUMIF(C2:C170,C68,AS2:AS170),IF(AND(AT68=1,M68="F",SUMIF(C2:C170,C68,AS2:AS170)&gt;1),1,"")))</f>
        <v/>
      </c>
      <c r="AV68" s="462" t="str">
        <f>IF(AT68=0,"",IF(AND(AT68=3,M68="F",SUMIF(C2:C170,C68,AS2:AS170)&lt;=1),SUMIF(C2:C170,C68,AS2:AS170),IF(AND(AT68=3,M68="F",SUMIF(C2:C170,C68,AS2:AS170)&gt;1),1,"")))</f>
        <v/>
      </c>
      <c r="AW68" s="462">
        <f>SUMIF(C2:C170,C68,O2:O170)</f>
        <v>2</v>
      </c>
      <c r="AX68" s="462">
        <f>IF(AND(M68="F",AS68&lt;&gt;0),SUMIF(C2:C170,C68,W2:W170),0)</f>
        <v>0</v>
      </c>
      <c r="AY68" s="462" t="str">
        <f t="shared" si="19"/>
        <v/>
      </c>
      <c r="AZ68" s="462" t="str">
        <f t="shared" si="20"/>
        <v/>
      </c>
      <c r="BA68" s="462">
        <f t="shared" si="21"/>
        <v>0</v>
      </c>
      <c r="BB68" s="462">
        <f>IF(AND(AT68=1,AK68="E",AU68&gt;=0.75,AW68=1),Health,IF(AND(AT68=1,AK68="E",AU68&gt;=0.75),Health*P68,IF(AND(AT68=1,AK68="E",AU68&gt;=0.5,AW68=1),PTHealth,IF(AND(AT68=1,AK68="E",AU68&gt;=0.5),PTHealth*P68,0))))</f>
        <v>0</v>
      </c>
      <c r="BC68" s="462">
        <f>IF(AND(AT68=3,AK68="E",AV68&gt;=0.75,AW68=1),Health,IF(AND(AT68=3,AK68="E",AV68&gt;=0.75),Health*P68,IF(AND(AT68=3,AK68="E",AV68&gt;=0.5,AW68=1),PTHealth,IF(AND(AT68=3,AK68="E",AV68&gt;=0.5),PTHealth*P68,0))))</f>
        <v>0</v>
      </c>
      <c r="BD68" s="462">
        <f>IF(AND(AT68&lt;&gt;0,AX68&gt;=MAXSSDI),SSDI*MAXSSDI*P68,IF(AT68&lt;&gt;0,SSDI*W68,0))</f>
        <v>0</v>
      </c>
      <c r="BE68" s="462">
        <f>IF(AT68&lt;&gt;0,SSHI*W68,0)</f>
        <v>0</v>
      </c>
      <c r="BF68" s="462">
        <f>IF(AND(AT68&lt;&gt;0,AN68&lt;&gt;"NE"),VLOOKUP(AN68,Retirement_Rates,3,FALSE)*W68,0)</f>
        <v>0</v>
      </c>
      <c r="BG68" s="462">
        <f>IF(AND(AT68&lt;&gt;0,AJ68&lt;&gt;"PF"),Life*W68,0)</f>
        <v>0</v>
      </c>
      <c r="BH68" s="462">
        <f>IF(AND(AT68&lt;&gt;0,AM68="Y"),UI*W68,0)</f>
        <v>0</v>
      </c>
      <c r="BI68" s="462">
        <f>IF(AND(AT68&lt;&gt;0,N68&lt;&gt;"NR"),DHR*W68,0)</f>
        <v>0</v>
      </c>
      <c r="BJ68" s="462">
        <f>IF(AT68&lt;&gt;0,WC*W68,0)</f>
        <v>0</v>
      </c>
      <c r="BK68" s="462">
        <f>IF(OR(AND(AT68&lt;&gt;0,AJ68&lt;&gt;"PF",AN68&lt;&gt;"NE",AG68&lt;&gt;"A"),AND(AL68="E",OR(AT68=1,AT68=3))),Sick*W68,0)</f>
        <v>0</v>
      </c>
      <c r="BL68" s="462">
        <f t="shared" si="22"/>
        <v>0</v>
      </c>
      <c r="BM68" s="462">
        <f t="shared" si="23"/>
        <v>0</v>
      </c>
      <c r="BN68" s="462">
        <f>IF(AND(AT68=1,AK68="E",AU68&gt;=0.75,AW68=1),HealthBY,IF(AND(AT68=1,AK68="E",AU68&gt;=0.75),HealthBY*P68,IF(AND(AT68=1,AK68="E",AU68&gt;=0.5,AW68=1),PTHealthBY,IF(AND(AT68=1,AK68="E",AU68&gt;=0.5),PTHealthBY*P68,0))))</f>
        <v>0</v>
      </c>
      <c r="BO68" s="462">
        <f>IF(AND(AT68=3,AK68="E",AV68&gt;=0.75,AW68=1),HealthBY,IF(AND(AT68=3,AK68="E",AV68&gt;=0.75),HealthBY*P68,IF(AND(AT68=3,AK68="E",AV68&gt;=0.5,AW68=1),PTHealthBY,IF(AND(AT68=3,AK68="E",AV68&gt;=0.5),PTHealthBY*P68,0))))</f>
        <v>0</v>
      </c>
      <c r="BP68" s="462">
        <f>IF(AND(AT68&lt;&gt;0,(AX68+BA68)&gt;=MAXSSDIBY),SSDIBY*MAXSSDIBY*P68,IF(AT68&lt;&gt;0,SSDIBY*W68,0))</f>
        <v>0</v>
      </c>
      <c r="BQ68" s="462">
        <f>IF(AT68&lt;&gt;0,SSHIBY*W68,0)</f>
        <v>0</v>
      </c>
      <c r="BR68" s="462">
        <f>IF(AND(AT68&lt;&gt;0,AN68&lt;&gt;"NE"),VLOOKUP(AN68,Retirement_Rates,4,FALSE)*W68,0)</f>
        <v>0</v>
      </c>
      <c r="BS68" s="462">
        <f>IF(AND(AT68&lt;&gt;0,AJ68&lt;&gt;"PF"),LifeBY*W68,0)</f>
        <v>0</v>
      </c>
      <c r="BT68" s="462">
        <f>IF(AND(AT68&lt;&gt;0,AM68="Y"),UIBY*W68,0)</f>
        <v>0</v>
      </c>
      <c r="BU68" s="462">
        <f>IF(AND(AT68&lt;&gt;0,N68&lt;&gt;"NR"),DHRBY*W68,0)</f>
        <v>0</v>
      </c>
      <c r="BV68" s="462">
        <f>IF(AT68&lt;&gt;0,WCBY*W68,0)</f>
        <v>0</v>
      </c>
      <c r="BW68" s="462">
        <f>IF(OR(AND(AT68&lt;&gt;0,AJ68&lt;&gt;"PF",AN68&lt;&gt;"NE",AG68&lt;&gt;"A"),AND(AL68="E",OR(AT68=1,AT68=3))),SickBY*W68,0)</f>
        <v>0</v>
      </c>
      <c r="BX68" s="462">
        <f t="shared" si="24"/>
        <v>0</v>
      </c>
      <c r="BY68" s="462">
        <f t="shared" si="25"/>
        <v>0</v>
      </c>
      <c r="BZ68" s="462">
        <f t="shared" si="26"/>
        <v>0</v>
      </c>
      <c r="CA68" s="462">
        <f t="shared" si="27"/>
        <v>0</v>
      </c>
      <c r="CB68" s="462">
        <f t="shared" si="28"/>
        <v>0</v>
      </c>
      <c r="CC68" s="462">
        <f>IF(AT68&lt;&gt;0,SSHICHG*Y68,0)</f>
        <v>0</v>
      </c>
      <c r="CD68" s="462">
        <f>IF(AND(AT68&lt;&gt;0,AN68&lt;&gt;"NE"),VLOOKUP(AN68,Retirement_Rates,5,FALSE)*Y68,0)</f>
        <v>0</v>
      </c>
      <c r="CE68" s="462">
        <f>IF(AND(AT68&lt;&gt;0,AJ68&lt;&gt;"PF"),LifeCHG*Y68,0)</f>
        <v>0</v>
      </c>
      <c r="CF68" s="462">
        <f>IF(AND(AT68&lt;&gt;0,AM68="Y"),UICHG*Y68,0)</f>
        <v>0</v>
      </c>
      <c r="CG68" s="462">
        <f>IF(AND(AT68&lt;&gt;0,N68&lt;&gt;"NR"),DHRCHG*Y68,0)</f>
        <v>0</v>
      </c>
      <c r="CH68" s="462">
        <f>IF(AT68&lt;&gt;0,WCCHG*Y68,0)</f>
        <v>0</v>
      </c>
      <c r="CI68" s="462">
        <f>IF(OR(AND(AT68&lt;&gt;0,AJ68&lt;&gt;"PF",AN68&lt;&gt;"NE",AG68&lt;&gt;"A"),AND(AL68="E",OR(AT68=1,AT68=3))),SickCHG*Y68,0)</f>
        <v>0</v>
      </c>
      <c r="CJ68" s="462">
        <f t="shared" si="29"/>
        <v>0</v>
      </c>
      <c r="CK68" s="462" t="str">
        <f t="shared" si="30"/>
        <v/>
      </c>
      <c r="CL68" s="462" t="str">
        <f t="shared" si="31"/>
        <v/>
      </c>
      <c r="CM68" s="462" t="str">
        <f t="shared" si="32"/>
        <v/>
      </c>
      <c r="CN68" s="462" t="str">
        <f t="shared" si="33"/>
        <v>0450-38</v>
      </c>
    </row>
    <row r="69" spans="1:92" ht="15" thickBot="1" x14ac:dyDescent="0.35">
      <c r="A69" s="376" t="s">
        <v>161</v>
      </c>
      <c r="B69" s="376" t="s">
        <v>162</v>
      </c>
      <c r="C69" s="376" t="s">
        <v>487</v>
      </c>
      <c r="D69" s="376" t="s">
        <v>356</v>
      </c>
      <c r="E69" s="376" t="s">
        <v>314</v>
      </c>
      <c r="F69" s="382" t="s">
        <v>406</v>
      </c>
      <c r="G69" s="376" t="s">
        <v>167</v>
      </c>
      <c r="H69" s="378"/>
      <c r="I69" s="378"/>
      <c r="J69" s="376" t="s">
        <v>168</v>
      </c>
      <c r="K69" s="376" t="s">
        <v>372</v>
      </c>
      <c r="L69" s="376" t="s">
        <v>220</v>
      </c>
      <c r="M69" s="376" t="s">
        <v>171</v>
      </c>
      <c r="N69" s="376" t="s">
        <v>172</v>
      </c>
      <c r="O69" s="379">
        <v>1</v>
      </c>
      <c r="P69" s="460">
        <v>1</v>
      </c>
      <c r="Q69" s="460">
        <v>1</v>
      </c>
      <c r="R69" s="380">
        <v>80</v>
      </c>
      <c r="S69" s="460">
        <v>1</v>
      </c>
      <c r="T69" s="380">
        <v>59854.45</v>
      </c>
      <c r="U69" s="380">
        <v>0</v>
      </c>
      <c r="V69" s="380">
        <v>25046.3</v>
      </c>
      <c r="W69" s="380">
        <v>61068.800000000003</v>
      </c>
      <c r="X69" s="380">
        <v>24813.34</v>
      </c>
      <c r="Y69" s="380">
        <v>61068.800000000003</v>
      </c>
      <c r="Z69" s="380">
        <v>24495.79</v>
      </c>
      <c r="AA69" s="376" t="s">
        <v>488</v>
      </c>
      <c r="AB69" s="376" t="s">
        <v>489</v>
      </c>
      <c r="AC69" s="376" t="s">
        <v>490</v>
      </c>
      <c r="AD69" s="376" t="s">
        <v>491</v>
      </c>
      <c r="AE69" s="376" t="s">
        <v>372</v>
      </c>
      <c r="AF69" s="376" t="s">
        <v>224</v>
      </c>
      <c r="AG69" s="376" t="s">
        <v>178</v>
      </c>
      <c r="AH69" s="381">
        <v>29.36</v>
      </c>
      <c r="AI69" s="381">
        <v>6509.5</v>
      </c>
      <c r="AJ69" s="376" t="s">
        <v>179</v>
      </c>
      <c r="AK69" s="376" t="s">
        <v>180</v>
      </c>
      <c r="AL69" s="376" t="s">
        <v>181</v>
      </c>
      <c r="AM69" s="376" t="s">
        <v>182</v>
      </c>
      <c r="AN69" s="376" t="s">
        <v>68</v>
      </c>
      <c r="AO69" s="379">
        <v>80</v>
      </c>
      <c r="AP69" s="460">
        <v>1</v>
      </c>
      <c r="AQ69" s="460">
        <v>1</v>
      </c>
      <c r="AR69" s="458" t="s">
        <v>183</v>
      </c>
      <c r="AS69" s="462">
        <f t="shared" si="17"/>
        <v>1</v>
      </c>
      <c r="AT69">
        <f t="shared" si="18"/>
        <v>1</v>
      </c>
      <c r="AU69" s="462">
        <f>IF(AT69=0,"",IF(AND(AT69=1,M69="F",SUMIF(C2:C170,C69,AS2:AS170)&lt;=1),SUMIF(C2:C170,C69,AS2:AS170),IF(AND(AT69=1,M69="F",SUMIF(C2:C170,C69,AS2:AS170)&gt;1),1,"")))</f>
        <v>1</v>
      </c>
      <c r="AV69" s="462" t="str">
        <f>IF(AT69=0,"",IF(AND(AT69=3,M69="F",SUMIF(C2:C170,C69,AS2:AS170)&lt;=1),SUMIF(C2:C170,C69,AS2:AS170),IF(AND(AT69=3,M69="F",SUMIF(C2:C170,C69,AS2:AS170)&gt;1),1,"")))</f>
        <v/>
      </c>
      <c r="AW69" s="462">
        <f>SUMIF(C2:C170,C69,O2:O170)</f>
        <v>1</v>
      </c>
      <c r="AX69" s="462">
        <f>IF(AND(M69="F",AS69&lt;&gt;0),SUMIF(C2:C170,C69,W2:W170),0)</f>
        <v>61068.800000000003</v>
      </c>
      <c r="AY69" s="462">
        <f t="shared" si="19"/>
        <v>61068.800000000003</v>
      </c>
      <c r="AZ69" s="462" t="str">
        <f t="shared" si="20"/>
        <v/>
      </c>
      <c r="BA69" s="462">
        <f t="shared" si="21"/>
        <v>0</v>
      </c>
      <c r="BB69" s="462">
        <f>IF(AND(AT69=1,AK69="E",AU69&gt;=0.75,AW69=1),Health,IF(AND(AT69=1,AK69="E",AU69&gt;=0.75),Health*P69,IF(AND(AT69=1,AK69="E",AU69&gt;=0.5,AW69=1),PTHealth,IF(AND(AT69=1,AK69="E",AU69&gt;=0.5),PTHealth*P69,0))))</f>
        <v>11650</v>
      </c>
      <c r="BC69" s="462">
        <f>IF(AND(AT69=3,AK69="E",AV69&gt;=0.75,AW69=1),Health,IF(AND(AT69=3,AK69="E",AV69&gt;=0.75),Health*P69,IF(AND(AT69=3,AK69="E",AV69&gt;=0.5,AW69=1),PTHealth,IF(AND(AT69=3,AK69="E",AV69&gt;=0.5),PTHealth*P69,0))))</f>
        <v>0</v>
      </c>
      <c r="BD69" s="462">
        <f>IF(AND(AT69&lt;&gt;0,AX69&gt;=MAXSSDI),SSDI*MAXSSDI*P69,IF(AT69&lt;&gt;0,SSDI*W69,0))</f>
        <v>3786.2656000000002</v>
      </c>
      <c r="BE69" s="462">
        <f>IF(AT69&lt;&gt;0,SSHI*W69,0)</f>
        <v>885.49760000000003</v>
      </c>
      <c r="BF69" s="462">
        <f>IF(AND(AT69&lt;&gt;0,AN69&lt;&gt;"NE"),VLOOKUP(AN69,Retirement_Rates,3,FALSE)*W69,0)</f>
        <v>7291.6147200000005</v>
      </c>
      <c r="BG69" s="462">
        <f>IF(AND(AT69&lt;&gt;0,AJ69&lt;&gt;"PF"),Life*W69,0)</f>
        <v>440.30604800000003</v>
      </c>
      <c r="BH69" s="462">
        <f>IF(AND(AT69&lt;&gt;0,AM69="Y"),UI*W69,0)</f>
        <v>299.23712</v>
      </c>
      <c r="BI69" s="462">
        <f>IF(AND(AT69&lt;&gt;0,N69&lt;&gt;"NR"),DHR*W69,0)</f>
        <v>338.32115199999998</v>
      </c>
      <c r="BJ69" s="462">
        <f>IF(AT69&lt;&gt;0,WC*W69,0)</f>
        <v>122.13760000000001</v>
      </c>
      <c r="BK69" s="462">
        <f>IF(OR(AND(AT69&lt;&gt;0,AJ69&lt;&gt;"PF",AN69&lt;&gt;"NE",AG69&lt;&gt;"A"),AND(AL69="E",OR(AT69=1,AT69=3))),Sick*W69,0)</f>
        <v>0</v>
      </c>
      <c r="BL69" s="462">
        <f t="shared" si="22"/>
        <v>13163.379840000001</v>
      </c>
      <c r="BM69" s="462">
        <f t="shared" si="23"/>
        <v>0</v>
      </c>
      <c r="BN69" s="462">
        <f>IF(AND(AT69=1,AK69="E",AU69&gt;=0.75,AW69=1),HealthBY,IF(AND(AT69=1,AK69="E",AU69&gt;=0.75),HealthBY*P69,IF(AND(AT69=1,AK69="E",AU69&gt;=0.5,AW69=1),PTHealthBY,IF(AND(AT69=1,AK69="E",AU69&gt;=0.5),PTHealthBY*P69,0))))</f>
        <v>11650</v>
      </c>
      <c r="BO69" s="462">
        <f>IF(AND(AT69=3,AK69="E",AV69&gt;=0.75,AW69=1),HealthBY,IF(AND(AT69=3,AK69="E",AV69&gt;=0.75),HealthBY*P69,IF(AND(AT69=3,AK69="E",AV69&gt;=0.5,AW69=1),PTHealthBY,IF(AND(AT69=3,AK69="E",AV69&gt;=0.5),PTHealthBY*P69,0))))</f>
        <v>0</v>
      </c>
      <c r="BP69" s="462">
        <f>IF(AND(AT69&lt;&gt;0,(AX69+BA69)&gt;=MAXSSDIBY),SSDIBY*MAXSSDIBY*P69,IF(AT69&lt;&gt;0,SSDIBY*W69,0))</f>
        <v>3786.2656000000002</v>
      </c>
      <c r="BQ69" s="462">
        <f>IF(AT69&lt;&gt;0,SSHIBY*W69,0)</f>
        <v>885.49760000000003</v>
      </c>
      <c r="BR69" s="462">
        <f>IF(AND(AT69&lt;&gt;0,AN69&lt;&gt;"NE"),VLOOKUP(AN69,Retirement_Rates,4,FALSE)*W69,0)</f>
        <v>7291.6147200000005</v>
      </c>
      <c r="BS69" s="462">
        <f>IF(AND(AT69&lt;&gt;0,AJ69&lt;&gt;"PF"),LifeBY*W69,0)</f>
        <v>440.30604800000003</v>
      </c>
      <c r="BT69" s="462">
        <f>IF(AND(AT69&lt;&gt;0,AM69="Y"),UIBY*W69,0)</f>
        <v>0</v>
      </c>
      <c r="BU69" s="462">
        <f>IF(AND(AT69&lt;&gt;0,N69&lt;&gt;"NR"),DHRBY*W69,0)</f>
        <v>338.32115199999998</v>
      </c>
      <c r="BV69" s="462">
        <f>IF(AT69&lt;&gt;0,WCBY*W69,0)</f>
        <v>103.81695999999999</v>
      </c>
      <c r="BW69" s="462">
        <f>IF(OR(AND(AT69&lt;&gt;0,AJ69&lt;&gt;"PF",AN69&lt;&gt;"NE",AG69&lt;&gt;"A"),AND(AL69="E",OR(AT69=1,AT69=3))),SickBY*W69,0)</f>
        <v>0</v>
      </c>
      <c r="BX69" s="462">
        <f t="shared" si="24"/>
        <v>12845.822080000002</v>
      </c>
      <c r="BY69" s="462">
        <f t="shared" si="25"/>
        <v>0</v>
      </c>
      <c r="BZ69" s="462">
        <f t="shared" si="26"/>
        <v>0</v>
      </c>
      <c r="CA69" s="462">
        <f t="shared" si="27"/>
        <v>0</v>
      </c>
      <c r="CB69" s="462">
        <f t="shared" si="28"/>
        <v>0</v>
      </c>
      <c r="CC69" s="462">
        <f>IF(AT69&lt;&gt;0,SSHICHG*Y69,0)</f>
        <v>0</v>
      </c>
      <c r="CD69" s="462">
        <f>IF(AND(AT69&lt;&gt;0,AN69&lt;&gt;"NE"),VLOOKUP(AN69,Retirement_Rates,5,FALSE)*Y69,0)</f>
        <v>0</v>
      </c>
      <c r="CE69" s="462">
        <f>IF(AND(AT69&lt;&gt;0,AJ69&lt;&gt;"PF"),LifeCHG*Y69,0)</f>
        <v>0</v>
      </c>
      <c r="CF69" s="462">
        <f>IF(AND(AT69&lt;&gt;0,AM69="Y"),UICHG*Y69,0)</f>
        <v>-299.23712</v>
      </c>
      <c r="CG69" s="462">
        <f>IF(AND(AT69&lt;&gt;0,N69&lt;&gt;"NR"),DHRCHG*Y69,0)</f>
        <v>0</v>
      </c>
      <c r="CH69" s="462">
        <f>IF(AT69&lt;&gt;0,WCCHG*Y69,0)</f>
        <v>-18.320640000000008</v>
      </c>
      <c r="CI69" s="462">
        <f>IF(OR(AND(AT69&lt;&gt;0,AJ69&lt;&gt;"PF",AN69&lt;&gt;"NE",AG69&lt;&gt;"A"),AND(AL69="E",OR(AT69=1,AT69=3))),SickCHG*Y69,0)</f>
        <v>0</v>
      </c>
      <c r="CJ69" s="462">
        <f t="shared" si="29"/>
        <v>-317.55776000000003</v>
      </c>
      <c r="CK69" s="462" t="str">
        <f t="shared" si="30"/>
        <v/>
      </c>
      <c r="CL69" s="462" t="str">
        <f t="shared" si="31"/>
        <v/>
      </c>
      <c r="CM69" s="462" t="str">
        <f t="shared" si="32"/>
        <v/>
      </c>
      <c r="CN69" s="462" t="str">
        <f t="shared" si="33"/>
        <v>0450-38</v>
      </c>
    </row>
    <row r="70" spans="1:92" ht="15" thickBot="1" x14ac:dyDescent="0.35">
      <c r="A70" s="376" t="s">
        <v>161</v>
      </c>
      <c r="B70" s="376" t="s">
        <v>162</v>
      </c>
      <c r="C70" s="376" t="s">
        <v>196</v>
      </c>
      <c r="D70" s="376" t="s">
        <v>164</v>
      </c>
      <c r="E70" s="376" t="s">
        <v>314</v>
      </c>
      <c r="F70" s="382" t="s">
        <v>406</v>
      </c>
      <c r="G70" s="376" t="s">
        <v>167</v>
      </c>
      <c r="H70" s="378"/>
      <c r="I70" s="378"/>
      <c r="J70" s="376" t="s">
        <v>168</v>
      </c>
      <c r="K70" s="376" t="s">
        <v>169</v>
      </c>
      <c r="L70" s="376" t="s">
        <v>170</v>
      </c>
      <c r="M70" s="376" t="s">
        <v>171</v>
      </c>
      <c r="N70" s="376" t="s">
        <v>172</v>
      </c>
      <c r="O70" s="379">
        <v>1</v>
      </c>
      <c r="P70" s="460">
        <v>1</v>
      </c>
      <c r="Q70" s="460">
        <v>1</v>
      </c>
      <c r="R70" s="380">
        <v>80</v>
      </c>
      <c r="S70" s="460">
        <v>1</v>
      </c>
      <c r="T70" s="380">
        <v>16384</v>
      </c>
      <c r="U70" s="380">
        <v>0</v>
      </c>
      <c r="V70" s="380">
        <v>5361.26</v>
      </c>
      <c r="W70" s="380">
        <v>93496</v>
      </c>
      <c r="X70" s="380">
        <v>31803.040000000001</v>
      </c>
      <c r="Y70" s="380">
        <v>93496</v>
      </c>
      <c r="Z70" s="380">
        <v>31316.86</v>
      </c>
      <c r="AA70" s="376" t="s">
        <v>197</v>
      </c>
      <c r="AB70" s="376" t="s">
        <v>198</v>
      </c>
      <c r="AC70" s="376" t="s">
        <v>199</v>
      </c>
      <c r="AD70" s="376" t="s">
        <v>200</v>
      </c>
      <c r="AE70" s="376" t="s">
        <v>169</v>
      </c>
      <c r="AF70" s="376" t="s">
        <v>177</v>
      </c>
      <c r="AG70" s="376" t="s">
        <v>178</v>
      </c>
      <c r="AH70" s="381">
        <v>44.95</v>
      </c>
      <c r="AI70" s="381">
        <v>17662.2</v>
      </c>
      <c r="AJ70" s="376" t="s">
        <v>179</v>
      </c>
      <c r="AK70" s="376" t="s">
        <v>180</v>
      </c>
      <c r="AL70" s="376" t="s">
        <v>181</v>
      </c>
      <c r="AM70" s="376" t="s">
        <v>182</v>
      </c>
      <c r="AN70" s="376" t="s">
        <v>68</v>
      </c>
      <c r="AO70" s="379">
        <v>80</v>
      </c>
      <c r="AP70" s="460">
        <v>1</v>
      </c>
      <c r="AQ70" s="460">
        <v>1</v>
      </c>
      <c r="AR70" s="458" t="s">
        <v>183</v>
      </c>
      <c r="AS70" s="462">
        <f t="shared" si="17"/>
        <v>1</v>
      </c>
      <c r="AT70">
        <f t="shared" si="18"/>
        <v>1</v>
      </c>
      <c r="AU70" s="462">
        <f>IF(AT70=0,"",IF(AND(AT70=1,M70="F",SUMIF(C2:C170,C70,AS2:AS170)&lt;=1),SUMIF(C2:C170,C70,AS2:AS170),IF(AND(AT70=1,M70="F",SUMIF(C2:C170,C70,AS2:AS170)&gt;1),1,"")))</f>
        <v>1</v>
      </c>
      <c r="AV70" s="462" t="str">
        <f>IF(AT70=0,"",IF(AND(AT70=3,M70="F",SUMIF(C2:C170,C70,AS2:AS170)&lt;=1),SUMIF(C2:C170,C70,AS2:AS170),IF(AND(AT70=3,M70="F",SUMIF(C2:C170,C70,AS2:AS170)&gt;1),1,"")))</f>
        <v/>
      </c>
      <c r="AW70" s="462">
        <f>SUMIF(C2:C170,C70,O2:O170)</f>
        <v>2</v>
      </c>
      <c r="AX70" s="462">
        <f>IF(AND(M70="F",AS70&lt;&gt;0),SUMIF(C2:C170,C70,W2:W170),0)</f>
        <v>93496</v>
      </c>
      <c r="AY70" s="462">
        <f t="shared" si="19"/>
        <v>93496</v>
      </c>
      <c r="AZ70" s="462" t="str">
        <f t="shared" si="20"/>
        <v/>
      </c>
      <c r="BA70" s="462">
        <f t="shared" si="21"/>
        <v>0</v>
      </c>
      <c r="BB70" s="462">
        <f>IF(AND(AT70=1,AK70="E",AU70&gt;=0.75,AW70=1),Health,IF(AND(AT70=1,AK70="E",AU70&gt;=0.75),Health*P70,IF(AND(AT70=1,AK70="E",AU70&gt;=0.5,AW70=1),PTHealth,IF(AND(AT70=1,AK70="E",AU70&gt;=0.5),PTHealth*P70,0))))</f>
        <v>11650</v>
      </c>
      <c r="BC70" s="462">
        <f>IF(AND(AT70=3,AK70="E",AV70&gt;=0.75,AW70=1),Health,IF(AND(AT70=3,AK70="E",AV70&gt;=0.75),Health*P70,IF(AND(AT70=3,AK70="E",AV70&gt;=0.5,AW70=1),PTHealth,IF(AND(AT70=3,AK70="E",AV70&gt;=0.5),PTHealth*P70,0))))</f>
        <v>0</v>
      </c>
      <c r="BD70" s="462">
        <f>IF(AND(AT70&lt;&gt;0,AX70&gt;=MAXSSDI),SSDI*MAXSSDI*P70,IF(AT70&lt;&gt;0,SSDI*W70,0))</f>
        <v>5796.7520000000004</v>
      </c>
      <c r="BE70" s="462">
        <f>IF(AT70&lt;&gt;0,SSHI*W70,0)</f>
        <v>1355.692</v>
      </c>
      <c r="BF70" s="462">
        <f>IF(AND(AT70&lt;&gt;0,AN70&lt;&gt;"NE"),VLOOKUP(AN70,Retirement_Rates,3,FALSE)*W70,0)</f>
        <v>11163.422400000001</v>
      </c>
      <c r="BG70" s="462">
        <f>IF(AND(AT70&lt;&gt;0,AJ70&lt;&gt;"PF"),Life*W70,0)</f>
        <v>674.10616000000005</v>
      </c>
      <c r="BH70" s="462">
        <f>IF(AND(AT70&lt;&gt;0,AM70="Y"),UI*W70,0)</f>
        <v>458.13040000000001</v>
      </c>
      <c r="BI70" s="462">
        <f>IF(AND(AT70&lt;&gt;0,N70&lt;&gt;"NR"),DHR*W70,0)</f>
        <v>517.96784000000002</v>
      </c>
      <c r="BJ70" s="462">
        <f>IF(AT70&lt;&gt;0,WC*W70,0)</f>
        <v>186.99199999999999</v>
      </c>
      <c r="BK70" s="462">
        <f>IF(OR(AND(AT70&lt;&gt;0,AJ70&lt;&gt;"PF",AN70&lt;&gt;"NE",AG70&lt;&gt;"A"),AND(AL70="E",OR(AT70=1,AT70=3))),Sick*W70,0)</f>
        <v>0</v>
      </c>
      <c r="BL70" s="462">
        <f t="shared" si="22"/>
        <v>20153.062800000003</v>
      </c>
      <c r="BM70" s="462">
        <f t="shared" si="23"/>
        <v>0</v>
      </c>
      <c r="BN70" s="462">
        <f>IF(AND(AT70=1,AK70="E",AU70&gt;=0.75,AW70=1),HealthBY,IF(AND(AT70=1,AK70="E",AU70&gt;=0.75),HealthBY*P70,IF(AND(AT70=1,AK70="E",AU70&gt;=0.5,AW70=1),PTHealthBY,IF(AND(AT70=1,AK70="E",AU70&gt;=0.5),PTHealthBY*P70,0))))</f>
        <v>11650</v>
      </c>
      <c r="BO70" s="462">
        <f>IF(AND(AT70=3,AK70="E",AV70&gt;=0.75,AW70=1),HealthBY,IF(AND(AT70=3,AK70="E",AV70&gt;=0.75),HealthBY*P70,IF(AND(AT70=3,AK70="E",AV70&gt;=0.5,AW70=1),PTHealthBY,IF(AND(AT70=3,AK70="E",AV70&gt;=0.5),PTHealthBY*P70,0))))</f>
        <v>0</v>
      </c>
      <c r="BP70" s="462">
        <f>IF(AND(AT70&lt;&gt;0,(AX70+BA70)&gt;=MAXSSDIBY),SSDIBY*MAXSSDIBY*P70,IF(AT70&lt;&gt;0,SSDIBY*W70,0))</f>
        <v>5796.7520000000004</v>
      </c>
      <c r="BQ70" s="462">
        <f>IF(AT70&lt;&gt;0,SSHIBY*W70,0)</f>
        <v>1355.692</v>
      </c>
      <c r="BR70" s="462">
        <f>IF(AND(AT70&lt;&gt;0,AN70&lt;&gt;"NE"),VLOOKUP(AN70,Retirement_Rates,4,FALSE)*W70,0)</f>
        <v>11163.422400000001</v>
      </c>
      <c r="BS70" s="462">
        <f>IF(AND(AT70&lt;&gt;0,AJ70&lt;&gt;"PF"),LifeBY*W70,0)</f>
        <v>674.10616000000005</v>
      </c>
      <c r="BT70" s="462">
        <f>IF(AND(AT70&lt;&gt;0,AM70="Y"),UIBY*W70,0)</f>
        <v>0</v>
      </c>
      <c r="BU70" s="462">
        <f>IF(AND(AT70&lt;&gt;0,N70&lt;&gt;"NR"),DHRBY*W70,0)</f>
        <v>517.96784000000002</v>
      </c>
      <c r="BV70" s="462">
        <f>IF(AT70&lt;&gt;0,WCBY*W70,0)</f>
        <v>158.94319999999999</v>
      </c>
      <c r="BW70" s="462">
        <f>IF(OR(AND(AT70&lt;&gt;0,AJ70&lt;&gt;"PF",AN70&lt;&gt;"NE",AG70&lt;&gt;"A"),AND(AL70="E",OR(AT70=1,AT70=3))),SickBY*W70,0)</f>
        <v>0</v>
      </c>
      <c r="BX70" s="462">
        <f t="shared" si="24"/>
        <v>19666.883600000005</v>
      </c>
      <c r="BY70" s="462">
        <f t="shared" si="25"/>
        <v>0</v>
      </c>
      <c r="BZ70" s="462">
        <f t="shared" si="26"/>
        <v>0</v>
      </c>
      <c r="CA70" s="462">
        <f t="shared" si="27"/>
        <v>0</v>
      </c>
      <c r="CB70" s="462">
        <f t="shared" si="28"/>
        <v>0</v>
      </c>
      <c r="CC70" s="462">
        <f>IF(AT70&lt;&gt;0,SSHICHG*Y70,0)</f>
        <v>0</v>
      </c>
      <c r="CD70" s="462">
        <f>IF(AND(AT70&lt;&gt;0,AN70&lt;&gt;"NE"),VLOOKUP(AN70,Retirement_Rates,5,FALSE)*Y70,0)</f>
        <v>0</v>
      </c>
      <c r="CE70" s="462">
        <f>IF(AND(AT70&lt;&gt;0,AJ70&lt;&gt;"PF"),LifeCHG*Y70,0)</f>
        <v>0</v>
      </c>
      <c r="CF70" s="462">
        <f>IF(AND(AT70&lt;&gt;0,AM70="Y"),UICHG*Y70,0)</f>
        <v>-458.13040000000001</v>
      </c>
      <c r="CG70" s="462">
        <f>IF(AND(AT70&lt;&gt;0,N70&lt;&gt;"NR"),DHRCHG*Y70,0)</f>
        <v>0</v>
      </c>
      <c r="CH70" s="462">
        <f>IF(AT70&lt;&gt;0,WCCHG*Y70,0)</f>
        <v>-28.048800000000014</v>
      </c>
      <c r="CI70" s="462">
        <f>IF(OR(AND(AT70&lt;&gt;0,AJ70&lt;&gt;"PF",AN70&lt;&gt;"NE",AG70&lt;&gt;"A"),AND(AL70="E",OR(AT70=1,AT70=3))),SickCHG*Y70,0)</f>
        <v>0</v>
      </c>
      <c r="CJ70" s="462">
        <f t="shared" si="29"/>
        <v>-486.17920000000004</v>
      </c>
      <c r="CK70" s="462" t="str">
        <f t="shared" si="30"/>
        <v/>
      </c>
      <c r="CL70" s="462" t="str">
        <f t="shared" si="31"/>
        <v/>
      </c>
      <c r="CM70" s="462" t="str">
        <f t="shared" si="32"/>
        <v/>
      </c>
      <c r="CN70" s="462" t="str">
        <f t="shared" si="33"/>
        <v>0450-38</v>
      </c>
    </row>
    <row r="71" spans="1:92" ht="15" thickBot="1" x14ac:dyDescent="0.35">
      <c r="A71" s="376" t="s">
        <v>161</v>
      </c>
      <c r="B71" s="376" t="s">
        <v>162</v>
      </c>
      <c r="C71" s="376" t="s">
        <v>362</v>
      </c>
      <c r="D71" s="376" t="s">
        <v>356</v>
      </c>
      <c r="E71" s="376" t="s">
        <v>314</v>
      </c>
      <c r="F71" s="382" t="s">
        <v>406</v>
      </c>
      <c r="G71" s="376" t="s">
        <v>167</v>
      </c>
      <c r="H71" s="378"/>
      <c r="I71" s="378"/>
      <c r="J71" s="376" t="s">
        <v>168</v>
      </c>
      <c r="K71" s="376" t="s">
        <v>358</v>
      </c>
      <c r="L71" s="376" t="s">
        <v>176</v>
      </c>
      <c r="M71" s="376" t="s">
        <v>171</v>
      </c>
      <c r="N71" s="376" t="s">
        <v>172</v>
      </c>
      <c r="O71" s="379">
        <v>1</v>
      </c>
      <c r="P71" s="460">
        <v>0</v>
      </c>
      <c r="Q71" s="460">
        <v>0</v>
      </c>
      <c r="R71" s="380">
        <v>80</v>
      </c>
      <c r="S71" s="460">
        <v>0</v>
      </c>
      <c r="T71" s="380">
        <v>43584.14</v>
      </c>
      <c r="U71" s="380">
        <v>38.28</v>
      </c>
      <c r="V71" s="380">
        <v>18173.45</v>
      </c>
      <c r="W71" s="380">
        <v>0</v>
      </c>
      <c r="X71" s="380">
        <v>0</v>
      </c>
      <c r="Y71" s="380">
        <v>0</v>
      </c>
      <c r="Z71" s="380">
        <v>0</v>
      </c>
      <c r="AA71" s="376" t="s">
        <v>363</v>
      </c>
      <c r="AB71" s="376" t="s">
        <v>364</v>
      </c>
      <c r="AC71" s="376" t="s">
        <v>365</v>
      </c>
      <c r="AD71" s="376" t="s">
        <v>176</v>
      </c>
      <c r="AE71" s="376" t="s">
        <v>358</v>
      </c>
      <c r="AF71" s="376" t="s">
        <v>190</v>
      </c>
      <c r="AG71" s="376" t="s">
        <v>178</v>
      </c>
      <c r="AH71" s="381">
        <v>25.11</v>
      </c>
      <c r="AI71" s="379">
        <v>1280</v>
      </c>
      <c r="AJ71" s="376" t="s">
        <v>179</v>
      </c>
      <c r="AK71" s="376" t="s">
        <v>180</v>
      </c>
      <c r="AL71" s="376" t="s">
        <v>181</v>
      </c>
      <c r="AM71" s="376" t="s">
        <v>182</v>
      </c>
      <c r="AN71" s="376" t="s">
        <v>68</v>
      </c>
      <c r="AO71" s="379">
        <v>80</v>
      </c>
      <c r="AP71" s="460">
        <v>1</v>
      </c>
      <c r="AQ71" s="460">
        <v>0</v>
      </c>
      <c r="AR71" s="458" t="s">
        <v>183</v>
      </c>
      <c r="AS71" s="462">
        <f t="shared" si="17"/>
        <v>0</v>
      </c>
      <c r="AT71">
        <f t="shared" si="18"/>
        <v>0</v>
      </c>
      <c r="AU71" s="462" t="str">
        <f>IF(AT71=0,"",IF(AND(AT71=1,M71="F",SUMIF(C2:C170,C71,AS2:AS170)&lt;=1),SUMIF(C2:C170,C71,AS2:AS170),IF(AND(AT71=1,M71="F",SUMIF(C2:C170,C71,AS2:AS170)&gt;1),1,"")))</f>
        <v/>
      </c>
      <c r="AV71" s="462" t="str">
        <f>IF(AT71=0,"",IF(AND(AT71=3,M71="F",SUMIF(C2:C170,C71,AS2:AS170)&lt;=1),SUMIF(C2:C170,C71,AS2:AS170),IF(AND(AT71=3,M71="F",SUMIF(C2:C170,C71,AS2:AS170)&gt;1),1,"")))</f>
        <v/>
      </c>
      <c r="AW71" s="462">
        <f>SUMIF(C2:C170,C71,O2:O170)</f>
        <v>2</v>
      </c>
      <c r="AX71" s="462">
        <f>IF(AND(M71="F",AS71&lt;&gt;0),SUMIF(C2:C170,C71,W2:W170),0)</f>
        <v>0</v>
      </c>
      <c r="AY71" s="462" t="str">
        <f t="shared" si="19"/>
        <v/>
      </c>
      <c r="AZ71" s="462" t="str">
        <f t="shared" si="20"/>
        <v/>
      </c>
      <c r="BA71" s="462">
        <f t="shared" si="21"/>
        <v>0</v>
      </c>
      <c r="BB71" s="462">
        <f>IF(AND(AT71=1,AK71="E",AU71&gt;=0.75,AW71=1),Health,IF(AND(AT71=1,AK71="E",AU71&gt;=0.75),Health*P71,IF(AND(AT71=1,AK71="E",AU71&gt;=0.5,AW71=1),PTHealth,IF(AND(AT71=1,AK71="E",AU71&gt;=0.5),PTHealth*P71,0))))</f>
        <v>0</v>
      </c>
      <c r="BC71" s="462">
        <f>IF(AND(AT71=3,AK71="E",AV71&gt;=0.75,AW71=1),Health,IF(AND(AT71=3,AK71="E",AV71&gt;=0.75),Health*P71,IF(AND(AT71=3,AK71="E",AV71&gt;=0.5,AW71=1),PTHealth,IF(AND(AT71=3,AK71="E",AV71&gt;=0.5),PTHealth*P71,0))))</f>
        <v>0</v>
      </c>
      <c r="BD71" s="462">
        <f>IF(AND(AT71&lt;&gt;0,AX71&gt;=MAXSSDI),SSDI*MAXSSDI*P71,IF(AT71&lt;&gt;0,SSDI*W71,0))</f>
        <v>0</v>
      </c>
      <c r="BE71" s="462">
        <f>IF(AT71&lt;&gt;0,SSHI*W71,0)</f>
        <v>0</v>
      </c>
      <c r="BF71" s="462">
        <f>IF(AND(AT71&lt;&gt;0,AN71&lt;&gt;"NE"),VLOOKUP(AN71,Retirement_Rates,3,FALSE)*W71,0)</f>
        <v>0</v>
      </c>
      <c r="BG71" s="462">
        <f>IF(AND(AT71&lt;&gt;0,AJ71&lt;&gt;"PF"),Life*W71,0)</f>
        <v>0</v>
      </c>
      <c r="BH71" s="462">
        <f>IF(AND(AT71&lt;&gt;0,AM71="Y"),UI*W71,0)</f>
        <v>0</v>
      </c>
      <c r="BI71" s="462">
        <f>IF(AND(AT71&lt;&gt;0,N71&lt;&gt;"NR"),DHR*W71,0)</f>
        <v>0</v>
      </c>
      <c r="BJ71" s="462">
        <f>IF(AT71&lt;&gt;0,WC*W71,0)</f>
        <v>0</v>
      </c>
      <c r="BK71" s="462">
        <f>IF(OR(AND(AT71&lt;&gt;0,AJ71&lt;&gt;"PF",AN71&lt;&gt;"NE",AG71&lt;&gt;"A"),AND(AL71="E",OR(AT71=1,AT71=3))),Sick*W71,0)</f>
        <v>0</v>
      </c>
      <c r="BL71" s="462">
        <f t="shared" si="22"/>
        <v>0</v>
      </c>
      <c r="BM71" s="462">
        <f t="shared" si="23"/>
        <v>0</v>
      </c>
      <c r="BN71" s="462">
        <f>IF(AND(AT71=1,AK71="E",AU71&gt;=0.75,AW71=1),HealthBY,IF(AND(AT71=1,AK71="E",AU71&gt;=0.75),HealthBY*P71,IF(AND(AT71=1,AK71="E",AU71&gt;=0.5,AW71=1),PTHealthBY,IF(AND(AT71=1,AK71="E",AU71&gt;=0.5),PTHealthBY*P71,0))))</f>
        <v>0</v>
      </c>
      <c r="BO71" s="462">
        <f>IF(AND(AT71=3,AK71="E",AV71&gt;=0.75,AW71=1),HealthBY,IF(AND(AT71=3,AK71="E",AV71&gt;=0.75),HealthBY*P71,IF(AND(AT71=3,AK71="E",AV71&gt;=0.5,AW71=1),PTHealthBY,IF(AND(AT71=3,AK71="E",AV71&gt;=0.5),PTHealthBY*P71,0))))</f>
        <v>0</v>
      </c>
      <c r="BP71" s="462">
        <f>IF(AND(AT71&lt;&gt;0,(AX71+BA71)&gt;=MAXSSDIBY),SSDIBY*MAXSSDIBY*P71,IF(AT71&lt;&gt;0,SSDIBY*W71,0))</f>
        <v>0</v>
      </c>
      <c r="BQ71" s="462">
        <f>IF(AT71&lt;&gt;0,SSHIBY*W71,0)</f>
        <v>0</v>
      </c>
      <c r="BR71" s="462">
        <f>IF(AND(AT71&lt;&gt;0,AN71&lt;&gt;"NE"),VLOOKUP(AN71,Retirement_Rates,4,FALSE)*W71,0)</f>
        <v>0</v>
      </c>
      <c r="BS71" s="462">
        <f>IF(AND(AT71&lt;&gt;0,AJ71&lt;&gt;"PF"),LifeBY*W71,0)</f>
        <v>0</v>
      </c>
      <c r="BT71" s="462">
        <f>IF(AND(AT71&lt;&gt;0,AM71="Y"),UIBY*W71,0)</f>
        <v>0</v>
      </c>
      <c r="BU71" s="462">
        <f>IF(AND(AT71&lt;&gt;0,N71&lt;&gt;"NR"),DHRBY*W71,0)</f>
        <v>0</v>
      </c>
      <c r="BV71" s="462">
        <f>IF(AT71&lt;&gt;0,WCBY*W71,0)</f>
        <v>0</v>
      </c>
      <c r="BW71" s="462">
        <f>IF(OR(AND(AT71&lt;&gt;0,AJ71&lt;&gt;"PF",AN71&lt;&gt;"NE",AG71&lt;&gt;"A"),AND(AL71="E",OR(AT71=1,AT71=3))),SickBY*W71,0)</f>
        <v>0</v>
      </c>
      <c r="BX71" s="462">
        <f t="shared" si="24"/>
        <v>0</v>
      </c>
      <c r="BY71" s="462">
        <f t="shared" si="25"/>
        <v>0</v>
      </c>
      <c r="BZ71" s="462">
        <f t="shared" si="26"/>
        <v>0</v>
      </c>
      <c r="CA71" s="462">
        <f t="shared" si="27"/>
        <v>0</v>
      </c>
      <c r="CB71" s="462">
        <f t="shared" si="28"/>
        <v>0</v>
      </c>
      <c r="CC71" s="462">
        <f>IF(AT71&lt;&gt;0,SSHICHG*Y71,0)</f>
        <v>0</v>
      </c>
      <c r="CD71" s="462">
        <f>IF(AND(AT71&lt;&gt;0,AN71&lt;&gt;"NE"),VLOOKUP(AN71,Retirement_Rates,5,FALSE)*Y71,0)</f>
        <v>0</v>
      </c>
      <c r="CE71" s="462">
        <f>IF(AND(AT71&lt;&gt;0,AJ71&lt;&gt;"PF"),LifeCHG*Y71,0)</f>
        <v>0</v>
      </c>
      <c r="CF71" s="462">
        <f>IF(AND(AT71&lt;&gt;0,AM71="Y"),UICHG*Y71,0)</f>
        <v>0</v>
      </c>
      <c r="CG71" s="462">
        <f>IF(AND(AT71&lt;&gt;0,N71&lt;&gt;"NR"),DHRCHG*Y71,0)</f>
        <v>0</v>
      </c>
      <c r="CH71" s="462">
        <f>IF(AT71&lt;&gt;0,WCCHG*Y71,0)</f>
        <v>0</v>
      </c>
      <c r="CI71" s="462">
        <f>IF(OR(AND(AT71&lt;&gt;0,AJ71&lt;&gt;"PF",AN71&lt;&gt;"NE",AG71&lt;&gt;"A"),AND(AL71="E",OR(AT71=1,AT71=3))),SickCHG*Y71,0)</f>
        <v>0</v>
      </c>
      <c r="CJ71" s="462">
        <f t="shared" si="29"/>
        <v>0</v>
      </c>
      <c r="CK71" s="462" t="str">
        <f t="shared" si="30"/>
        <v/>
      </c>
      <c r="CL71" s="462" t="str">
        <f t="shared" si="31"/>
        <v/>
      </c>
      <c r="CM71" s="462" t="str">
        <f t="shared" si="32"/>
        <v/>
      </c>
      <c r="CN71" s="462" t="str">
        <f t="shared" si="33"/>
        <v>0450-38</v>
      </c>
    </row>
    <row r="72" spans="1:92" ht="15" thickBot="1" x14ac:dyDescent="0.35">
      <c r="A72" s="376" t="s">
        <v>161</v>
      </c>
      <c r="B72" s="376" t="s">
        <v>162</v>
      </c>
      <c r="C72" s="376" t="s">
        <v>492</v>
      </c>
      <c r="D72" s="376" t="s">
        <v>356</v>
      </c>
      <c r="E72" s="376" t="s">
        <v>314</v>
      </c>
      <c r="F72" s="382" t="s">
        <v>406</v>
      </c>
      <c r="G72" s="376" t="s">
        <v>167</v>
      </c>
      <c r="H72" s="378"/>
      <c r="I72" s="378"/>
      <c r="J72" s="376" t="s">
        <v>168</v>
      </c>
      <c r="K72" s="376" t="s">
        <v>372</v>
      </c>
      <c r="L72" s="376" t="s">
        <v>220</v>
      </c>
      <c r="M72" s="376" t="s">
        <v>171</v>
      </c>
      <c r="N72" s="376" t="s">
        <v>172</v>
      </c>
      <c r="O72" s="379">
        <v>1</v>
      </c>
      <c r="P72" s="460">
        <v>1</v>
      </c>
      <c r="Q72" s="460">
        <v>1</v>
      </c>
      <c r="R72" s="380">
        <v>80</v>
      </c>
      <c r="S72" s="460">
        <v>1</v>
      </c>
      <c r="T72" s="380">
        <v>61811.7</v>
      </c>
      <c r="U72" s="380">
        <v>0</v>
      </c>
      <c r="V72" s="380">
        <v>25476.1</v>
      </c>
      <c r="W72" s="380">
        <v>61068.800000000003</v>
      </c>
      <c r="X72" s="380">
        <v>24813.34</v>
      </c>
      <c r="Y72" s="380">
        <v>61068.800000000003</v>
      </c>
      <c r="Z72" s="380">
        <v>24495.79</v>
      </c>
      <c r="AA72" s="376" t="s">
        <v>493</v>
      </c>
      <c r="AB72" s="376" t="s">
        <v>494</v>
      </c>
      <c r="AC72" s="376" t="s">
        <v>495</v>
      </c>
      <c r="AD72" s="376" t="s">
        <v>334</v>
      </c>
      <c r="AE72" s="376" t="s">
        <v>372</v>
      </c>
      <c r="AF72" s="376" t="s">
        <v>224</v>
      </c>
      <c r="AG72" s="376" t="s">
        <v>178</v>
      </c>
      <c r="AH72" s="381">
        <v>29.36</v>
      </c>
      <c r="AI72" s="381">
        <v>18233.2</v>
      </c>
      <c r="AJ72" s="376" t="s">
        <v>179</v>
      </c>
      <c r="AK72" s="376" t="s">
        <v>180</v>
      </c>
      <c r="AL72" s="376" t="s">
        <v>181</v>
      </c>
      <c r="AM72" s="376" t="s">
        <v>182</v>
      </c>
      <c r="AN72" s="376" t="s">
        <v>68</v>
      </c>
      <c r="AO72" s="379">
        <v>80</v>
      </c>
      <c r="AP72" s="460">
        <v>1</v>
      </c>
      <c r="AQ72" s="460">
        <v>1</v>
      </c>
      <c r="AR72" s="458" t="s">
        <v>183</v>
      </c>
      <c r="AS72" s="462">
        <f t="shared" si="17"/>
        <v>1</v>
      </c>
      <c r="AT72">
        <f t="shared" si="18"/>
        <v>1</v>
      </c>
      <c r="AU72" s="462">
        <f>IF(AT72=0,"",IF(AND(AT72=1,M72="F",SUMIF(C2:C170,C72,AS2:AS170)&lt;=1),SUMIF(C2:C170,C72,AS2:AS170),IF(AND(AT72=1,M72="F",SUMIF(C2:C170,C72,AS2:AS170)&gt;1),1,"")))</f>
        <v>1</v>
      </c>
      <c r="AV72" s="462" t="str">
        <f>IF(AT72=0,"",IF(AND(AT72=3,M72="F",SUMIF(C2:C170,C72,AS2:AS170)&lt;=1),SUMIF(C2:C170,C72,AS2:AS170),IF(AND(AT72=3,M72="F",SUMIF(C2:C170,C72,AS2:AS170)&gt;1),1,"")))</f>
        <v/>
      </c>
      <c r="AW72" s="462">
        <f>SUMIF(C2:C170,C72,O2:O170)</f>
        <v>1</v>
      </c>
      <c r="AX72" s="462">
        <f>IF(AND(M72="F",AS72&lt;&gt;0),SUMIF(C2:C170,C72,W2:W170),0)</f>
        <v>61068.800000000003</v>
      </c>
      <c r="AY72" s="462">
        <f t="shared" si="19"/>
        <v>61068.800000000003</v>
      </c>
      <c r="AZ72" s="462" t="str">
        <f t="shared" si="20"/>
        <v/>
      </c>
      <c r="BA72" s="462">
        <f t="shared" si="21"/>
        <v>0</v>
      </c>
      <c r="BB72" s="462">
        <f>IF(AND(AT72=1,AK72="E",AU72&gt;=0.75,AW72=1),Health,IF(AND(AT72=1,AK72="E",AU72&gt;=0.75),Health*P72,IF(AND(AT72=1,AK72="E",AU72&gt;=0.5,AW72=1),PTHealth,IF(AND(AT72=1,AK72="E",AU72&gt;=0.5),PTHealth*P72,0))))</f>
        <v>11650</v>
      </c>
      <c r="BC72" s="462">
        <f>IF(AND(AT72=3,AK72="E",AV72&gt;=0.75,AW72=1),Health,IF(AND(AT72=3,AK72="E",AV72&gt;=0.75),Health*P72,IF(AND(AT72=3,AK72="E",AV72&gt;=0.5,AW72=1),PTHealth,IF(AND(AT72=3,AK72="E",AV72&gt;=0.5),PTHealth*P72,0))))</f>
        <v>0</v>
      </c>
      <c r="BD72" s="462">
        <f>IF(AND(AT72&lt;&gt;0,AX72&gt;=MAXSSDI),SSDI*MAXSSDI*P72,IF(AT72&lt;&gt;0,SSDI*W72,0))</f>
        <v>3786.2656000000002</v>
      </c>
      <c r="BE72" s="462">
        <f>IF(AT72&lt;&gt;0,SSHI*W72,0)</f>
        <v>885.49760000000003</v>
      </c>
      <c r="BF72" s="462">
        <f>IF(AND(AT72&lt;&gt;0,AN72&lt;&gt;"NE"),VLOOKUP(AN72,Retirement_Rates,3,FALSE)*W72,0)</f>
        <v>7291.6147200000005</v>
      </c>
      <c r="BG72" s="462">
        <f>IF(AND(AT72&lt;&gt;0,AJ72&lt;&gt;"PF"),Life*W72,0)</f>
        <v>440.30604800000003</v>
      </c>
      <c r="BH72" s="462">
        <f>IF(AND(AT72&lt;&gt;0,AM72="Y"),UI*W72,0)</f>
        <v>299.23712</v>
      </c>
      <c r="BI72" s="462">
        <f>IF(AND(AT72&lt;&gt;0,N72&lt;&gt;"NR"),DHR*W72,0)</f>
        <v>338.32115199999998</v>
      </c>
      <c r="BJ72" s="462">
        <f>IF(AT72&lt;&gt;0,WC*W72,0)</f>
        <v>122.13760000000001</v>
      </c>
      <c r="BK72" s="462">
        <f>IF(OR(AND(AT72&lt;&gt;0,AJ72&lt;&gt;"PF",AN72&lt;&gt;"NE",AG72&lt;&gt;"A"),AND(AL72="E",OR(AT72=1,AT72=3))),Sick*W72,0)</f>
        <v>0</v>
      </c>
      <c r="BL72" s="462">
        <f t="shared" si="22"/>
        <v>13163.379840000001</v>
      </c>
      <c r="BM72" s="462">
        <f t="shared" si="23"/>
        <v>0</v>
      </c>
      <c r="BN72" s="462">
        <f>IF(AND(AT72=1,AK72="E",AU72&gt;=0.75,AW72=1),HealthBY,IF(AND(AT72=1,AK72="E",AU72&gt;=0.75),HealthBY*P72,IF(AND(AT72=1,AK72="E",AU72&gt;=0.5,AW72=1),PTHealthBY,IF(AND(AT72=1,AK72="E",AU72&gt;=0.5),PTHealthBY*P72,0))))</f>
        <v>11650</v>
      </c>
      <c r="BO72" s="462">
        <f>IF(AND(AT72=3,AK72="E",AV72&gt;=0.75,AW72=1),HealthBY,IF(AND(AT72=3,AK72="E",AV72&gt;=0.75),HealthBY*P72,IF(AND(AT72=3,AK72="E",AV72&gt;=0.5,AW72=1),PTHealthBY,IF(AND(AT72=3,AK72="E",AV72&gt;=0.5),PTHealthBY*P72,0))))</f>
        <v>0</v>
      </c>
      <c r="BP72" s="462">
        <f>IF(AND(AT72&lt;&gt;0,(AX72+BA72)&gt;=MAXSSDIBY),SSDIBY*MAXSSDIBY*P72,IF(AT72&lt;&gt;0,SSDIBY*W72,0))</f>
        <v>3786.2656000000002</v>
      </c>
      <c r="BQ72" s="462">
        <f>IF(AT72&lt;&gt;0,SSHIBY*W72,0)</f>
        <v>885.49760000000003</v>
      </c>
      <c r="BR72" s="462">
        <f>IF(AND(AT72&lt;&gt;0,AN72&lt;&gt;"NE"),VLOOKUP(AN72,Retirement_Rates,4,FALSE)*W72,0)</f>
        <v>7291.6147200000005</v>
      </c>
      <c r="BS72" s="462">
        <f>IF(AND(AT72&lt;&gt;0,AJ72&lt;&gt;"PF"),LifeBY*W72,0)</f>
        <v>440.30604800000003</v>
      </c>
      <c r="BT72" s="462">
        <f>IF(AND(AT72&lt;&gt;0,AM72="Y"),UIBY*W72,0)</f>
        <v>0</v>
      </c>
      <c r="BU72" s="462">
        <f>IF(AND(AT72&lt;&gt;0,N72&lt;&gt;"NR"),DHRBY*W72,0)</f>
        <v>338.32115199999998</v>
      </c>
      <c r="BV72" s="462">
        <f>IF(AT72&lt;&gt;0,WCBY*W72,0)</f>
        <v>103.81695999999999</v>
      </c>
      <c r="BW72" s="462">
        <f>IF(OR(AND(AT72&lt;&gt;0,AJ72&lt;&gt;"PF",AN72&lt;&gt;"NE",AG72&lt;&gt;"A"),AND(AL72="E",OR(AT72=1,AT72=3))),SickBY*W72,0)</f>
        <v>0</v>
      </c>
      <c r="BX72" s="462">
        <f t="shared" si="24"/>
        <v>12845.822080000002</v>
      </c>
      <c r="BY72" s="462">
        <f t="shared" si="25"/>
        <v>0</v>
      </c>
      <c r="BZ72" s="462">
        <f t="shared" si="26"/>
        <v>0</v>
      </c>
      <c r="CA72" s="462">
        <f t="shared" si="27"/>
        <v>0</v>
      </c>
      <c r="CB72" s="462">
        <f t="shared" si="28"/>
        <v>0</v>
      </c>
      <c r="CC72" s="462">
        <f>IF(AT72&lt;&gt;0,SSHICHG*Y72,0)</f>
        <v>0</v>
      </c>
      <c r="CD72" s="462">
        <f>IF(AND(AT72&lt;&gt;0,AN72&lt;&gt;"NE"),VLOOKUP(AN72,Retirement_Rates,5,FALSE)*Y72,0)</f>
        <v>0</v>
      </c>
      <c r="CE72" s="462">
        <f>IF(AND(AT72&lt;&gt;0,AJ72&lt;&gt;"PF"),LifeCHG*Y72,0)</f>
        <v>0</v>
      </c>
      <c r="CF72" s="462">
        <f>IF(AND(AT72&lt;&gt;0,AM72="Y"),UICHG*Y72,0)</f>
        <v>-299.23712</v>
      </c>
      <c r="CG72" s="462">
        <f>IF(AND(AT72&lt;&gt;0,N72&lt;&gt;"NR"),DHRCHG*Y72,0)</f>
        <v>0</v>
      </c>
      <c r="CH72" s="462">
        <f>IF(AT72&lt;&gt;0,WCCHG*Y72,0)</f>
        <v>-18.320640000000008</v>
      </c>
      <c r="CI72" s="462">
        <f>IF(OR(AND(AT72&lt;&gt;0,AJ72&lt;&gt;"PF",AN72&lt;&gt;"NE",AG72&lt;&gt;"A"),AND(AL72="E",OR(AT72=1,AT72=3))),SickCHG*Y72,0)</f>
        <v>0</v>
      </c>
      <c r="CJ72" s="462">
        <f t="shared" si="29"/>
        <v>-317.55776000000003</v>
      </c>
      <c r="CK72" s="462" t="str">
        <f t="shared" si="30"/>
        <v/>
      </c>
      <c r="CL72" s="462" t="str">
        <f t="shared" si="31"/>
        <v/>
      </c>
      <c r="CM72" s="462" t="str">
        <f t="shared" si="32"/>
        <v/>
      </c>
      <c r="CN72" s="462" t="str">
        <f t="shared" si="33"/>
        <v>0450-38</v>
      </c>
    </row>
    <row r="73" spans="1:92" ht="15" thickBot="1" x14ac:dyDescent="0.35">
      <c r="A73" s="376" t="s">
        <v>161</v>
      </c>
      <c r="B73" s="376" t="s">
        <v>162</v>
      </c>
      <c r="C73" s="376" t="s">
        <v>496</v>
      </c>
      <c r="D73" s="376" t="s">
        <v>313</v>
      </c>
      <c r="E73" s="376" t="s">
        <v>314</v>
      </c>
      <c r="F73" s="382" t="s">
        <v>406</v>
      </c>
      <c r="G73" s="376" t="s">
        <v>167</v>
      </c>
      <c r="H73" s="378"/>
      <c r="I73" s="378"/>
      <c r="J73" s="376" t="s">
        <v>168</v>
      </c>
      <c r="K73" s="376" t="s">
        <v>316</v>
      </c>
      <c r="L73" s="376" t="s">
        <v>216</v>
      </c>
      <c r="M73" s="376" t="s">
        <v>171</v>
      </c>
      <c r="N73" s="376" t="s">
        <v>172</v>
      </c>
      <c r="O73" s="379">
        <v>1</v>
      </c>
      <c r="P73" s="460">
        <v>1</v>
      </c>
      <c r="Q73" s="460">
        <v>1</v>
      </c>
      <c r="R73" s="380">
        <v>80</v>
      </c>
      <c r="S73" s="460">
        <v>1</v>
      </c>
      <c r="T73" s="380">
        <v>64188.86</v>
      </c>
      <c r="U73" s="380">
        <v>0</v>
      </c>
      <c r="V73" s="380">
        <v>25827.55</v>
      </c>
      <c r="W73" s="380">
        <v>65520</v>
      </c>
      <c r="X73" s="380">
        <v>25772.81</v>
      </c>
      <c r="Y73" s="380">
        <v>65520</v>
      </c>
      <c r="Z73" s="380">
        <v>25432.11</v>
      </c>
      <c r="AA73" s="376" t="s">
        <v>497</v>
      </c>
      <c r="AB73" s="376" t="s">
        <v>498</v>
      </c>
      <c r="AC73" s="376" t="s">
        <v>269</v>
      </c>
      <c r="AD73" s="376" t="s">
        <v>220</v>
      </c>
      <c r="AE73" s="376" t="s">
        <v>316</v>
      </c>
      <c r="AF73" s="376" t="s">
        <v>311</v>
      </c>
      <c r="AG73" s="376" t="s">
        <v>178</v>
      </c>
      <c r="AH73" s="381">
        <v>31.5</v>
      </c>
      <c r="AI73" s="381">
        <v>11348.1</v>
      </c>
      <c r="AJ73" s="376" t="s">
        <v>179</v>
      </c>
      <c r="AK73" s="376" t="s">
        <v>180</v>
      </c>
      <c r="AL73" s="376" t="s">
        <v>181</v>
      </c>
      <c r="AM73" s="376" t="s">
        <v>182</v>
      </c>
      <c r="AN73" s="376" t="s">
        <v>68</v>
      </c>
      <c r="AO73" s="379">
        <v>80</v>
      </c>
      <c r="AP73" s="460">
        <v>1</v>
      </c>
      <c r="AQ73" s="460">
        <v>1</v>
      </c>
      <c r="AR73" s="458" t="s">
        <v>183</v>
      </c>
      <c r="AS73" s="462">
        <f t="shared" si="17"/>
        <v>1</v>
      </c>
      <c r="AT73">
        <f t="shared" si="18"/>
        <v>1</v>
      </c>
      <c r="AU73" s="462">
        <f>IF(AT73=0,"",IF(AND(AT73=1,M73="F",SUMIF(C2:C170,C73,AS2:AS170)&lt;=1),SUMIF(C2:C170,C73,AS2:AS170),IF(AND(AT73=1,M73="F",SUMIF(C2:C170,C73,AS2:AS170)&gt;1),1,"")))</f>
        <v>1</v>
      </c>
      <c r="AV73" s="462" t="str">
        <f>IF(AT73=0,"",IF(AND(AT73=3,M73="F",SUMIF(C2:C170,C73,AS2:AS170)&lt;=1),SUMIF(C2:C170,C73,AS2:AS170),IF(AND(AT73=3,M73="F",SUMIF(C2:C170,C73,AS2:AS170)&gt;1),1,"")))</f>
        <v/>
      </c>
      <c r="AW73" s="462">
        <f>SUMIF(C2:C170,C73,O2:O170)</f>
        <v>1</v>
      </c>
      <c r="AX73" s="462">
        <f>IF(AND(M73="F",AS73&lt;&gt;0),SUMIF(C2:C170,C73,W2:W170),0)</f>
        <v>65520</v>
      </c>
      <c r="AY73" s="462">
        <f t="shared" si="19"/>
        <v>65520</v>
      </c>
      <c r="AZ73" s="462" t="str">
        <f t="shared" si="20"/>
        <v/>
      </c>
      <c r="BA73" s="462">
        <f t="shared" si="21"/>
        <v>0</v>
      </c>
      <c r="BB73" s="462">
        <f>IF(AND(AT73=1,AK73="E",AU73&gt;=0.75,AW73=1),Health,IF(AND(AT73=1,AK73="E",AU73&gt;=0.75),Health*P73,IF(AND(AT73=1,AK73="E",AU73&gt;=0.5,AW73=1),PTHealth,IF(AND(AT73=1,AK73="E",AU73&gt;=0.5),PTHealth*P73,0))))</f>
        <v>11650</v>
      </c>
      <c r="BC73" s="462">
        <f>IF(AND(AT73=3,AK73="E",AV73&gt;=0.75,AW73=1),Health,IF(AND(AT73=3,AK73="E",AV73&gt;=0.75),Health*P73,IF(AND(AT73=3,AK73="E",AV73&gt;=0.5,AW73=1),PTHealth,IF(AND(AT73=3,AK73="E",AV73&gt;=0.5),PTHealth*P73,0))))</f>
        <v>0</v>
      </c>
      <c r="BD73" s="462">
        <f>IF(AND(AT73&lt;&gt;0,AX73&gt;=MAXSSDI),SSDI*MAXSSDI*P73,IF(AT73&lt;&gt;0,SSDI*W73,0))</f>
        <v>4062.24</v>
      </c>
      <c r="BE73" s="462">
        <f>IF(AT73&lt;&gt;0,SSHI*W73,0)</f>
        <v>950.04000000000008</v>
      </c>
      <c r="BF73" s="462">
        <f>IF(AND(AT73&lt;&gt;0,AN73&lt;&gt;"NE"),VLOOKUP(AN73,Retirement_Rates,3,FALSE)*W73,0)</f>
        <v>7823.0880000000006</v>
      </c>
      <c r="BG73" s="462">
        <f>IF(AND(AT73&lt;&gt;0,AJ73&lt;&gt;"PF"),Life*W73,0)</f>
        <v>472.39920000000001</v>
      </c>
      <c r="BH73" s="462">
        <f>IF(AND(AT73&lt;&gt;0,AM73="Y"),UI*W73,0)</f>
        <v>321.048</v>
      </c>
      <c r="BI73" s="462">
        <f>IF(AND(AT73&lt;&gt;0,N73&lt;&gt;"NR"),DHR*W73,0)</f>
        <v>362.98079999999999</v>
      </c>
      <c r="BJ73" s="462">
        <f>IF(AT73&lt;&gt;0,WC*W73,0)</f>
        <v>131.04</v>
      </c>
      <c r="BK73" s="462">
        <f>IF(OR(AND(AT73&lt;&gt;0,AJ73&lt;&gt;"PF",AN73&lt;&gt;"NE",AG73&lt;&gt;"A"),AND(AL73="E",OR(AT73=1,AT73=3))),Sick*W73,0)</f>
        <v>0</v>
      </c>
      <c r="BL73" s="462">
        <f t="shared" si="22"/>
        <v>14122.836000000001</v>
      </c>
      <c r="BM73" s="462">
        <f t="shared" si="23"/>
        <v>0</v>
      </c>
      <c r="BN73" s="462">
        <f>IF(AND(AT73=1,AK73="E",AU73&gt;=0.75,AW73=1),HealthBY,IF(AND(AT73=1,AK73="E",AU73&gt;=0.75),HealthBY*P73,IF(AND(AT73=1,AK73="E",AU73&gt;=0.5,AW73=1),PTHealthBY,IF(AND(AT73=1,AK73="E",AU73&gt;=0.5),PTHealthBY*P73,0))))</f>
        <v>11650</v>
      </c>
      <c r="BO73" s="462">
        <f>IF(AND(AT73=3,AK73="E",AV73&gt;=0.75,AW73=1),HealthBY,IF(AND(AT73=3,AK73="E",AV73&gt;=0.75),HealthBY*P73,IF(AND(AT73=3,AK73="E",AV73&gt;=0.5,AW73=1),PTHealthBY,IF(AND(AT73=3,AK73="E",AV73&gt;=0.5),PTHealthBY*P73,0))))</f>
        <v>0</v>
      </c>
      <c r="BP73" s="462">
        <f>IF(AND(AT73&lt;&gt;0,(AX73+BA73)&gt;=MAXSSDIBY),SSDIBY*MAXSSDIBY*P73,IF(AT73&lt;&gt;0,SSDIBY*W73,0))</f>
        <v>4062.24</v>
      </c>
      <c r="BQ73" s="462">
        <f>IF(AT73&lt;&gt;0,SSHIBY*W73,0)</f>
        <v>950.04000000000008</v>
      </c>
      <c r="BR73" s="462">
        <f>IF(AND(AT73&lt;&gt;0,AN73&lt;&gt;"NE"),VLOOKUP(AN73,Retirement_Rates,4,FALSE)*W73,0)</f>
        <v>7823.0880000000006</v>
      </c>
      <c r="BS73" s="462">
        <f>IF(AND(AT73&lt;&gt;0,AJ73&lt;&gt;"PF"),LifeBY*W73,0)</f>
        <v>472.39920000000001</v>
      </c>
      <c r="BT73" s="462">
        <f>IF(AND(AT73&lt;&gt;0,AM73="Y"),UIBY*W73,0)</f>
        <v>0</v>
      </c>
      <c r="BU73" s="462">
        <f>IF(AND(AT73&lt;&gt;0,N73&lt;&gt;"NR"),DHRBY*W73,0)</f>
        <v>362.98079999999999</v>
      </c>
      <c r="BV73" s="462">
        <f>IF(AT73&lt;&gt;0,WCBY*W73,0)</f>
        <v>111.384</v>
      </c>
      <c r="BW73" s="462">
        <f>IF(OR(AND(AT73&lt;&gt;0,AJ73&lt;&gt;"PF",AN73&lt;&gt;"NE",AG73&lt;&gt;"A"),AND(AL73="E",OR(AT73=1,AT73=3))),SickBY*W73,0)</f>
        <v>0</v>
      </c>
      <c r="BX73" s="462">
        <f t="shared" si="24"/>
        <v>13782.132</v>
      </c>
      <c r="BY73" s="462">
        <f t="shared" si="25"/>
        <v>0</v>
      </c>
      <c r="BZ73" s="462">
        <f t="shared" si="26"/>
        <v>0</v>
      </c>
      <c r="CA73" s="462">
        <f t="shared" si="27"/>
        <v>0</v>
      </c>
      <c r="CB73" s="462">
        <f t="shared" si="28"/>
        <v>0</v>
      </c>
      <c r="CC73" s="462">
        <f>IF(AT73&lt;&gt;0,SSHICHG*Y73,0)</f>
        <v>0</v>
      </c>
      <c r="CD73" s="462">
        <f>IF(AND(AT73&lt;&gt;0,AN73&lt;&gt;"NE"),VLOOKUP(AN73,Retirement_Rates,5,FALSE)*Y73,0)</f>
        <v>0</v>
      </c>
      <c r="CE73" s="462">
        <f>IF(AND(AT73&lt;&gt;0,AJ73&lt;&gt;"PF"),LifeCHG*Y73,0)</f>
        <v>0</v>
      </c>
      <c r="CF73" s="462">
        <f>IF(AND(AT73&lt;&gt;0,AM73="Y"),UICHG*Y73,0)</f>
        <v>-321.048</v>
      </c>
      <c r="CG73" s="462">
        <f>IF(AND(AT73&lt;&gt;0,N73&lt;&gt;"NR"),DHRCHG*Y73,0)</f>
        <v>0</v>
      </c>
      <c r="CH73" s="462">
        <f>IF(AT73&lt;&gt;0,WCCHG*Y73,0)</f>
        <v>-19.656000000000009</v>
      </c>
      <c r="CI73" s="462">
        <f>IF(OR(AND(AT73&lt;&gt;0,AJ73&lt;&gt;"PF",AN73&lt;&gt;"NE",AG73&lt;&gt;"A"),AND(AL73="E",OR(AT73=1,AT73=3))),SickCHG*Y73,0)</f>
        <v>0</v>
      </c>
      <c r="CJ73" s="462">
        <f t="shared" si="29"/>
        <v>-340.70400000000001</v>
      </c>
      <c r="CK73" s="462" t="str">
        <f t="shared" si="30"/>
        <v/>
      </c>
      <c r="CL73" s="462" t="str">
        <f t="shared" si="31"/>
        <v/>
      </c>
      <c r="CM73" s="462" t="str">
        <f t="shared" si="32"/>
        <v/>
      </c>
      <c r="CN73" s="462" t="str">
        <f t="shared" si="33"/>
        <v>0450-38</v>
      </c>
    </row>
    <row r="74" spans="1:92" ht="15" thickBot="1" x14ac:dyDescent="0.35">
      <c r="A74" s="376" t="s">
        <v>161</v>
      </c>
      <c r="B74" s="376" t="s">
        <v>162</v>
      </c>
      <c r="C74" s="376" t="s">
        <v>163</v>
      </c>
      <c r="D74" s="376" t="s">
        <v>164</v>
      </c>
      <c r="E74" s="376" t="s">
        <v>314</v>
      </c>
      <c r="F74" s="382" t="s">
        <v>406</v>
      </c>
      <c r="G74" s="376" t="s">
        <v>167</v>
      </c>
      <c r="H74" s="378"/>
      <c r="I74" s="378"/>
      <c r="J74" s="376" t="s">
        <v>168</v>
      </c>
      <c r="K74" s="376" t="s">
        <v>169</v>
      </c>
      <c r="L74" s="376" t="s">
        <v>170</v>
      </c>
      <c r="M74" s="376" t="s">
        <v>171</v>
      </c>
      <c r="N74" s="376" t="s">
        <v>172</v>
      </c>
      <c r="O74" s="379">
        <v>1</v>
      </c>
      <c r="P74" s="460">
        <v>1</v>
      </c>
      <c r="Q74" s="460">
        <v>1</v>
      </c>
      <c r="R74" s="380">
        <v>80</v>
      </c>
      <c r="S74" s="460">
        <v>1</v>
      </c>
      <c r="T74" s="380">
        <v>15728</v>
      </c>
      <c r="U74" s="380">
        <v>0</v>
      </c>
      <c r="V74" s="380">
        <v>5211.6000000000004</v>
      </c>
      <c r="W74" s="380">
        <v>89232</v>
      </c>
      <c r="X74" s="380">
        <v>30883.93</v>
      </c>
      <c r="Y74" s="380">
        <v>89232</v>
      </c>
      <c r="Z74" s="380">
        <v>30419.93</v>
      </c>
      <c r="AA74" s="376" t="s">
        <v>173</v>
      </c>
      <c r="AB74" s="376" t="s">
        <v>174</v>
      </c>
      <c r="AC74" s="376" t="s">
        <v>175</v>
      </c>
      <c r="AD74" s="376" t="s">
        <v>176</v>
      </c>
      <c r="AE74" s="376" t="s">
        <v>169</v>
      </c>
      <c r="AF74" s="376" t="s">
        <v>177</v>
      </c>
      <c r="AG74" s="376" t="s">
        <v>178</v>
      </c>
      <c r="AH74" s="381">
        <v>42.9</v>
      </c>
      <c r="AI74" s="381">
        <v>19882.599999999999</v>
      </c>
      <c r="AJ74" s="376" t="s">
        <v>179</v>
      </c>
      <c r="AK74" s="376" t="s">
        <v>180</v>
      </c>
      <c r="AL74" s="376" t="s">
        <v>181</v>
      </c>
      <c r="AM74" s="376" t="s">
        <v>182</v>
      </c>
      <c r="AN74" s="376" t="s">
        <v>68</v>
      </c>
      <c r="AO74" s="379">
        <v>80</v>
      </c>
      <c r="AP74" s="460">
        <v>1</v>
      </c>
      <c r="AQ74" s="460">
        <v>1</v>
      </c>
      <c r="AR74" s="458" t="s">
        <v>183</v>
      </c>
      <c r="AS74" s="462">
        <f t="shared" si="17"/>
        <v>1</v>
      </c>
      <c r="AT74">
        <f t="shared" si="18"/>
        <v>1</v>
      </c>
      <c r="AU74" s="462">
        <f>IF(AT74=0,"",IF(AND(AT74=1,M74="F",SUMIF(C2:C170,C74,AS2:AS170)&lt;=1),SUMIF(C2:C170,C74,AS2:AS170),IF(AND(AT74=1,M74="F",SUMIF(C2:C170,C74,AS2:AS170)&gt;1),1,"")))</f>
        <v>1</v>
      </c>
      <c r="AV74" s="462" t="str">
        <f>IF(AT74=0,"",IF(AND(AT74=3,M74="F",SUMIF(C2:C170,C74,AS2:AS170)&lt;=1),SUMIF(C2:C170,C74,AS2:AS170),IF(AND(AT74=3,M74="F",SUMIF(C2:C170,C74,AS2:AS170)&gt;1),1,"")))</f>
        <v/>
      </c>
      <c r="AW74" s="462">
        <f>SUMIF(C2:C170,C74,O2:O170)</f>
        <v>2</v>
      </c>
      <c r="AX74" s="462">
        <f>IF(AND(M74="F",AS74&lt;&gt;0),SUMIF(C2:C170,C74,W2:W170),0)</f>
        <v>89232</v>
      </c>
      <c r="AY74" s="462">
        <f t="shared" si="19"/>
        <v>89232</v>
      </c>
      <c r="AZ74" s="462" t="str">
        <f t="shared" si="20"/>
        <v/>
      </c>
      <c r="BA74" s="462">
        <f t="shared" si="21"/>
        <v>0</v>
      </c>
      <c r="BB74" s="462">
        <f>IF(AND(AT74=1,AK74="E",AU74&gt;=0.75,AW74=1),Health,IF(AND(AT74=1,AK74="E",AU74&gt;=0.75),Health*P74,IF(AND(AT74=1,AK74="E",AU74&gt;=0.5,AW74=1),PTHealth,IF(AND(AT74=1,AK74="E",AU74&gt;=0.5),PTHealth*P74,0))))</f>
        <v>11650</v>
      </c>
      <c r="BC74" s="462">
        <f>IF(AND(AT74=3,AK74="E",AV74&gt;=0.75,AW74=1),Health,IF(AND(AT74=3,AK74="E",AV74&gt;=0.75),Health*P74,IF(AND(AT74=3,AK74="E",AV74&gt;=0.5,AW74=1),PTHealth,IF(AND(AT74=3,AK74="E",AV74&gt;=0.5),PTHealth*P74,0))))</f>
        <v>0</v>
      </c>
      <c r="BD74" s="462">
        <f>IF(AND(AT74&lt;&gt;0,AX74&gt;=MAXSSDI),SSDI*MAXSSDI*P74,IF(AT74&lt;&gt;0,SSDI*W74,0))</f>
        <v>5532.384</v>
      </c>
      <c r="BE74" s="462">
        <f>IF(AT74&lt;&gt;0,SSHI*W74,0)</f>
        <v>1293.864</v>
      </c>
      <c r="BF74" s="462">
        <f>IF(AND(AT74&lt;&gt;0,AN74&lt;&gt;"NE"),VLOOKUP(AN74,Retirement_Rates,3,FALSE)*W74,0)</f>
        <v>10654.300800000001</v>
      </c>
      <c r="BG74" s="462">
        <f>IF(AND(AT74&lt;&gt;0,AJ74&lt;&gt;"PF"),Life*W74,0)</f>
        <v>643.36271999999997</v>
      </c>
      <c r="BH74" s="462">
        <f>IF(AND(AT74&lt;&gt;0,AM74="Y"),UI*W74,0)</f>
        <v>437.23679999999996</v>
      </c>
      <c r="BI74" s="462">
        <f>IF(AND(AT74&lt;&gt;0,N74&lt;&gt;"NR"),DHR*W74,0)</f>
        <v>494.34528</v>
      </c>
      <c r="BJ74" s="462">
        <f>IF(AT74&lt;&gt;0,WC*W74,0)</f>
        <v>178.464</v>
      </c>
      <c r="BK74" s="462">
        <f>IF(OR(AND(AT74&lt;&gt;0,AJ74&lt;&gt;"PF",AN74&lt;&gt;"NE",AG74&lt;&gt;"A"),AND(AL74="E",OR(AT74=1,AT74=3))),Sick*W74,0)</f>
        <v>0</v>
      </c>
      <c r="BL74" s="462">
        <f t="shared" si="22"/>
        <v>19233.957600000002</v>
      </c>
      <c r="BM74" s="462">
        <f t="shared" si="23"/>
        <v>0</v>
      </c>
      <c r="BN74" s="462">
        <f>IF(AND(AT74=1,AK74="E",AU74&gt;=0.75,AW74=1),HealthBY,IF(AND(AT74=1,AK74="E",AU74&gt;=0.75),HealthBY*P74,IF(AND(AT74=1,AK74="E",AU74&gt;=0.5,AW74=1),PTHealthBY,IF(AND(AT74=1,AK74="E",AU74&gt;=0.5),PTHealthBY*P74,0))))</f>
        <v>11650</v>
      </c>
      <c r="BO74" s="462">
        <f>IF(AND(AT74=3,AK74="E",AV74&gt;=0.75,AW74=1),HealthBY,IF(AND(AT74=3,AK74="E",AV74&gt;=0.75),HealthBY*P74,IF(AND(AT74=3,AK74="E",AV74&gt;=0.5,AW74=1),PTHealthBY,IF(AND(AT74=3,AK74="E",AV74&gt;=0.5),PTHealthBY*P74,0))))</f>
        <v>0</v>
      </c>
      <c r="BP74" s="462">
        <f>IF(AND(AT74&lt;&gt;0,(AX74+BA74)&gt;=MAXSSDIBY),SSDIBY*MAXSSDIBY*P74,IF(AT74&lt;&gt;0,SSDIBY*W74,0))</f>
        <v>5532.384</v>
      </c>
      <c r="BQ74" s="462">
        <f>IF(AT74&lt;&gt;0,SSHIBY*W74,0)</f>
        <v>1293.864</v>
      </c>
      <c r="BR74" s="462">
        <f>IF(AND(AT74&lt;&gt;0,AN74&lt;&gt;"NE"),VLOOKUP(AN74,Retirement_Rates,4,FALSE)*W74,0)</f>
        <v>10654.300800000001</v>
      </c>
      <c r="BS74" s="462">
        <f>IF(AND(AT74&lt;&gt;0,AJ74&lt;&gt;"PF"),LifeBY*W74,0)</f>
        <v>643.36271999999997</v>
      </c>
      <c r="BT74" s="462">
        <f>IF(AND(AT74&lt;&gt;0,AM74="Y"),UIBY*W74,0)</f>
        <v>0</v>
      </c>
      <c r="BU74" s="462">
        <f>IF(AND(AT74&lt;&gt;0,N74&lt;&gt;"NR"),DHRBY*W74,0)</f>
        <v>494.34528</v>
      </c>
      <c r="BV74" s="462">
        <f>IF(AT74&lt;&gt;0,WCBY*W74,0)</f>
        <v>151.6944</v>
      </c>
      <c r="BW74" s="462">
        <f>IF(OR(AND(AT74&lt;&gt;0,AJ74&lt;&gt;"PF",AN74&lt;&gt;"NE",AG74&lt;&gt;"A"),AND(AL74="E",OR(AT74=1,AT74=3))),SickBY*W74,0)</f>
        <v>0</v>
      </c>
      <c r="BX74" s="462">
        <f t="shared" si="24"/>
        <v>18769.951200000003</v>
      </c>
      <c r="BY74" s="462">
        <f t="shared" si="25"/>
        <v>0</v>
      </c>
      <c r="BZ74" s="462">
        <f t="shared" si="26"/>
        <v>0</v>
      </c>
      <c r="CA74" s="462">
        <f t="shared" si="27"/>
        <v>0</v>
      </c>
      <c r="CB74" s="462">
        <f t="shared" si="28"/>
        <v>0</v>
      </c>
      <c r="CC74" s="462">
        <f>IF(AT74&lt;&gt;0,SSHICHG*Y74,0)</f>
        <v>0</v>
      </c>
      <c r="CD74" s="462">
        <f>IF(AND(AT74&lt;&gt;0,AN74&lt;&gt;"NE"),VLOOKUP(AN74,Retirement_Rates,5,FALSE)*Y74,0)</f>
        <v>0</v>
      </c>
      <c r="CE74" s="462">
        <f>IF(AND(AT74&lt;&gt;0,AJ74&lt;&gt;"PF"),LifeCHG*Y74,0)</f>
        <v>0</v>
      </c>
      <c r="CF74" s="462">
        <f>IF(AND(AT74&lt;&gt;0,AM74="Y"),UICHG*Y74,0)</f>
        <v>-437.23679999999996</v>
      </c>
      <c r="CG74" s="462">
        <f>IF(AND(AT74&lt;&gt;0,N74&lt;&gt;"NR"),DHRCHG*Y74,0)</f>
        <v>0</v>
      </c>
      <c r="CH74" s="462">
        <f>IF(AT74&lt;&gt;0,WCCHG*Y74,0)</f>
        <v>-26.769600000000011</v>
      </c>
      <c r="CI74" s="462">
        <f>IF(OR(AND(AT74&lt;&gt;0,AJ74&lt;&gt;"PF",AN74&lt;&gt;"NE",AG74&lt;&gt;"A"),AND(AL74="E",OR(AT74=1,AT74=3))),SickCHG*Y74,0)</f>
        <v>0</v>
      </c>
      <c r="CJ74" s="462">
        <f t="shared" si="29"/>
        <v>-464.00639999999999</v>
      </c>
      <c r="CK74" s="462" t="str">
        <f t="shared" si="30"/>
        <v/>
      </c>
      <c r="CL74" s="462" t="str">
        <f t="shared" si="31"/>
        <v/>
      </c>
      <c r="CM74" s="462" t="str">
        <f t="shared" si="32"/>
        <v/>
      </c>
      <c r="CN74" s="462" t="str">
        <f t="shared" si="33"/>
        <v>0450-38</v>
      </c>
    </row>
    <row r="75" spans="1:92" ht="15" thickBot="1" x14ac:dyDescent="0.35">
      <c r="A75" s="376" t="s">
        <v>161</v>
      </c>
      <c r="B75" s="376" t="s">
        <v>162</v>
      </c>
      <c r="C75" s="376" t="s">
        <v>499</v>
      </c>
      <c r="D75" s="376" t="s">
        <v>356</v>
      </c>
      <c r="E75" s="376" t="s">
        <v>314</v>
      </c>
      <c r="F75" s="382" t="s">
        <v>406</v>
      </c>
      <c r="G75" s="376" t="s">
        <v>167</v>
      </c>
      <c r="H75" s="378"/>
      <c r="I75" s="378"/>
      <c r="J75" s="376" t="s">
        <v>168</v>
      </c>
      <c r="K75" s="376" t="s">
        <v>358</v>
      </c>
      <c r="L75" s="376" t="s">
        <v>176</v>
      </c>
      <c r="M75" s="376" t="s">
        <v>171</v>
      </c>
      <c r="N75" s="376" t="s">
        <v>172</v>
      </c>
      <c r="O75" s="379">
        <v>1</v>
      </c>
      <c r="P75" s="460">
        <v>1</v>
      </c>
      <c r="Q75" s="460">
        <v>1</v>
      </c>
      <c r="R75" s="380">
        <v>80</v>
      </c>
      <c r="S75" s="460">
        <v>1</v>
      </c>
      <c r="T75" s="380">
        <v>51308.7</v>
      </c>
      <c r="U75" s="380">
        <v>0</v>
      </c>
      <c r="V75" s="380">
        <v>22461.33</v>
      </c>
      <c r="W75" s="380">
        <v>52748.800000000003</v>
      </c>
      <c r="X75" s="380">
        <v>23019.95</v>
      </c>
      <c r="Y75" s="380">
        <v>52748.800000000003</v>
      </c>
      <c r="Z75" s="380">
        <v>22745.67</v>
      </c>
      <c r="AA75" s="376" t="s">
        <v>500</v>
      </c>
      <c r="AB75" s="376" t="s">
        <v>501</v>
      </c>
      <c r="AC75" s="376" t="s">
        <v>502</v>
      </c>
      <c r="AD75" s="376" t="s">
        <v>216</v>
      </c>
      <c r="AE75" s="376" t="s">
        <v>358</v>
      </c>
      <c r="AF75" s="376" t="s">
        <v>190</v>
      </c>
      <c r="AG75" s="376" t="s">
        <v>178</v>
      </c>
      <c r="AH75" s="381">
        <v>25.36</v>
      </c>
      <c r="AI75" s="381">
        <v>15032.6</v>
      </c>
      <c r="AJ75" s="376" t="s">
        <v>179</v>
      </c>
      <c r="AK75" s="376" t="s">
        <v>180</v>
      </c>
      <c r="AL75" s="376" t="s">
        <v>181</v>
      </c>
      <c r="AM75" s="376" t="s">
        <v>182</v>
      </c>
      <c r="AN75" s="376" t="s">
        <v>68</v>
      </c>
      <c r="AO75" s="379">
        <v>80</v>
      </c>
      <c r="AP75" s="460">
        <v>1</v>
      </c>
      <c r="AQ75" s="460">
        <v>1</v>
      </c>
      <c r="AR75" s="458" t="s">
        <v>183</v>
      </c>
      <c r="AS75" s="462">
        <f t="shared" si="17"/>
        <v>1</v>
      </c>
      <c r="AT75">
        <f t="shared" si="18"/>
        <v>1</v>
      </c>
      <c r="AU75" s="462">
        <f>IF(AT75=0,"",IF(AND(AT75=1,M75="F",SUMIF(C2:C170,C75,AS2:AS170)&lt;=1),SUMIF(C2:C170,C75,AS2:AS170),IF(AND(AT75=1,M75="F",SUMIF(C2:C170,C75,AS2:AS170)&gt;1),1,"")))</f>
        <v>1</v>
      </c>
      <c r="AV75" s="462" t="str">
        <f>IF(AT75=0,"",IF(AND(AT75=3,M75="F",SUMIF(C2:C170,C75,AS2:AS170)&lt;=1),SUMIF(C2:C170,C75,AS2:AS170),IF(AND(AT75=3,M75="F",SUMIF(C2:C170,C75,AS2:AS170)&gt;1),1,"")))</f>
        <v/>
      </c>
      <c r="AW75" s="462">
        <f>SUMIF(C2:C170,C75,O2:O170)</f>
        <v>1</v>
      </c>
      <c r="AX75" s="462">
        <f>IF(AND(M75="F",AS75&lt;&gt;0),SUMIF(C2:C170,C75,W2:W170),0)</f>
        <v>52748.800000000003</v>
      </c>
      <c r="AY75" s="462">
        <f t="shared" si="19"/>
        <v>52748.800000000003</v>
      </c>
      <c r="AZ75" s="462" t="str">
        <f t="shared" si="20"/>
        <v/>
      </c>
      <c r="BA75" s="462">
        <f t="shared" si="21"/>
        <v>0</v>
      </c>
      <c r="BB75" s="462">
        <f>IF(AND(AT75=1,AK75="E",AU75&gt;=0.75,AW75=1),Health,IF(AND(AT75=1,AK75="E",AU75&gt;=0.75),Health*P75,IF(AND(AT75=1,AK75="E",AU75&gt;=0.5,AW75=1),PTHealth,IF(AND(AT75=1,AK75="E",AU75&gt;=0.5),PTHealth*P75,0))))</f>
        <v>11650</v>
      </c>
      <c r="BC75" s="462">
        <f>IF(AND(AT75=3,AK75="E",AV75&gt;=0.75,AW75=1),Health,IF(AND(AT75=3,AK75="E",AV75&gt;=0.75),Health*P75,IF(AND(AT75=3,AK75="E",AV75&gt;=0.5,AW75=1),PTHealth,IF(AND(AT75=3,AK75="E",AV75&gt;=0.5),PTHealth*P75,0))))</f>
        <v>0</v>
      </c>
      <c r="BD75" s="462">
        <f>IF(AND(AT75&lt;&gt;0,AX75&gt;=MAXSSDI),SSDI*MAXSSDI*P75,IF(AT75&lt;&gt;0,SSDI*W75,0))</f>
        <v>3270.4256</v>
      </c>
      <c r="BE75" s="462">
        <f>IF(AT75&lt;&gt;0,SSHI*W75,0)</f>
        <v>764.85760000000005</v>
      </c>
      <c r="BF75" s="462">
        <f>IF(AND(AT75&lt;&gt;0,AN75&lt;&gt;"NE"),VLOOKUP(AN75,Retirement_Rates,3,FALSE)*W75,0)</f>
        <v>6298.206720000001</v>
      </c>
      <c r="BG75" s="462">
        <f>IF(AND(AT75&lt;&gt;0,AJ75&lt;&gt;"PF"),Life*W75,0)</f>
        <v>380.31884800000006</v>
      </c>
      <c r="BH75" s="462">
        <f>IF(AND(AT75&lt;&gt;0,AM75="Y"),UI*W75,0)</f>
        <v>258.46912000000003</v>
      </c>
      <c r="BI75" s="462">
        <f>IF(AND(AT75&lt;&gt;0,N75&lt;&gt;"NR"),DHR*W75,0)</f>
        <v>292.22835200000003</v>
      </c>
      <c r="BJ75" s="462">
        <f>IF(AT75&lt;&gt;0,WC*W75,0)</f>
        <v>105.49760000000001</v>
      </c>
      <c r="BK75" s="462">
        <f>IF(OR(AND(AT75&lt;&gt;0,AJ75&lt;&gt;"PF",AN75&lt;&gt;"NE",AG75&lt;&gt;"A"),AND(AL75="E",OR(AT75=1,AT75=3))),Sick*W75,0)</f>
        <v>0</v>
      </c>
      <c r="BL75" s="462">
        <f t="shared" si="22"/>
        <v>11370.003840000001</v>
      </c>
      <c r="BM75" s="462">
        <f t="shared" si="23"/>
        <v>0</v>
      </c>
      <c r="BN75" s="462">
        <f>IF(AND(AT75=1,AK75="E",AU75&gt;=0.75,AW75=1),HealthBY,IF(AND(AT75=1,AK75="E",AU75&gt;=0.75),HealthBY*P75,IF(AND(AT75=1,AK75="E",AU75&gt;=0.5,AW75=1),PTHealthBY,IF(AND(AT75=1,AK75="E",AU75&gt;=0.5),PTHealthBY*P75,0))))</f>
        <v>11650</v>
      </c>
      <c r="BO75" s="462">
        <f>IF(AND(AT75=3,AK75="E",AV75&gt;=0.75,AW75=1),HealthBY,IF(AND(AT75=3,AK75="E",AV75&gt;=0.75),HealthBY*P75,IF(AND(AT75=3,AK75="E",AV75&gt;=0.5,AW75=1),PTHealthBY,IF(AND(AT75=3,AK75="E",AV75&gt;=0.5),PTHealthBY*P75,0))))</f>
        <v>0</v>
      </c>
      <c r="BP75" s="462">
        <f>IF(AND(AT75&lt;&gt;0,(AX75+BA75)&gt;=MAXSSDIBY),SSDIBY*MAXSSDIBY*P75,IF(AT75&lt;&gt;0,SSDIBY*W75,0))</f>
        <v>3270.4256</v>
      </c>
      <c r="BQ75" s="462">
        <f>IF(AT75&lt;&gt;0,SSHIBY*W75,0)</f>
        <v>764.85760000000005</v>
      </c>
      <c r="BR75" s="462">
        <f>IF(AND(AT75&lt;&gt;0,AN75&lt;&gt;"NE"),VLOOKUP(AN75,Retirement_Rates,4,FALSE)*W75,0)</f>
        <v>6298.206720000001</v>
      </c>
      <c r="BS75" s="462">
        <f>IF(AND(AT75&lt;&gt;0,AJ75&lt;&gt;"PF"),LifeBY*W75,0)</f>
        <v>380.31884800000006</v>
      </c>
      <c r="BT75" s="462">
        <f>IF(AND(AT75&lt;&gt;0,AM75="Y"),UIBY*W75,0)</f>
        <v>0</v>
      </c>
      <c r="BU75" s="462">
        <f>IF(AND(AT75&lt;&gt;0,N75&lt;&gt;"NR"),DHRBY*W75,0)</f>
        <v>292.22835200000003</v>
      </c>
      <c r="BV75" s="462">
        <f>IF(AT75&lt;&gt;0,WCBY*W75,0)</f>
        <v>89.672960000000003</v>
      </c>
      <c r="BW75" s="462">
        <f>IF(OR(AND(AT75&lt;&gt;0,AJ75&lt;&gt;"PF",AN75&lt;&gt;"NE",AG75&lt;&gt;"A"),AND(AL75="E",OR(AT75=1,AT75=3))),SickBY*W75,0)</f>
        <v>0</v>
      </c>
      <c r="BX75" s="462">
        <f t="shared" si="24"/>
        <v>11095.710080000001</v>
      </c>
      <c r="BY75" s="462">
        <f t="shared" si="25"/>
        <v>0</v>
      </c>
      <c r="BZ75" s="462">
        <f t="shared" si="26"/>
        <v>0</v>
      </c>
      <c r="CA75" s="462">
        <f t="shared" si="27"/>
        <v>0</v>
      </c>
      <c r="CB75" s="462">
        <f t="shared" si="28"/>
        <v>0</v>
      </c>
      <c r="CC75" s="462">
        <f>IF(AT75&lt;&gt;0,SSHICHG*Y75,0)</f>
        <v>0</v>
      </c>
      <c r="CD75" s="462">
        <f>IF(AND(AT75&lt;&gt;0,AN75&lt;&gt;"NE"),VLOOKUP(AN75,Retirement_Rates,5,FALSE)*Y75,0)</f>
        <v>0</v>
      </c>
      <c r="CE75" s="462">
        <f>IF(AND(AT75&lt;&gt;0,AJ75&lt;&gt;"PF"),LifeCHG*Y75,0)</f>
        <v>0</v>
      </c>
      <c r="CF75" s="462">
        <f>IF(AND(AT75&lt;&gt;0,AM75="Y"),UICHG*Y75,0)</f>
        <v>-258.46912000000003</v>
      </c>
      <c r="CG75" s="462">
        <f>IF(AND(AT75&lt;&gt;0,N75&lt;&gt;"NR"),DHRCHG*Y75,0)</f>
        <v>0</v>
      </c>
      <c r="CH75" s="462">
        <f>IF(AT75&lt;&gt;0,WCCHG*Y75,0)</f>
        <v>-15.824640000000008</v>
      </c>
      <c r="CI75" s="462">
        <f>IF(OR(AND(AT75&lt;&gt;0,AJ75&lt;&gt;"PF",AN75&lt;&gt;"NE",AG75&lt;&gt;"A"),AND(AL75="E",OR(AT75=1,AT75=3))),SickCHG*Y75,0)</f>
        <v>0</v>
      </c>
      <c r="CJ75" s="462">
        <f t="shared" si="29"/>
        <v>-274.29376000000002</v>
      </c>
      <c r="CK75" s="462" t="str">
        <f t="shared" si="30"/>
        <v/>
      </c>
      <c r="CL75" s="462" t="str">
        <f t="shared" si="31"/>
        <v/>
      </c>
      <c r="CM75" s="462" t="str">
        <f t="shared" si="32"/>
        <v/>
      </c>
      <c r="CN75" s="462" t="str">
        <f t="shared" si="33"/>
        <v>0450-38</v>
      </c>
    </row>
    <row r="76" spans="1:92" ht="15" thickBot="1" x14ac:dyDescent="0.35">
      <c r="A76" s="376" t="s">
        <v>161</v>
      </c>
      <c r="B76" s="376" t="s">
        <v>162</v>
      </c>
      <c r="C76" s="376" t="s">
        <v>503</v>
      </c>
      <c r="D76" s="376" t="s">
        <v>313</v>
      </c>
      <c r="E76" s="376" t="s">
        <v>314</v>
      </c>
      <c r="F76" s="382" t="s">
        <v>406</v>
      </c>
      <c r="G76" s="376" t="s">
        <v>167</v>
      </c>
      <c r="H76" s="378"/>
      <c r="I76" s="378"/>
      <c r="J76" s="376" t="s">
        <v>168</v>
      </c>
      <c r="K76" s="376" t="s">
        <v>316</v>
      </c>
      <c r="L76" s="376" t="s">
        <v>216</v>
      </c>
      <c r="M76" s="376" t="s">
        <v>171</v>
      </c>
      <c r="N76" s="376" t="s">
        <v>172</v>
      </c>
      <c r="O76" s="379">
        <v>1</v>
      </c>
      <c r="P76" s="460">
        <v>1</v>
      </c>
      <c r="Q76" s="460">
        <v>1</v>
      </c>
      <c r="R76" s="380">
        <v>80</v>
      </c>
      <c r="S76" s="460">
        <v>1</v>
      </c>
      <c r="T76" s="380">
        <v>75515.83</v>
      </c>
      <c r="U76" s="380">
        <v>0</v>
      </c>
      <c r="V76" s="380">
        <v>28434.58</v>
      </c>
      <c r="W76" s="380">
        <v>76627.199999999997</v>
      </c>
      <c r="X76" s="380">
        <v>28166.959999999999</v>
      </c>
      <c r="Y76" s="380">
        <v>76627.199999999997</v>
      </c>
      <c r="Z76" s="380">
        <v>27768.5</v>
      </c>
      <c r="AA76" s="376" t="s">
        <v>504</v>
      </c>
      <c r="AB76" s="376" t="s">
        <v>505</v>
      </c>
      <c r="AC76" s="376" t="s">
        <v>506</v>
      </c>
      <c r="AD76" s="376" t="s">
        <v>507</v>
      </c>
      <c r="AE76" s="376" t="s">
        <v>316</v>
      </c>
      <c r="AF76" s="376" t="s">
        <v>311</v>
      </c>
      <c r="AG76" s="376" t="s">
        <v>178</v>
      </c>
      <c r="AH76" s="381">
        <v>36.840000000000003</v>
      </c>
      <c r="AI76" s="381">
        <v>42367.9</v>
      </c>
      <c r="AJ76" s="376" t="s">
        <v>179</v>
      </c>
      <c r="AK76" s="376" t="s">
        <v>180</v>
      </c>
      <c r="AL76" s="376" t="s">
        <v>181</v>
      </c>
      <c r="AM76" s="376" t="s">
        <v>182</v>
      </c>
      <c r="AN76" s="376" t="s">
        <v>68</v>
      </c>
      <c r="AO76" s="379">
        <v>80</v>
      </c>
      <c r="AP76" s="460">
        <v>1</v>
      </c>
      <c r="AQ76" s="460">
        <v>1</v>
      </c>
      <c r="AR76" s="458" t="s">
        <v>183</v>
      </c>
      <c r="AS76" s="462">
        <f t="shared" si="17"/>
        <v>1</v>
      </c>
      <c r="AT76">
        <f t="shared" si="18"/>
        <v>1</v>
      </c>
      <c r="AU76" s="462">
        <f>IF(AT76=0,"",IF(AND(AT76=1,M76="F",SUMIF(C2:C170,C76,AS2:AS170)&lt;=1),SUMIF(C2:C170,C76,AS2:AS170),IF(AND(AT76=1,M76="F",SUMIF(C2:C170,C76,AS2:AS170)&gt;1),1,"")))</f>
        <v>1</v>
      </c>
      <c r="AV76" s="462" t="str">
        <f>IF(AT76=0,"",IF(AND(AT76=3,M76="F",SUMIF(C2:C170,C76,AS2:AS170)&lt;=1),SUMIF(C2:C170,C76,AS2:AS170),IF(AND(AT76=3,M76="F",SUMIF(C2:C170,C76,AS2:AS170)&gt;1),1,"")))</f>
        <v/>
      </c>
      <c r="AW76" s="462">
        <f>SUMIF(C2:C170,C76,O2:O170)</f>
        <v>1</v>
      </c>
      <c r="AX76" s="462">
        <f>IF(AND(M76="F",AS76&lt;&gt;0),SUMIF(C2:C170,C76,W2:W170),0)</f>
        <v>76627.199999999997</v>
      </c>
      <c r="AY76" s="462">
        <f t="shared" si="19"/>
        <v>76627.199999999997</v>
      </c>
      <c r="AZ76" s="462" t="str">
        <f t="shared" si="20"/>
        <v/>
      </c>
      <c r="BA76" s="462">
        <f t="shared" si="21"/>
        <v>0</v>
      </c>
      <c r="BB76" s="462">
        <f>IF(AND(AT76=1,AK76="E",AU76&gt;=0.75,AW76=1),Health,IF(AND(AT76=1,AK76="E",AU76&gt;=0.75),Health*P76,IF(AND(AT76=1,AK76="E",AU76&gt;=0.5,AW76=1),PTHealth,IF(AND(AT76=1,AK76="E",AU76&gt;=0.5),PTHealth*P76,0))))</f>
        <v>11650</v>
      </c>
      <c r="BC76" s="462">
        <f>IF(AND(AT76=3,AK76="E",AV76&gt;=0.75,AW76=1),Health,IF(AND(AT76=3,AK76="E",AV76&gt;=0.75),Health*P76,IF(AND(AT76=3,AK76="E",AV76&gt;=0.5,AW76=1),PTHealth,IF(AND(AT76=3,AK76="E",AV76&gt;=0.5),PTHealth*P76,0))))</f>
        <v>0</v>
      </c>
      <c r="BD76" s="462">
        <f>IF(AND(AT76&lt;&gt;0,AX76&gt;=MAXSSDI),SSDI*MAXSSDI*P76,IF(AT76&lt;&gt;0,SSDI*W76,0))</f>
        <v>4750.8863999999994</v>
      </c>
      <c r="BE76" s="462">
        <f>IF(AT76&lt;&gt;0,SSHI*W76,0)</f>
        <v>1111.0944</v>
      </c>
      <c r="BF76" s="462">
        <f>IF(AND(AT76&lt;&gt;0,AN76&lt;&gt;"NE"),VLOOKUP(AN76,Retirement_Rates,3,FALSE)*W76,0)</f>
        <v>9149.2876799999995</v>
      </c>
      <c r="BG76" s="462">
        <f>IF(AND(AT76&lt;&gt;0,AJ76&lt;&gt;"PF"),Life*W76,0)</f>
        <v>552.48211200000003</v>
      </c>
      <c r="BH76" s="462">
        <f>IF(AND(AT76&lt;&gt;0,AM76="Y"),UI*W76,0)</f>
        <v>375.47327999999999</v>
      </c>
      <c r="BI76" s="462">
        <f>IF(AND(AT76&lt;&gt;0,N76&lt;&gt;"NR"),DHR*W76,0)</f>
        <v>424.51468799999998</v>
      </c>
      <c r="BJ76" s="462">
        <f>IF(AT76&lt;&gt;0,WC*W76,0)</f>
        <v>153.2544</v>
      </c>
      <c r="BK76" s="462">
        <f>IF(OR(AND(AT76&lt;&gt;0,AJ76&lt;&gt;"PF",AN76&lt;&gt;"NE",AG76&lt;&gt;"A"),AND(AL76="E",OR(AT76=1,AT76=3))),Sick*W76,0)</f>
        <v>0</v>
      </c>
      <c r="BL76" s="462">
        <f t="shared" si="22"/>
        <v>16516.99296</v>
      </c>
      <c r="BM76" s="462">
        <f t="shared" si="23"/>
        <v>0</v>
      </c>
      <c r="BN76" s="462">
        <f>IF(AND(AT76=1,AK76="E",AU76&gt;=0.75,AW76=1),HealthBY,IF(AND(AT76=1,AK76="E",AU76&gt;=0.75),HealthBY*P76,IF(AND(AT76=1,AK76="E",AU76&gt;=0.5,AW76=1),PTHealthBY,IF(AND(AT76=1,AK76="E",AU76&gt;=0.5),PTHealthBY*P76,0))))</f>
        <v>11650</v>
      </c>
      <c r="BO76" s="462">
        <f>IF(AND(AT76=3,AK76="E",AV76&gt;=0.75,AW76=1),HealthBY,IF(AND(AT76=3,AK76="E",AV76&gt;=0.75),HealthBY*P76,IF(AND(AT76=3,AK76="E",AV76&gt;=0.5,AW76=1),PTHealthBY,IF(AND(AT76=3,AK76="E",AV76&gt;=0.5),PTHealthBY*P76,0))))</f>
        <v>0</v>
      </c>
      <c r="BP76" s="462">
        <f>IF(AND(AT76&lt;&gt;0,(AX76+BA76)&gt;=MAXSSDIBY),SSDIBY*MAXSSDIBY*P76,IF(AT76&lt;&gt;0,SSDIBY*W76,0))</f>
        <v>4750.8863999999994</v>
      </c>
      <c r="BQ76" s="462">
        <f>IF(AT76&lt;&gt;0,SSHIBY*W76,0)</f>
        <v>1111.0944</v>
      </c>
      <c r="BR76" s="462">
        <f>IF(AND(AT76&lt;&gt;0,AN76&lt;&gt;"NE"),VLOOKUP(AN76,Retirement_Rates,4,FALSE)*W76,0)</f>
        <v>9149.2876799999995</v>
      </c>
      <c r="BS76" s="462">
        <f>IF(AND(AT76&lt;&gt;0,AJ76&lt;&gt;"PF"),LifeBY*W76,0)</f>
        <v>552.48211200000003</v>
      </c>
      <c r="BT76" s="462">
        <f>IF(AND(AT76&lt;&gt;0,AM76="Y"),UIBY*W76,0)</f>
        <v>0</v>
      </c>
      <c r="BU76" s="462">
        <f>IF(AND(AT76&lt;&gt;0,N76&lt;&gt;"NR"),DHRBY*W76,0)</f>
        <v>424.51468799999998</v>
      </c>
      <c r="BV76" s="462">
        <f>IF(AT76&lt;&gt;0,WCBY*W76,0)</f>
        <v>130.26623999999998</v>
      </c>
      <c r="BW76" s="462">
        <f>IF(OR(AND(AT76&lt;&gt;0,AJ76&lt;&gt;"PF",AN76&lt;&gt;"NE",AG76&lt;&gt;"A"),AND(AL76="E",OR(AT76=1,AT76=3))),SickBY*W76,0)</f>
        <v>0</v>
      </c>
      <c r="BX76" s="462">
        <f t="shared" si="24"/>
        <v>16118.531519999999</v>
      </c>
      <c r="BY76" s="462">
        <f t="shared" si="25"/>
        <v>0</v>
      </c>
      <c r="BZ76" s="462">
        <f t="shared" si="26"/>
        <v>0</v>
      </c>
      <c r="CA76" s="462">
        <f t="shared" si="27"/>
        <v>0</v>
      </c>
      <c r="CB76" s="462">
        <f t="shared" si="28"/>
        <v>0</v>
      </c>
      <c r="CC76" s="462">
        <f>IF(AT76&lt;&gt;0,SSHICHG*Y76,0)</f>
        <v>0</v>
      </c>
      <c r="CD76" s="462">
        <f>IF(AND(AT76&lt;&gt;0,AN76&lt;&gt;"NE"),VLOOKUP(AN76,Retirement_Rates,5,FALSE)*Y76,0)</f>
        <v>0</v>
      </c>
      <c r="CE76" s="462">
        <f>IF(AND(AT76&lt;&gt;0,AJ76&lt;&gt;"PF"),LifeCHG*Y76,0)</f>
        <v>0</v>
      </c>
      <c r="CF76" s="462">
        <f>IF(AND(AT76&lt;&gt;0,AM76="Y"),UICHG*Y76,0)</f>
        <v>-375.47327999999999</v>
      </c>
      <c r="CG76" s="462">
        <f>IF(AND(AT76&lt;&gt;0,N76&lt;&gt;"NR"),DHRCHG*Y76,0)</f>
        <v>0</v>
      </c>
      <c r="CH76" s="462">
        <f>IF(AT76&lt;&gt;0,WCCHG*Y76,0)</f>
        <v>-22.988160000000011</v>
      </c>
      <c r="CI76" s="462">
        <f>IF(OR(AND(AT76&lt;&gt;0,AJ76&lt;&gt;"PF",AN76&lt;&gt;"NE",AG76&lt;&gt;"A"),AND(AL76="E",OR(AT76=1,AT76=3))),SickCHG*Y76,0)</f>
        <v>0</v>
      </c>
      <c r="CJ76" s="462">
        <f t="shared" si="29"/>
        <v>-398.46143999999998</v>
      </c>
      <c r="CK76" s="462" t="str">
        <f t="shared" si="30"/>
        <v/>
      </c>
      <c r="CL76" s="462" t="str">
        <f t="shared" si="31"/>
        <v/>
      </c>
      <c r="CM76" s="462" t="str">
        <f t="shared" si="32"/>
        <v/>
      </c>
      <c r="CN76" s="462" t="str">
        <f t="shared" si="33"/>
        <v>0450-38</v>
      </c>
    </row>
    <row r="77" spans="1:92" ht="15" thickBot="1" x14ac:dyDescent="0.35">
      <c r="A77" s="376" t="s">
        <v>161</v>
      </c>
      <c r="B77" s="376" t="s">
        <v>162</v>
      </c>
      <c r="C77" s="376" t="s">
        <v>508</v>
      </c>
      <c r="D77" s="376" t="s">
        <v>356</v>
      </c>
      <c r="E77" s="376" t="s">
        <v>314</v>
      </c>
      <c r="F77" s="382" t="s">
        <v>406</v>
      </c>
      <c r="G77" s="376" t="s">
        <v>167</v>
      </c>
      <c r="H77" s="378"/>
      <c r="I77" s="378"/>
      <c r="J77" s="376" t="s">
        <v>168</v>
      </c>
      <c r="K77" s="376" t="s">
        <v>358</v>
      </c>
      <c r="L77" s="376" t="s">
        <v>176</v>
      </c>
      <c r="M77" s="376" t="s">
        <v>171</v>
      </c>
      <c r="N77" s="376" t="s">
        <v>172</v>
      </c>
      <c r="O77" s="379">
        <v>1</v>
      </c>
      <c r="P77" s="460">
        <v>1</v>
      </c>
      <c r="Q77" s="460">
        <v>1</v>
      </c>
      <c r="R77" s="380">
        <v>80</v>
      </c>
      <c r="S77" s="460">
        <v>1</v>
      </c>
      <c r="T77" s="380">
        <v>47539.57</v>
      </c>
      <c r="U77" s="380">
        <v>0</v>
      </c>
      <c r="V77" s="380">
        <v>21560.240000000002</v>
      </c>
      <c r="W77" s="380">
        <v>52748.800000000003</v>
      </c>
      <c r="X77" s="380">
        <v>23019.95</v>
      </c>
      <c r="Y77" s="380">
        <v>52748.800000000003</v>
      </c>
      <c r="Z77" s="380">
        <v>22745.67</v>
      </c>
      <c r="AA77" s="376" t="s">
        <v>509</v>
      </c>
      <c r="AB77" s="376" t="s">
        <v>510</v>
      </c>
      <c r="AC77" s="376" t="s">
        <v>395</v>
      </c>
      <c r="AD77" s="376" t="s">
        <v>353</v>
      </c>
      <c r="AE77" s="376" t="s">
        <v>358</v>
      </c>
      <c r="AF77" s="376" t="s">
        <v>190</v>
      </c>
      <c r="AG77" s="376" t="s">
        <v>178</v>
      </c>
      <c r="AH77" s="381">
        <v>25.36</v>
      </c>
      <c r="AI77" s="381">
        <v>2016.9</v>
      </c>
      <c r="AJ77" s="376" t="s">
        <v>179</v>
      </c>
      <c r="AK77" s="376" t="s">
        <v>180</v>
      </c>
      <c r="AL77" s="376" t="s">
        <v>181</v>
      </c>
      <c r="AM77" s="376" t="s">
        <v>182</v>
      </c>
      <c r="AN77" s="376" t="s">
        <v>68</v>
      </c>
      <c r="AO77" s="379">
        <v>80</v>
      </c>
      <c r="AP77" s="460">
        <v>1</v>
      </c>
      <c r="AQ77" s="460">
        <v>1</v>
      </c>
      <c r="AR77" s="458" t="s">
        <v>183</v>
      </c>
      <c r="AS77" s="462">
        <f t="shared" si="17"/>
        <v>1</v>
      </c>
      <c r="AT77">
        <f t="shared" si="18"/>
        <v>1</v>
      </c>
      <c r="AU77" s="462">
        <f>IF(AT77=0,"",IF(AND(AT77=1,M77="F",SUMIF(C2:C170,C77,AS2:AS170)&lt;=1),SUMIF(C2:C170,C77,AS2:AS170),IF(AND(AT77=1,M77="F",SUMIF(C2:C170,C77,AS2:AS170)&gt;1),1,"")))</f>
        <v>1</v>
      </c>
      <c r="AV77" s="462" t="str">
        <f>IF(AT77=0,"",IF(AND(AT77=3,M77="F",SUMIF(C2:C170,C77,AS2:AS170)&lt;=1),SUMIF(C2:C170,C77,AS2:AS170),IF(AND(AT77=3,M77="F",SUMIF(C2:C170,C77,AS2:AS170)&gt;1),1,"")))</f>
        <v/>
      </c>
      <c r="AW77" s="462">
        <f>SUMIF(C2:C170,C77,O2:O170)</f>
        <v>1</v>
      </c>
      <c r="AX77" s="462">
        <f>IF(AND(M77="F",AS77&lt;&gt;0),SUMIF(C2:C170,C77,W2:W170),0)</f>
        <v>52748.800000000003</v>
      </c>
      <c r="AY77" s="462">
        <f t="shared" si="19"/>
        <v>52748.800000000003</v>
      </c>
      <c r="AZ77" s="462" t="str">
        <f t="shared" si="20"/>
        <v/>
      </c>
      <c r="BA77" s="462">
        <f t="shared" si="21"/>
        <v>0</v>
      </c>
      <c r="BB77" s="462">
        <f>IF(AND(AT77=1,AK77="E",AU77&gt;=0.75,AW77=1),Health,IF(AND(AT77=1,AK77="E",AU77&gt;=0.75),Health*P77,IF(AND(AT77=1,AK77="E",AU77&gt;=0.5,AW77=1),PTHealth,IF(AND(AT77=1,AK77="E",AU77&gt;=0.5),PTHealth*P77,0))))</f>
        <v>11650</v>
      </c>
      <c r="BC77" s="462">
        <f>IF(AND(AT77=3,AK77="E",AV77&gt;=0.75,AW77=1),Health,IF(AND(AT77=3,AK77="E",AV77&gt;=0.75),Health*P77,IF(AND(AT77=3,AK77="E",AV77&gt;=0.5,AW77=1),PTHealth,IF(AND(AT77=3,AK77="E",AV77&gt;=0.5),PTHealth*P77,0))))</f>
        <v>0</v>
      </c>
      <c r="BD77" s="462">
        <f>IF(AND(AT77&lt;&gt;0,AX77&gt;=MAXSSDI),SSDI*MAXSSDI*P77,IF(AT77&lt;&gt;0,SSDI*W77,0))</f>
        <v>3270.4256</v>
      </c>
      <c r="BE77" s="462">
        <f>IF(AT77&lt;&gt;0,SSHI*W77,0)</f>
        <v>764.85760000000005</v>
      </c>
      <c r="BF77" s="462">
        <f>IF(AND(AT77&lt;&gt;0,AN77&lt;&gt;"NE"),VLOOKUP(AN77,Retirement_Rates,3,FALSE)*W77,0)</f>
        <v>6298.206720000001</v>
      </c>
      <c r="BG77" s="462">
        <f>IF(AND(AT77&lt;&gt;0,AJ77&lt;&gt;"PF"),Life*W77,0)</f>
        <v>380.31884800000006</v>
      </c>
      <c r="BH77" s="462">
        <f>IF(AND(AT77&lt;&gt;0,AM77="Y"),UI*W77,0)</f>
        <v>258.46912000000003</v>
      </c>
      <c r="BI77" s="462">
        <f>IF(AND(AT77&lt;&gt;0,N77&lt;&gt;"NR"),DHR*W77,0)</f>
        <v>292.22835200000003</v>
      </c>
      <c r="BJ77" s="462">
        <f>IF(AT77&lt;&gt;0,WC*W77,0)</f>
        <v>105.49760000000001</v>
      </c>
      <c r="BK77" s="462">
        <f>IF(OR(AND(AT77&lt;&gt;0,AJ77&lt;&gt;"PF",AN77&lt;&gt;"NE",AG77&lt;&gt;"A"),AND(AL77="E",OR(AT77=1,AT77=3))),Sick*W77,0)</f>
        <v>0</v>
      </c>
      <c r="BL77" s="462">
        <f t="shared" si="22"/>
        <v>11370.003840000001</v>
      </c>
      <c r="BM77" s="462">
        <f t="shared" si="23"/>
        <v>0</v>
      </c>
      <c r="BN77" s="462">
        <f>IF(AND(AT77=1,AK77="E",AU77&gt;=0.75,AW77=1),HealthBY,IF(AND(AT77=1,AK77="E",AU77&gt;=0.75),HealthBY*P77,IF(AND(AT77=1,AK77="E",AU77&gt;=0.5,AW77=1),PTHealthBY,IF(AND(AT77=1,AK77="E",AU77&gt;=0.5),PTHealthBY*P77,0))))</f>
        <v>11650</v>
      </c>
      <c r="BO77" s="462">
        <f>IF(AND(AT77=3,AK77="E",AV77&gt;=0.75,AW77=1),HealthBY,IF(AND(AT77=3,AK77="E",AV77&gt;=0.75),HealthBY*P77,IF(AND(AT77=3,AK77="E",AV77&gt;=0.5,AW77=1),PTHealthBY,IF(AND(AT77=3,AK77="E",AV77&gt;=0.5),PTHealthBY*P77,0))))</f>
        <v>0</v>
      </c>
      <c r="BP77" s="462">
        <f>IF(AND(AT77&lt;&gt;0,(AX77+BA77)&gt;=MAXSSDIBY),SSDIBY*MAXSSDIBY*P77,IF(AT77&lt;&gt;0,SSDIBY*W77,0))</f>
        <v>3270.4256</v>
      </c>
      <c r="BQ77" s="462">
        <f>IF(AT77&lt;&gt;0,SSHIBY*W77,0)</f>
        <v>764.85760000000005</v>
      </c>
      <c r="BR77" s="462">
        <f>IF(AND(AT77&lt;&gt;0,AN77&lt;&gt;"NE"),VLOOKUP(AN77,Retirement_Rates,4,FALSE)*W77,0)</f>
        <v>6298.206720000001</v>
      </c>
      <c r="BS77" s="462">
        <f>IF(AND(AT77&lt;&gt;0,AJ77&lt;&gt;"PF"),LifeBY*W77,0)</f>
        <v>380.31884800000006</v>
      </c>
      <c r="BT77" s="462">
        <f>IF(AND(AT77&lt;&gt;0,AM77="Y"),UIBY*W77,0)</f>
        <v>0</v>
      </c>
      <c r="BU77" s="462">
        <f>IF(AND(AT77&lt;&gt;0,N77&lt;&gt;"NR"),DHRBY*W77,0)</f>
        <v>292.22835200000003</v>
      </c>
      <c r="BV77" s="462">
        <f>IF(AT77&lt;&gt;0,WCBY*W77,0)</f>
        <v>89.672960000000003</v>
      </c>
      <c r="BW77" s="462">
        <f>IF(OR(AND(AT77&lt;&gt;0,AJ77&lt;&gt;"PF",AN77&lt;&gt;"NE",AG77&lt;&gt;"A"),AND(AL77="E",OR(AT77=1,AT77=3))),SickBY*W77,0)</f>
        <v>0</v>
      </c>
      <c r="BX77" s="462">
        <f t="shared" si="24"/>
        <v>11095.710080000001</v>
      </c>
      <c r="BY77" s="462">
        <f t="shared" si="25"/>
        <v>0</v>
      </c>
      <c r="BZ77" s="462">
        <f t="shared" si="26"/>
        <v>0</v>
      </c>
      <c r="CA77" s="462">
        <f t="shared" si="27"/>
        <v>0</v>
      </c>
      <c r="CB77" s="462">
        <f t="shared" si="28"/>
        <v>0</v>
      </c>
      <c r="CC77" s="462">
        <f>IF(AT77&lt;&gt;0,SSHICHG*Y77,0)</f>
        <v>0</v>
      </c>
      <c r="CD77" s="462">
        <f>IF(AND(AT77&lt;&gt;0,AN77&lt;&gt;"NE"),VLOOKUP(AN77,Retirement_Rates,5,FALSE)*Y77,0)</f>
        <v>0</v>
      </c>
      <c r="CE77" s="462">
        <f>IF(AND(AT77&lt;&gt;0,AJ77&lt;&gt;"PF"),LifeCHG*Y77,0)</f>
        <v>0</v>
      </c>
      <c r="CF77" s="462">
        <f>IF(AND(AT77&lt;&gt;0,AM77="Y"),UICHG*Y77,0)</f>
        <v>-258.46912000000003</v>
      </c>
      <c r="CG77" s="462">
        <f>IF(AND(AT77&lt;&gt;0,N77&lt;&gt;"NR"),DHRCHG*Y77,0)</f>
        <v>0</v>
      </c>
      <c r="CH77" s="462">
        <f>IF(AT77&lt;&gt;0,WCCHG*Y77,0)</f>
        <v>-15.824640000000008</v>
      </c>
      <c r="CI77" s="462">
        <f>IF(OR(AND(AT77&lt;&gt;0,AJ77&lt;&gt;"PF",AN77&lt;&gt;"NE",AG77&lt;&gt;"A"),AND(AL77="E",OR(AT77=1,AT77=3))),SickCHG*Y77,0)</f>
        <v>0</v>
      </c>
      <c r="CJ77" s="462">
        <f t="shared" si="29"/>
        <v>-274.29376000000002</v>
      </c>
      <c r="CK77" s="462" t="str">
        <f t="shared" si="30"/>
        <v/>
      </c>
      <c r="CL77" s="462" t="str">
        <f t="shared" si="31"/>
        <v/>
      </c>
      <c r="CM77" s="462" t="str">
        <f t="shared" si="32"/>
        <v/>
      </c>
      <c r="CN77" s="462" t="str">
        <f t="shared" si="33"/>
        <v>0450-38</v>
      </c>
    </row>
    <row r="78" spans="1:92" ht="15" thickBot="1" x14ac:dyDescent="0.35">
      <c r="A78" s="376" t="s">
        <v>161</v>
      </c>
      <c r="B78" s="376" t="s">
        <v>162</v>
      </c>
      <c r="C78" s="376" t="s">
        <v>511</v>
      </c>
      <c r="D78" s="376" t="s">
        <v>430</v>
      </c>
      <c r="E78" s="376" t="s">
        <v>314</v>
      </c>
      <c r="F78" s="382" t="s">
        <v>406</v>
      </c>
      <c r="G78" s="376" t="s">
        <v>167</v>
      </c>
      <c r="H78" s="378"/>
      <c r="I78" s="378"/>
      <c r="J78" s="376" t="s">
        <v>168</v>
      </c>
      <c r="K78" s="376" t="s">
        <v>512</v>
      </c>
      <c r="L78" s="376" t="s">
        <v>216</v>
      </c>
      <c r="M78" s="376" t="s">
        <v>171</v>
      </c>
      <c r="N78" s="376" t="s">
        <v>172</v>
      </c>
      <c r="O78" s="379">
        <v>1</v>
      </c>
      <c r="P78" s="460">
        <v>1</v>
      </c>
      <c r="Q78" s="460">
        <v>1</v>
      </c>
      <c r="R78" s="380">
        <v>80</v>
      </c>
      <c r="S78" s="460">
        <v>1</v>
      </c>
      <c r="T78" s="380">
        <v>65161.54</v>
      </c>
      <c r="U78" s="380">
        <v>0</v>
      </c>
      <c r="V78" s="380">
        <v>26242.97</v>
      </c>
      <c r="W78" s="380">
        <v>65832</v>
      </c>
      <c r="X78" s="380">
        <v>25840.05</v>
      </c>
      <c r="Y78" s="380">
        <v>65832</v>
      </c>
      <c r="Z78" s="380">
        <v>25497.73</v>
      </c>
      <c r="AA78" s="376" t="s">
        <v>513</v>
      </c>
      <c r="AB78" s="376" t="s">
        <v>514</v>
      </c>
      <c r="AC78" s="376" t="s">
        <v>329</v>
      </c>
      <c r="AD78" s="376" t="s">
        <v>195</v>
      </c>
      <c r="AE78" s="376" t="s">
        <v>512</v>
      </c>
      <c r="AF78" s="376" t="s">
        <v>311</v>
      </c>
      <c r="AG78" s="376" t="s">
        <v>178</v>
      </c>
      <c r="AH78" s="381">
        <v>31.65</v>
      </c>
      <c r="AI78" s="381">
        <v>43782.8</v>
      </c>
      <c r="AJ78" s="376" t="s">
        <v>179</v>
      </c>
      <c r="AK78" s="376" t="s">
        <v>180</v>
      </c>
      <c r="AL78" s="376" t="s">
        <v>181</v>
      </c>
      <c r="AM78" s="376" t="s">
        <v>182</v>
      </c>
      <c r="AN78" s="376" t="s">
        <v>68</v>
      </c>
      <c r="AO78" s="379">
        <v>80</v>
      </c>
      <c r="AP78" s="460">
        <v>1</v>
      </c>
      <c r="AQ78" s="460">
        <v>1</v>
      </c>
      <c r="AR78" s="458" t="s">
        <v>183</v>
      </c>
      <c r="AS78" s="462">
        <f t="shared" si="17"/>
        <v>1</v>
      </c>
      <c r="AT78">
        <f t="shared" si="18"/>
        <v>1</v>
      </c>
      <c r="AU78" s="462">
        <f>IF(AT78=0,"",IF(AND(AT78=1,M78="F",SUMIF(C2:C170,C78,AS2:AS170)&lt;=1),SUMIF(C2:C170,C78,AS2:AS170),IF(AND(AT78=1,M78="F",SUMIF(C2:C170,C78,AS2:AS170)&gt;1),1,"")))</f>
        <v>1</v>
      </c>
      <c r="AV78" s="462" t="str">
        <f>IF(AT78=0,"",IF(AND(AT78=3,M78="F",SUMIF(C2:C170,C78,AS2:AS170)&lt;=1),SUMIF(C2:C170,C78,AS2:AS170),IF(AND(AT78=3,M78="F",SUMIF(C2:C170,C78,AS2:AS170)&gt;1),1,"")))</f>
        <v/>
      </c>
      <c r="AW78" s="462">
        <f>SUMIF(C2:C170,C78,O2:O170)</f>
        <v>1</v>
      </c>
      <c r="AX78" s="462">
        <f>IF(AND(M78="F",AS78&lt;&gt;0),SUMIF(C2:C170,C78,W2:W170),0)</f>
        <v>65832</v>
      </c>
      <c r="AY78" s="462">
        <f t="shared" si="19"/>
        <v>65832</v>
      </c>
      <c r="AZ78" s="462" t="str">
        <f t="shared" si="20"/>
        <v/>
      </c>
      <c r="BA78" s="462">
        <f t="shared" si="21"/>
        <v>0</v>
      </c>
      <c r="BB78" s="462">
        <f>IF(AND(AT78=1,AK78="E",AU78&gt;=0.75,AW78=1),Health,IF(AND(AT78=1,AK78="E",AU78&gt;=0.75),Health*P78,IF(AND(AT78=1,AK78="E",AU78&gt;=0.5,AW78=1),PTHealth,IF(AND(AT78=1,AK78="E",AU78&gt;=0.5),PTHealth*P78,0))))</f>
        <v>11650</v>
      </c>
      <c r="BC78" s="462">
        <f>IF(AND(AT78=3,AK78="E",AV78&gt;=0.75,AW78=1),Health,IF(AND(AT78=3,AK78="E",AV78&gt;=0.75),Health*P78,IF(AND(AT78=3,AK78="E",AV78&gt;=0.5,AW78=1),PTHealth,IF(AND(AT78=3,AK78="E",AV78&gt;=0.5),PTHealth*P78,0))))</f>
        <v>0</v>
      </c>
      <c r="BD78" s="462">
        <f>IF(AND(AT78&lt;&gt;0,AX78&gt;=MAXSSDI),SSDI*MAXSSDI*P78,IF(AT78&lt;&gt;0,SSDI*W78,0))</f>
        <v>4081.5839999999998</v>
      </c>
      <c r="BE78" s="462">
        <f>IF(AT78&lt;&gt;0,SSHI*W78,0)</f>
        <v>954.56400000000008</v>
      </c>
      <c r="BF78" s="462">
        <f>IF(AND(AT78&lt;&gt;0,AN78&lt;&gt;"NE"),VLOOKUP(AN78,Retirement_Rates,3,FALSE)*W78,0)</f>
        <v>7860.3408000000009</v>
      </c>
      <c r="BG78" s="462">
        <f>IF(AND(AT78&lt;&gt;0,AJ78&lt;&gt;"PF"),Life*W78,0)</f>
        <v>474.64872000000003</v>
      </c>
      <c r="BH78" s="462">
        <f>IF(AND(AT78&lt;&gt;0,AM78="Y"),UI*W78,0)</f>
        <v>322.57679999999999</v>
      </c>
      <c r="BI78" s="462">
        <f>IF(AND(AT78&lt;&gt;0,N78&lt;&gt;"NR"),DHR*W78,0)</f>
        <v>364.70927999999998</v>
      </c>
      <c r="BJ78" s="462">
        <f>IF(AT78&lt;&gt;0,WC*W78,0)</f>
        <v>131.66400000000002</v>
      </c>
      <c r="BK78" s="462">
        <f>IF(OR(AND(AT78&lt;&gt;0,AJ78&lt;&gt;"PF",AN78&lt;&gt;"NE",AG78&lt;&gt;"A"),AND(AL78="E",OR(AT78=1,AT78=3))),Sick*W78,0)</f>
        <v>0</v>
      </c>
      <c r="BL78" s="462">
        <f t="shared" si="22"/>
        <v>14190.087600000001</v>
      </c>
      <c r="BM78" s="462">
        <f t="shared" si="23"/>
        <v>0</v>
      </c>
      <c r="BN78" s="462">
        <f>IF(AND(AT78=1,AK78="E",AU78&gt;=0.75,AW78=1),HealthBY,IF(AND(AT78=1,AK78="E",AU78&gt;=0.75),HealthBY*P78,IF(AND(AT78=1,AK78="E",AU78&gt;=0.5,AW78=1),PTHealthBY,IF(AND(AT78=1,AK78="E",AU78&gt;=0.5),PTHealthBY*P78,0))))</f>
        <v>11650</v>
      </c>
      <c r="BO78" s="462">
        <f>IF(AND(AT78=3,AK78="E",AV78&gt;=0.75,AW78=1),HealthBY,IF(AND(AT78=3,AK78="E",AV78&gt;=0.75),HealthBY*P78,IF(AND(AT78=3,AK78="E",AV78&gt;=0.5,AW78=1),PTHealthBY,IF(AND(AT78=3,AK78="E",AV78&gt;=0.5),PTHealthBY*P78,0))))</f>
        <v>0</v>
      </c>
      <c r="BP78" s="462">
        <f>IF(AND(AT78&lt;&gt;0,(AX78+BA78)&gt;=MAXSSDIBY),SSDIBY*MAXSSDIBY*P78,IF(AT78&lt;&gt;0,SSDIBY*W78,0))</f>
        <v>4081.5839999999998</v>
      </c>
      <c r="BQ78" s="462">
        <f>IF(AT78&lt;&gt;0,SSHIBY*W78,0)</f>
        <v>954.56400000000008</v>
      </c>
      <c r="BR78" s="462">
        <f>IF(AND(AT78&lt;&gt;0,AN78&lt;&gt;"NE"),VLOOKUP(AN78,Retirement_Rates,4,FALSE)*W78,0)</f>
        <v>7860.3408000000009</v>
      </c>
      <c r="BS78" s="462">
        <f>IF(AND(AT78&lt;&gt;0,AJ78&lt;&gt;"PF"),LifeBY*W78,0)</f>
        <v>474.64872000000003</v>
      </c>
      <c r="BT78" s="462">
        <f>IF(AND(AT78&lt;&gt;0,AM78="Y"),UIBY*W78,0)</f>
        <v>0</v>
      </c>
      <c r="BU78" s="462">
        <f>IF(AND(AT78&lt;&gt;0,N78&lt;&gt;"NR"),DHRBY*W78,0)</f>
        <v>364.70927999999998</v>
      </c>
      <c r="BV78" s="462">
        <f>IF(AT78&lt;&gt;0,WCBY*W78,0)</f>
        <v>111.9144</v>
      </c>
      <c r="BW78" s="462">
        <f>IF(OR(AND(AT78&lt;&gt;0,AJ78&lt;&gt;"PF",AN78&lt;&gt;"NE",AG78&lt;&gt;"A"),AND(AL78="E",OR(AT78=1,AT78=3))),SickBY*W78,0)</f>
        <v>0</v>
      </c>
      <c r="BX78" s="462">
        <f t="shared" si="24"/>
        <v>13847.761199999999</v>
      </c>
      <c r="BY78" s="462">
        <f t="shared" si="25"/>
        <v>0</v>
      </c>
      <c r="BZ78" s="462">
        <f t="shared" si="26"/>
        <v>0</v>
      </c>
      <c r="CA78" s="462">
        <f t="shared" si="27"/>
        <v>0</v>
      </c>
      <c r="CB78" s="462">
        <f t="shared" si="28"/>
        <v>0</v>
      </c>
      <c r="CC78" s="462">
        <f>IF(AT78&lt;&gt;0,SSHICHG*Y78,0)</f>
        <v>0</v>
      </c>
      <c r="CD78" s="462">
        <f>IF(AND(AT78&lt;&gt;0,AN78&lt;&gt;"NE"),VLOOKUP(AN78,Retirement_Rates,5,FALSE)*Y78,0)</f>
        <v>0</v>
      </c>
      <c r="CE78" s="462">
        <f>IF(AND(AT78&lt;&gt;0,AJ78&lt;&gt;"PF"),LifeCHG*Y78,0)</f>
        <v>0</v>
      </c>
      <c r="CF78" s="462">
        <f>IF(AND(AT78&lt;&gt;0,AM78="Y"),UICHG*Y78,0)</f>
        <v>-322.57679999999999</v>
      </c>
      <c r="CG78" s="462">
        <f>IF(AND(AT78&lt;&gt;0,N78&lt;&gt;"NR"),DHRCHG*Y78,0)</f>
        <v>0</v>
      </c>
      <c r="CH78" s="462">
        <f>IF(AT78&lt;&gt;0,WCCHG*Y78,0)</f>
        <v>-19.749600000000008</v>
      </c>
      <c r="CI78" s="462">
        <f>IF(OR(AND(AT78&lt;&gt;0,AJ78&lt;&gt;"PF",AN78&lt;&gt;"NE",AG78&lt;&gt;"A"),AND(AL78="E",OR(AT78=1,AT78=3))),SickCHG*Y78,0)</f>
        <v>0</v>
      </c>
      <c r="CJ78" s="462">
        <f t="shared" si="29"/>
        <v>-342.32639999999998</v>
      </c>
      <c r="CK78" s="462" t="str">
        <f t="shared" si="30"/>
        <v/>
      </c>
      <c r="CL78" s="462" t="str">
        <f t="shared" si="31"/>
        <v/>
      </c>
      <c r="CM78" s="462" t="str">
        <f t="shared" si="32"/>
        <v/>
      </c>
      <c r="CN78" s="462" t="str">
        <f t="shared" si="33"/>
        <v>0450-38</v>
      </c>
    </row>
    <row r="79" spans="1:92" ht="15" thickBot="1" x14ac:dyDescent="0.35">
      <c r="A79" s="376" t="s">
        <v>161</v>
      </c>
      <c r="B79" s="376" t="s">
        <v>162</v>
      </c>
      <c r="C79" s="376" t="s">
        <v>515</v>
      </c>
      <c r="D79" s="376" t="s">
        <v>313</v>
      </c>
      <c r="E79" s="376" t="s">
        <v>314</v>
      </c>
      <c r="F79" s="382" t="s">
        <v>406</v>
      </c>
      <c r="G79" s="376" t="s">
        <v>167</v>
      </c>
      <c r="H79" s="378"/>
      <c r="I79" s="378"/>
      <c r="J79" s="376" t="s">
        <v>168</v>
      </c>
      <c r="K79" s="376" t="s">
        <v>316</v>
      </c>
      <c r="L79" s="376" t="s">
        <v>216</v>
      </c>
      <c r="M79" s="376" t="s">
        <v>171</v>
      </c>
      <c r="N79" s="376" t="s">
        <v>172</v>
      </c>
      <c r="O79" s="379">
        <v>1</v>
      </c>
      <c r="P79" s="460">
        <v>1</v>
      </c>
      <c r="Q79" s="460">
        <v>1</v>
      </c>
      <c r="R79" s="380">
        <v>80</v>
      </c>
      <c r="S79" s="460">
        <v>1</v>
      </c>
      <c r="T79" s="380">
        <v>62493.27</v>
      </c>
      <c r="U79" s="380">
        <v>0</v>
      </c>
      <c r="V79" s="380">
        <v>25548.81</v>
      </c>
      <c r="W79" s="380">
        <v>63856</v>
      </c>
      <c r="X79" s="380">
        <v>25414.14</v>
      </c>
      <c r="Y79" s="380">
        <v>63856</v>
      </c>
      <c r="Z79" s="380">
        <v>25082.09</v>
      </c>
      <c r="AA79" s="376" t="s">
        <v>516</v>
      </c>
      <c r="AB79" s="376" t="s">
        <v>517</v>
      </c>
      <c r="AC79" s="376" t="s">
        <v>518</v>
      </c>
      <c r="AD79" s="376" t="s">
        <v>252</v>
      </c>
      <c r="AE79" s="376" t="s">
        <v>316</v>
      </c>
      <c r="AF79" s="376" t="s">
        <v>311</v>
      </c>
      <c r="AG79" s="376" t="s">
        <v>178</v>
      </c>
      <c r="AH79" s="381">
        <v>30.7</v>
      </c>
      <c r="AI79" s="381">
        <v>21086.6</v>
      </c>
      <c r="AJ79" s="376" t="s">
        <v>179</v>
      </c>
      <c r="AK79" s="376" t="s">
        <v>180</v>
      </c>
      <c r="AL79" s="376" t="s">
        <v>181</v>
      </c>
      <c r="AM79" s="376" t="s">
        <v>182</v>
      </c>
      <c r="AN79" s="376" t="s">
        <v>68</v>
      </c>
      <c r="AO79" s="379">
        <v>80</v>
      </c>
      <c r="AP79" s="460">
        <v>1</v>
      </c>
      <c r="AQ79" s="460">
        <v>1</v>
      </c>
      <c r="AR79" s="458" t="s">
        <v>183</v>
      </c>
      <c r="AS79" s="462">
        <f t="shared" si="17"/>
        <v>1</v>
      </c>
      <c r="AT79">
        <f t="shared" si="18"/>
        <v>1</v>
      </c>
      <c r="AU79" s="462">
        <f>IF(AT79=0,"",IF(AND(AT79=1,M79="F",SUMIF(C2:C170,C79,AS2:AS170)&lt;=1),SUMIF(C2:C170,C79,AS2:AS170),IF(AND(AT79=1,M79="F",SUMIF(C2:C170,C79,AS2:AS170)&gt;1),1,"")))</f>
        <v>1</v>
      </c>
      <c r="AV79" s="462" t="str">
        <f>IF(AT79=0,"",IF(AND(AT79=3,M79="F",SUMIF(C2:C170,C79,AS2:AS170)&lt;=1),SUMIF(C2:C170,C79,AS2:AS170),IF(AND(AT79=3,M79="F",SUMIF(C2:C170,C79,AS2:AS170)&gt;1),1,"")))</f>
        <v/>
      </c>
      <c r="AW79" s="462">
        <f>SUMIF(C2:C170,C79,O2:O170)</f>
        <v>1</v>
      </c>
      <c r="AX79" s="462">
        <f>IF(AND(M79="F",AS79&lt;&gt;0),SUMIF(C2:C170,C79,W2:W170),0)</f>
        <v>63856</v>
      </c>
      <c r="AY79" s="462">
        <f t="shared" si="19"/>
        <v>63856</v>
      </c>
      <c r="AZ79" s="462" t="str">
        <f t="shared" si="20"/>
        <v/>
      </c>
      <c r="BA79" s="462">
        <f t="shared" si="21"/>
        <v>0</v>
      </c>
      <c r="BB79" s="462">
        <f>IF(AND(AT79=1,AK79="E",AU79&gt;=0.75,AW79=1),Health,IF(AND(AT79=1,AK79="E",AU79&gt;=0.75),Health*P79,IF(AND(AT79=1,AK79="E",AU79&gt;=0.5,AW79=1),PTHealth,IF(AND(AT79=1,AK79="E",AU79&gt;=0.5),PTHealth*P79,0))))</f>
        <v>11650</v>
      </c>
      <c r="BC79" s="462">
        <f>IF(AND(AT79=3,AK79="E",AV79&gt;=0.75,AW79=1),Health,IF(AND(AT79=3,AK79="E",AV79&gt;=0.75),Health*P79,IF(AND(AT79=3,AK79="E",AV79&gt;=0.5,AW79=1),PTHealth,IF(AND(AT79=3,AK79="E",AV79&gt;=0.5),PTHealth*P79,0))))</f>
        <v>0</v>
      </c>
      <c r="BD79" s="462">
        <f>IF(AND(AT79&lt;&gt;0,AX79&gt;=MAXSSDI),SSDI*MAXSSDI*P79,IF(AT79&lt;&gt;0,SSDI*W79,0))</f>
        <v>3959.0720000000001</v>
      </c>
      <c r="BE79" s="462">
        <f>IF(AT79&lt;&gt;0,SSHI*W79,0)</f>
        <v>925.91200000000003</v>
      </c>
      <c r="BF79" s="462">
        <f>IF(AND(AT79&lt;&gt;0,AN79&lt;&gt;"NE"),VLOOKUP(AN79,Retirement_Rates,3,FALSE)*W79,0)</f>
        <v>7624.4064000000008</v>
      </c>
      <c r="BG79" s="462">
        <f>IF(AND(AT79&lt;&gt;0,AJ79&lt;&gt;"PF"),Life*W79,0)</f>
        <v>460.40176000000002</v>
      </c>
      <c r="BH79" s="462">
        <f>IF(AND(AT79&lt;&gt;0,AM79="Y"),UI*W79,0)</f>
        <v>312.89439999999996</v>
      </c>
      <c r="BI79" s="462">
        <f>IF(AND(AT79&lt;&gt;0,N79&lt;&gt;"NR"),DHR*W79,0)</f>
        <v>353.76223999999996</v>
      </c>
      <c r="BJ79" s="462">
        <f>IF(AT79&lt;&gt;0,WC*W79,0)</f>
        <v>127.712</v>
      </c>
      <c r="BK79" s="462">
        <f>IF(OR(AND(AT79&lt;&gt;0,AJ79&lt;&gt;"PF",AN79&lt;&gt;"NE",AG79&lt;&gt;"A"),AND(AL79="E",OR(AT79=1,AT79=3))),Sick*W79,0)</f>
        <v>0</v>
      </c>
      <c r="BL79" s="462">
        <f t="shared" si="22"/>
        <v>13764.1608</v>
      </c>
      <c r="BM79" s="462">
        <f t="shared" si="23"/>
        <v>0</v>
      </c>
      <c r="BN79" s="462">
        <f>IF(AND(AT79=1,AK79="E",AU79&gt;=0.75,AW79=1),HealthBY,IF(AND(AT79=1,AK79="E",AU79&gt;=0.75),HealthBY*P79,IF(AND(AT79=1,AK79="E",AU79&gt;=0.5,AW79=1),PTHealthBY,IF(AND(AT79=1,AK79="E",AU79&gt;=0.5),PTHealthBY*P79,0))))</f>
        <v>11650</v>
      </c>
      <c r="BO79" s="462">
        <f>IF(AND(AT79=3,AK79="E",AV79&gt;=0.75,AW79=1),HealthBY,IF(AND(AT79=3,AK79="E",AV79&gt;=0.75),HealthBY*P79,IF(AND(AT79=3,AK79="E",AV79&gt;=0.5,AW79=1),PTHealthBY,IF(AND(AT79=3,AK79="E",AV79&gt;=0.5),PTHealthBY*P79,0))))</f>
        <v>0</v>
      </c>
      <c r="BP79" s="462">
        <f>IF(AND(AT79&lt;&gt;0,(AX79+BA79)&gt;=MAXSSDIBY),SSDIBY*MAXSSDIBY*P79,IF(AT79&lt;&gt;0,SSDIBY*W79,0))</f>
        <v>3959.0720000000001</v>
      </c>
      <c r="BQ79" s="462">
        <f>IF(AT79&lt;&gt;0,SSHIBY*W79,0)</f>
        <v>925.91200000000003</v>
      </c>
      <c r="BR79" s="462">
        <f>IF(AND(AT79&lt;&gt;0,AN79&lt;&gt;"NE"),VLOOKUP(AN79,Retirement_Rates,4,FALSE)*W79,0)</f>
        <v>7624.4064000000008</v>
      </c>
      <c r="BS79" s="462">
        <f>IF(AND(AT79&lt;&gt;0,AJ79&lt;&gt;"PF"),LifeBY*W79,0)</f>
        <v>460.40176000000002</v>
      </c>
      <c r="BT79" s="462">
        <f>IF(AND(AT79&lt;&gt;0,AM79="Y"),UIBY*W79,0)</f>
        <v>0</v>
      </c>
      <c r="BU79" s="462">
        <f>IF(AND(AT79&lt;&gt;0,N79&lt;&gt;"NR"),DHRBY*W79,0)</f>
        <v>353.76223999999996</v>
      </c>
      <c r="BV79" s="462">
        <f>IF(AT79&lt;&gt;0,WCBY*W79,0)</f>
        <v>108.5552</v>
      </c>
      <c r="BW79" s="462">
        <f>IF(OR(AND(AT79&lt;&gt;0,AJ79&lt;&gt;"PF",AN79&lt;&gt;"NE",AG79&lt;&gt;"A"),AND(AL79="E",OR(AT79=1,AT79=3))),SickBY*W79,0)</f>
        <v>0</v>
      </c>
      <c r="BX79" s="462">
        <f t="shared" si="24"/>
        <v>13432.109600000002</v>
      </c>
      <c r="BY79" s="462">
        <f t="shared" si="25"/>
        <v>0</v>
      </c>
      <c r="BZ79" s="462">
        <f t="shared" si="26"/>
        <v>0</v>
      </c>
      <c r="CA79" s="462">
        <f t="shared" si="27"/>
        <v>0</v>
      </c>
      <c r="CB79" s="462">
        <f t="shared" si="28"/>
        <v>0</v>
      </c>
      <c r="CC79" s="462">
        <f>IF(AT79&lt;&gt;0,SSHICHG*Y79,0)</f>
        <v>0</v>
      </c>
      <c r="CD79" s="462">
        <f>IF(AND(AT79&lt;&gt;0,AN79&lt;&gt;"NE"),VLOOKUP(AN79,Retirement_Rates,5,FALSE)*Y79,0)</f>
        <v>0</v>
      </c>
      <c r="CE79" s="462">
        <f>IF(AND(AT79&lt;&gt;0,AJ79&lt;&gt;"PF"),LifeCHG*Y79,0)</f>
        <v>0</v>
      </c>
      <c r="CF79" s="462">
        <f>IF(AND(AT79&lt;&gt;0,AM79="Y"),UICHG*Y79,0)</f>
        <v>-312.89439999999996</v>
      </c>
      <c r="CG79" s="462">
        <f>IF(AND(AT79&lt;&gt;0,N79&lt;&gt;"NR"),DHRCHG*Y79,0)</f>
        <v>0</v>
      </c>
      <c r="CH79" s="462">
        <f>IF(AT79&lt;&gt;0,WCCHG*Y79,0)</f>
        <v>-19.156800000000008</v>
      </c>
      <c r="CI79" s="462">
        <f>IF(OR(AND(AT79&lt;&gt;0,AJ79&lt;&gt;"PF",AN79&lt;&gt;"NE",AG79&lt;&gt;"A"),AND(AL79="E",OR(AT79=1,AT79=3))),SickCHG*Y79,0)</f>
        <v>0</v>
      </c>
      <c r="CJ79" s="462">
        <f t="shared" si="29"/>
        <v>-332.05119999999999</v>
      </c>
      <c r="CK79" s="462" t="str">
        <f t="shared" si="30"/>
        <v/>
      </c>
      <c r="CL79" s="462" t="str">
        <f t="shared" si="31"/>
        <v/>
      </c>
      <c r="CM79" s="462" t="str">
        <f t="shared" si="32"/>
        <v/>
      </c>
      <c r="CN79" s="462" t="str">
        <f t="shared" si="33"/>
        <v>0450-38</v>
      </c>
    </row>
    <row r="80" spans="1:92" ht="15" thickBot="1" x14ac:dyDescent="0.35">
      <c r="A80" s="376" t="s">
        <v>161</v>
      </c>
      <c r="B80" s="376" t="s">
        <v>162</v>
      </c>
      <c r="C80" s="376" t="s">
        <v>519</v>
      </c>
      <c r="D80" s="376" t="s">
        <v>436</v>
      </c>
      <c r="E80" s="376" t="s">
        <v>314</v>
      </c>
      <c r="F80" s="382" t="s">
        <v>406</v>
      </c>
      <c r="G80" s="376" t="s">
        <v>167</v>
      </c>
      <c r="H80" s="378"/>
      <c r="I80" s="378"/>
      <c r="J80" s="376" t="s">
        <v>168</v>
      </c>
      <c r="K80" s="376" t="s">
        <v>437</v>
      </c>
      <c r="L80" s="376" t="s">
        <v>216</v>
      </c>
      <c r="M80" s="376" t="s">
        <v>171</v>
      </c>
      <c r="N80" s="376" t="s">
        <v>172</v>
      </c>
      <c r="O80" s="379">
        <v>1</v>
      </c>
      <c r="P80" s="460">
        <v>1</v>
      </c>
      <c r="Q80" s="460">
        <v>1</v>
      </c>
      <c r="R80" s="380">
        <v>80</v>
      </c>
      <c r="S80" s="460">
        <v>1</v>
      </c>
      <c r="T80" s="380">
        <v>56589</v>
      </c>
      <c r="U80" s="380">
        <v>0</v>
      </c>
      <c r="V80" s="380">
        <v>22406.47</v>
      </c>
      <c r="W80" s="380">
        <v>67600</v>
      </c>
      <c r="X80" s="380">
        <v>26221.17</v>
      </c>
      <c r="Y80" s="380">
        <v>67600</v>
      </c>
      <c r="Z80" s="380">
        <v>25869.65</v>
      </c>
      <c r="AA80" s="376" t="s">
        <v>520</v>
      </c>
      <c r="AB80" s="376" t="s">
        <v>521</v>
      </c>
      <c r="AC80" s="376" t="s">
        <v>522</v>
      </c>
      <c r="AD80" s="376" t="s">
        <v>334</v>
      </c>
      <c r="AE80" s="376" t="s">
        <v>437</v>
      </c>
      <c r="AF80" s="376" t="s">
        <v>311</v>
      </c>
      <c r="AG80" s="376" t="s">
        <v>178</v>
      </c>
      <c r="AH80" s="381">
        <v>32.5</v>
      </c>
      <c r="AI80" s="381">
        <v>965.5</v>
      </c>
      <c r="AJ80" s="376" t="s">
        <v>179</v>
      </c>
      <c r="AK80" s="376" t="s">
        <v>180</v>
      </c>
      <c r="AL80" s="376" t="s">
        <v>181</v>
      </c>
      <c r="AM80" s="376" t="s">
        <v>182</v>
      </c>
      <c r="AN80" s="376" t="s">
        <v>68</v>
      </c>
      <c r="AO80" s="379">
        <v>80</v>
      </c>
      <c r="AP80" s="460">
        <v>1</v>
      </c>
      <c r="AQ80" s="460">
        <v>1</v>
      </c>
      <c r="AR80" s="458" t="s">
        <v>183</v>
      </c>
      <c r="AS80" s="462">
        <f t="shared" si="17"/>
        <v>1</v>
      </c>
      <c r="AT80">
        <f t="shared" si="18"/>
        <v>1</v>
      </c>
      <c r="AU80" s="462">
        <f>IF(AT80=0,"",IF(AND(AT80=1,M80="F",SUMIF(C2:C170,C80,AS2:AS170)&lt;=1),SUMIF(C2:C170,C80,AS2:AS170),IF(AND(AT80=1,M80="F",SUMIF(C2:C170,C80,AS2:AS170)&gt;1),1,"")))</f>
        <v>1</v>
      </c>
      <c r="AV80" s="462" t="str">
        <f>IF(AT80=0,"",IF(AND(AT80=3,M80="F",SUMIF(C2:C170,C80,AS2:AS170)&lt;=1),SUMIF(C2:C170,C80,AS2:AS170),IF(AND(AT80=3,M80="F",SUMIF(C2:C170,C80,AS2:AS170)&gt;1),1,"")))</f>
        <v/>
      </c>
      <c r="AW80" s="462">
        <f>SUMIF(C2:C170,C80,O2:O170)</f>
        <v>1</v>
      </c>
      <c r="AX80" s="462">
        <f>IF(AND(M80="F",AS80&lt;&gt;0),SUMIF(C2:C170,C80,W2:W170),0)</f>
        <v>67600</v>
      </c>
      <c r="AY80" s="462">
        <f t="shared" si="19"/>
        <v>67600</v>
      </c>
      <c r="AZ80" s="462" t="str">
        <f t="shared" si="20"/>
        <v/>
      </c>
      <c r="BA80" s="462">
        <f t="shared" si="21"/>
        <v>0</v>
      </c>
      <c r="BB80" s="462">
        <f>IF(AND(AT80=1,AK80="E",AU80&gt;=0.75,AW80=1),Health,IF(AND(AT80=1,AK80="E",AU80&gt;=0.75),Health*P80,IF(AND(AT80=1,AK80="E",AU80&gt;=0.5,AW80=1),PTHealth,IF(AND(AT80=1,AK80="E",AU80&gt;=0.5),PTHealth*P80,0))))</f>
        <v>11650</v>
      </c>
      <c r="BC80" s="462">
        <f>IF(AND(AT80=3,AK80="E",AV80&gt;=0.75,AW80=1),Health,IF(AND(AT80=3,AK80="E",AV80&gt;=0.75),Health*P80,IF(AND(AT80=3,AK80="E",AV80&gt;=0.5,AW80=1),PTHealth,IF(AND(AT80=3,AK80="E",AV80&gt;=0.5),PTHealth*P80,0))))</f>
        <v>0</v>
      </c>
      <c r="BD80" s="462">
        <f>IF(AND(AT80&lt;&gt;0,AX80&gt;=MAXSSDI),SSDI*MAXSSDI*P80,IF(AT80&lt;&gt;0,SSDI*W80,0))</f>
        <v>4191.2</v>
      </c>
      <c r="BE80" s="462">
        <f>IF(AT80&lt;&gt;0,SSHI*W80,0)</f>
        <v>980.2</v>
      </c>
      <c r="BF80" s="462">
        <f>IF(AND(AT80&lt;&gt;0,AN80&lt;&gt;"NE"),VLOOKUP(AN80,Retirement_Rates,3,FALSE)*W80,0)</f>
        <v>8071.4400000000005</v>
      </c>
      <c r="BG80" s="462">
        <f>IF(AND(AT80&lt;&gt;0,AJ80&lt;&gt;"PF"),Life*W80,0)</f>
        <v>487.39600000000002</v>
      </c>
      <c r="BH80" s="462">
        <f>IF(AND(AT80&lt;&gt;0,AM80="Y"),UI*W80,0)</f>
        <v>331.24</v>
      </c>
      <c r="BI80" s="462">
        <f>IF(AND(AT80&lt;&gt;0,N80&lt;&gt;"NR"),DHR*W80,0)</f>
        <v>374.50399999999996</v>
      </c>
      <c r="BJ80" s="462">
        <f>IF(AT80&lt;&gt;0,WC*W80,0)</f>
        <v>135.19999999999999</v>
      </c>
      <c r="BK80" s="462">
        <f>IF(OR(AND(AT80&lt;&gt;0,AJ80&lt;&gt;"PF",AN80&lt;&gt;"NE",AG80&lt;&gt;"A"),AND(AL80="E",OR(AT80=1,AT80=3))),Sick*W80,0)</f>
        <v>0</v>
      </c>
      <c r="BL80" s="462">
        <f t="shared" si="22"/>
        <v>14571.180000000002</v>
      </c>
      <c r="BM80" s="462">
        <f t="shared" si="23"/>
        <v>0</v>
      </c>
      <c r="BN80" s="462">
        <f>IF(AND(AT80=1,AK80="E",AU80&gt;=0.75,AW80=1),HealthBY,IF(AND(AT80=1,AK80="E",AU80&gt;=0.75),HealthBY*P80,IF(AND(AT80=1,AK80="E",AU80&gt;=0.5,AW80=1),PTHealthBY,IF(AND(AT80=1,AK80="E",AU80&gt;=0.5),PTHealthBY*P80,0))))</f>
        <v>11650</v>
      </c>
      <c r="BO80" s="462">
        <f>IF(AND(AT80=3,AK80="E",AV80&gt;=0.75,AW80=1),HealthBY,IF(AND(AT80=3,AK80="E",AV80&gt;=0.75),HealthBY*P80,IF(AND(AT80=3,AK80="E",AV80&gt;=0.5,AW80=1),PTHealthBY,IF(AND(AT80=3,AK80="E",AV80&gt;=0.5),PTHealthBY*P80,0))))</f>
        <v>0</v>
      </c>
      <c r="BP80" s="462">
        <f>IF(AND(AT80&lt;&gt;0,(AX80+BA80)&gt;=MAXSSDIBY),SSDIBY*MAXSSDIBY*P80,IF(AT80&lt;&gt;0,SSDIBY*W80,0))</f>
        <v>4191.2</v>
      </c>
      <c r="BQ80" s="462">
        <f>IF(AT80&lt;&gt;0,SSHIBY*W80,0)</f>
        <v>980.2</v>
      </c>
      <c r="BR80" s="462">
        <f>IF(AND(AT80&lt;&gt;0,AN80&lt;&gt;"NE"),VLOOKUP(AN80,Retirement_Rates,4,FALSE)*W80,0)</f>
        <v>8071.4400000000005</v>
      </c>
      <c r="BS80" s="462">
        <f>IF(AND(AT80&lt;&gt;0,AJ80&lt;&gt;"PF"),LifeBY*W80,0)</f>
        <v>487.39600000000002</v>
      </c>
      <c r="BT80" s="462">
        <f>IF(AND(AT80&lt;&gt;0,AM80="Y"),UIBY*W80,0)</f>
        <v>0</v>
      </c>
      <c r="BU80" s="462">
        <f>IF(AND(AT80&lt;&gt;0,N80&lt;&gt;"NR"),DHRBY*W80,0)</f>
        <v>374.50399999999996</v>
      </c>
      <c r="BV80" s="462">
        <f>IF(AT80&lt;&gt;0,WCBY*W80,0)</f>
        <v>114.91999999999999</v>
      </c>
      <c r="BW80" s="462">
        <f>IF(OR(AND(AT80&lt;&gt;0,AJ80&lt;&gt;"PF",AN80&lt;&gt;"NE",AG80&lt;&gt;"A"),AND(AL80="E",OR(AT80=1,AT80=3))),SickBY*W80,0)</f>
        <v>0</v>
      </c>
      <c r="BX80" s="462">
        <f t="shared" si="24"/>
        <v>14219.660000000002</v>
      </c>
      <c r="BY80" s="462">
        <f t="shared" si="25"/>
        <v>0</v>
      </c>
      <c r="BZ80" s="462">
        <f t="shared" si="26"/>
        <v>0</v>
      </c>
      <c r="CA80" s="462">
        <f t="shared" si="27"/>
        <v>0</v>
      </c>
      <c r="CB80" s="462">
        <f t="shared" si="28"/>
        <v>0</v>
      </c>
      <c r="CC80" s="462">
        <f>IF(AT80&lt;&gt;0,SSHICHG*Y80,0)</f>
        <v>0</v>
      </c>
      <c r="CD80" s="462">
        <f>IF(AND(AT80&lt;&gt;0,AN80&lt;&gt;"NE"),VLOOKUP(AN80,Retirement_Rates,5,FALSE)*Y80,0)</f>
        <v>0</v>
      </c>
      <c r="CE80" s="462">
        <f>IF(AND(AT80&lt;&gt;0,AJ80&lt;&gt;"PF"),LifeCHG*Y80,0)</f>
        <v>0</v>
      </c>
      <c r="CF80" s="462">
        <f>IF(AND(AT80&lt;&gt;0,AM80="Y"),UICHG*Y80,0)</f>
        <v>-331.24</v>
      </c>
      <c r="CG80" s="462">
        <f>IF(AND(AT80&lt;&gt;0,N80&lt;&gt;"NR"),DHRCHG*Y80,0)</f>
        <v>0</v>
      </c>
      <c r="CH80" s="462">
        <f>IF(AT80&lt;&gt;0,WCCHG*Y80,0)</f>
        <v>-20.280000000000008</v>
      </c>
      <c r="CI80" s="462">
        <f>IF(OR(AND(AT80&lt;&gt;0,AJ80&lt;&gt;"PF",AN80&lt;&gt;"NE",AG80&lt;&gt;"A"),AND(AL80="E",OR(AT80=1,AT80=3))),SickCHG*Y80,0)</f>
        <v>0</v>
      </c>
      <c r="CJ80" s="462">
        <f t="shared" si="29"/>
        <v>-351.52000000000004</v>
      </c>
      <c r="CK80" s="462" t="str">
        <f t="shared" si="30"/>
        <v/>
      </c>
      <c r="CL80" s="462" t="str">
        <f t="shared" si="31"/>
        <v/>
      </c>
      <c r="CM80" s="462" t="str">
        <f t="shared" si="32"/>
        <v/>
      </c>
      <c r="CN80" s="462" t="str">
        <f t="shared" si="33"/>
        <v>0450-38</v>
      </c>
    </row>
    <row r="81" spans="1:92" ht="15" thickBot="1" x14ac:dyDescent="0.35">
      <c r="A81" s="376" t="s">
        <v>161</v>
      </c>
      <c r="B81" s="376" t="s">
        <v>162</v>
      </c>
      <c r="C81" s="376" t="s">
        <v>523</v>
      </c>
      <c r="D81" s="376" t="s">
        <v>263</v>
      </c>
      <c r="E81" s="376" t="s">
        <v>314</v>
      </c>
      <c r="F81" s="382" t="s">
        <v>406</v>
      </c>
      <c r="G81" s="376" t="s">
        <v>167</v>
      </c>
      <c r="H81" s="378"/>
      <c r="I81" s="378"/>
      <c r="J81" s="376" t="s">
        <v>168</v>
      </c>
      <c r="K81" s="376" t="s">
        <v>272</v>
      </c>
      <c r="L81" s="376" t="s">
        <v>170</v>
      </c>
      <c r="M81" s="376" t="s">
        <v>171</v>
      </c>
      <c r="N81" s="376" t="s">
        <v>172</v>
      </c>
      <c r="O81" s="379">
        <v>1</v>
      </c>
      <c r="P81" s="460">
        <v>1</v>
      </c>
      <c r="Q81" s="460">
        <v>1</v>
      </c>
      <c r="R81" s="380">
        <v>80</v>
      </c>
      <c r="S81" s="460">
        <v>1</v>
      </c>
      <c r="T81" s="380">
        <v>84275.08</v>
      </c>
      <c r="U81" s="380">
        <v>0</v>
      </c>
      <c r="V81" s="380">
        <v>26518.71</v>
      </c>
      <c r="W81" s="380">
        <v>84011.199999999997</v>
      </c>
      <c r="X81" s="380">
        <v>29758.59</v>
      </c>
      <c r="Y81" s="380">
        <v>84011.199999999997</v>
      </c>
      <c r="Z81" s="380">
        <v>29321.73</v>
      </c>
      <c r="AA81" s="376" t="s">
        <v>524</v>
      </c>
      <c r="AB81" s="376" t="s">
        <v>525</v>
      </c>
      <c r="AC81" s="376" t="s">
        <v>195</v>
      </c>
      <c r="AD81" s="376" t="s">
        <v>216</v>
      </c>
      <c r="AE81" s="376" t="s">
        <v>272</v>
      </c>
      <c r="AF81" s="376" t="s">
        <v>177</v>
      </c>
      <c r="AG81" s="376" t="s">
        <v>178</v>
      </c>
      <c r="AH81" s="381">
        <v>40.39</v>
      </c>
      <c r="AI81" s="379">
        <v>16259</v>
      </c>
      <c r="AJ81" s="376" t="s">
        <v>179</v>
      </c>
      <c r="AK81" s="376" t="s">
        <v>180</v>
      </c>
      <c r="AL81" s="376" t="s">
        <v>181</v>
      </c>
      <c r="AM81" s="376" t="s">
        <v>182</v>
      </c>
      <c r="AN81" s="376" t="s">
        <v>68</v>
      </c>
      <c r="AO81" s="379">
        <v>80</v>
      </c>
      <c r="AP81" s="460">
        <v>1</v>
      </c>
      <c r="AQ81" s="460">
        <v>1</v>
      </c>
      <c r="AR81" s="458" t="s">
        <v>183</v>
      </c>
      <c r="AS81" s="462">
        <f t="shared" si="17"/>
        <v>1</v>
      </c>
      <c r="AT81">
        <f t="shared" si="18"/>
        <v>1</v>
      </c>
      <c r="AU81" s="462">
        <f>IF(AT81=0,"",IF(AND(AT81=1,M81="F",SUMIF(C2:C170,C81,AS2:AS170)&lt;=1),SUMIF(C2:C170,C81,AS2:AS170),IF(AND(AT81=1,M81="F",SUMIF(C2:C170,C81,AS2:AS170)&gt;1),1,"")))</f>
        <v>1</v>
      </c>
      <c r="AV81" s="462" t="str">
        <f>IF(AT81=0,"",IF(AND(AT81=3,M81="F",SUMIF(C2:C170,C81,AS2:AS170)&lt;=1),SUMIF(C2:C170,C81,AS2:AS170),IF(AND(AT81=3,M81="F",SUMIF(C2:C170,C81,AS2:AS170)&gt;1),1,"")))</f>
        <v/>
      </c>
      <c r="AW81" s="462">
        <f>SUMIF(C2:C170,C81,O2:O170)</f>
        <v>1</v>
      </c>
      <c r="AX81" s="462">
        <f>IF(AND(M81="F",AS81&lt;&gt;0),SUMIF(C2:C170,C81,W2:W170),0)</f>
        <v>84011.199999999997</v>
      </c>
      <c r="AY81" s="462">
        <f t="shared" si="19"/>
        <v>84011.199999999997</v>
      </c>
      <c r="AZ81" s="462" t="str">
        <f t="shared" si="20"/>
        <v/>
      </c>
      <c r="BA81" s="462">
        <f t="shared" si="21"/>
        <v>0</v>
      </c>
      <c r="BB81" s="462">
        <f>IF(AND(AT81=1,AK81="E",AU81&gt;=0.75,AW81=1),Health,IF(AND(AT81=1,AK81="E",AU81&gt;=0.75),Health*P81,IF(AND(AT81=1,AK81="E",AU81&gt;=0.5,AW81=1),PTHealth,IF(AND(AT81=1,AK81="E",AU81&gt;=0.5),PTHealth*P81,0))))</f>
        <v>11650</v>
      </c>
      <c r="BC81" s="462">
        <f>IF(AND(AT81=3,AK81="E",AV81&gt;=0.75,AW81=1),Health,IF(AND(AT81=3,AK81="E",AV81&gt;=0.75),Health*P81,IF(AND(AT81=3,AK81="E",AV81&gt;=0.5,AW81=1),PTHealth,IF(AND(AT81=3,AK81="E",AV81&gt;=0.5),PTHealth*P81,0))))</f>
        <v>0</v>
      </c>
      <c r="BD81" s="462">
        <f>IF(AND(AT81&lt;&gt;0,AX81&gt;=MAXSSDI),SSDI*MAXSSDI*P81,IF(AT81&lt;&gt;0,SSDI*W81,0))</f>
        <v>5208.6943999999994</v>
      </c>
      <c r="BE81" s="462">
        <f>IF(AT81&lt;&gt;0,SSHI*W81,0)</f>
        <v>1218.1623999999999</v>
      </c>
      <c r="BF81" s="462">
        <f>IF(AND(AT81&lt;&gt;0,AN81&lt;&gt;"NE"),VLOOKUP(AN81,Retirement_Rates,3,FALSE)*W81,0)</f>
        <v>10030.93728</v>
      </c>
      <c r="BG81" s="462">
        <f>IF(AND(AT81&lt;&gt;0,AJ81&lt;&gt;"PF"),Life*W81,0)</f>
        <v>605.72075199999995</v>
      </c>
      <c r="BH81" s="462">
        <f>IF(AND(AT81&lt;&gt;0,AM81="Y"),UI*W81,0)</f>
        <v>411.65487999999999</v>
      </c>
      <c r="BI81" s="462">
        <f>IF(AND(AT81&lt;&gt;0,N81&lt;&gt;"NR"),DHR*W81,0)</f>
        <v>465.42204799999996</v>
      </c>
      <c r="BJ81" s="462">
        <f>IF(AT81&lt;&gt;0,WC*W81,0)</f>
        <v>168.0224</v>
      </c>
      <c r="BK81" s="462">
        <f>IF(OR(AND(AT81&lt;&gt;0,AJ81&lt;&gt;"PF",AN81&lt;&gt;"NE",AG81&lt;&gt;"A"),AND(AL81="E",OR(AT81=1,AT81=3))),Sick*W81,0)</f>
        <v>0</v>
      </c>
      <c r="BL81" s="462">
        <f t="shared" si="22"/>
        <v>18108.614160000001</v>
      </c>
      <c r="BM81" s="462">
        <f t="shared" si="23"/>
        <v>0</v>
      </c>
      <c r="BN81" s="462">
        <f>IF(AND(AT81=1,AK81="E",AU81&gt;=0.75,AW81=1),HealthBY,IF(AND(AT81=1,AK81="E",AU81&gt;=0.75),HealthBY*P81,IF(AND(AT81=1,AK81="E",AU81&gt;=0.5,AW81=1),PTHealthBY,IF(AND(AT81=1,AK81="E",AU81&gt;=0.5),PTHealthBY*P81,0))))</f>
        <v>11650</v>
      </c>
      <c r="BO81" s="462">
        <f>IF(AND(AT81=3,AK81="E",AV81&gt;=0.75,AW81=1),HealthBY,IF(AND(AT81=3,AK81="E",AV81&gt;=0.75),HealthBY*P81,IF(AND(AT81=3,AK81="E",AV81&gt;=0.5,AW81=1),PTHealthBY,IF(AND(AT81=3,AK81="E",AV81&gt;=0.5),PTHealthBY*P81,0))))</f>
        <v>0</v>
      </c>
      <c r="BP81" s="462">
        <f>IF(AND(AT81&lt;&gt;0,(AX81+BA81)&gt;=MAXSSDIBY),SSDIBY*MAXSSDIBY*P81,IF(AT81&lt;&gt;0,SSDIBY*W81,0))</f>
        <v>5208.6943999999994</v>
      </c>
      <c r="BQ81" s="462">
        <f>IF(AT81&lt;&gt;0,SSHIBY*W81,0)</f>
        <v>1218.1623999999999</v>
      </c>
      <c r="BR81" s="462">
        <f>IF(AND(AT81&lt;&gt;0,AN81&lt;&gt;"NE"),VLOOKUP(AN81,Retirement_Rates,4,FALSE)*W81,0)</f>
        <v>10030.93728</v>
      </c>
      <c r="BS81" s="462">
        <f>IF(AND(AT81&lt;&gt;0,AJ81&lt;&gt;"PF"),LifeBY*W81,0)</f>
        <v>605.72075199999995</v>
      </c>
      <c r="BT81" s="462">
        <f>IF(AND(AT81&lt;&gt;0,AM81="Y"),UIBY*W81,0)</f>
        <v>0</v>
      </c>
      <c r="BU81" s="462">
        <f>IF(AND(AT81&lt;&gt;0,N81&lt;&gt;"NR"),DHRBY*W81,0)</f>
        <v>465.42204799999996</v>
      </c>
      <c r="BV81" s="462">
        <f>IF(AT81&lt;&gt;0,WCBY*W81,0)</f>
        <v>142.81904</v>
      </c>
      <c r="BW81" s="462">
        <f>IF(OR(AND(AT81&lt;&gt;0,AJ81&lt;&gt;"PF",AN81&lt;&gt;"NE",AG81&lt;&gt;"A"),AND(AL81="E",OR(AT81=1,AT81=3))),SickBY*W81,0)</f>
        <v>0</v>
      </c>
      <c r="BX81" s="462">
        <f t="shared" si="24"/>
        <v>17671.75592</v>
      </c>
      <c r="BY81" s="462">
        <f t="shared" si="25"/>
        <v>0</v>
      </c>
      <c r="BZ81" s="462">
        <f t="shared" si="26"/>
        <v>0</v>
      </c>
      <c r="CA81" s="462">
        <f t="shared" si="27"/>
        <v>0</v>
      </c>
      <c r="CB81" s="462">
        <f t="shared" si="28"/>
        <v>0</v>
      </c>
      <c r="CC81" s="462">
        <f>IF(AT81&lt;&gt;0,SSHICHG*Y81,0)</f>
        <v>0</v>
      </c>
      <c r="CD81" s="462">
        <f>IF(AND(AT81&lt;&gt;0,AN81&lt;&gt;"NE"),VLOOKUP(AN81,Retirement_Rates,5,FALSE)*Y81,0)</f>
        <v>0</v>
      </c>
      <c r="CE81" s="462">
        <f>IF(AND(AT81&lt;&gt;0,AJ81&lt;&gt;"PF"),LifeCHG*Y81,0)</f>
        <v>0</v>
      </c>
      <c r="CF81" s="462">
        <f>IF(AND(AT81&lt;&gt;0,AM81="Y"),UICHG*Y81,0)</f>
        <v>-411.65487999999999</v>
      </c>
      <c r="CG81" s="462">
        <f>IF(AND(AT81&lt;&gt;0,N81&lt;&gt;"NR"),DHRCHG*Y81,0)</f>
        <v>0</v>
      </c>
      <c r="CH81" s="462">
        <f>IF(AT81&lt;&gt;0,WCCHG*Y81,0)</f>
        <v>-25.203360000000011</v>
      </c>
      <c r="CI81" s="462">
        <f>IF(OR(AND(AT81&lt;&gt;0,AJ81&lt;&gt;"PF",AN81&lt;&gt;"NE",AG81&lt;&gt;"A"),AND(AL81="E",OR(AT81=1,AT81=3))),SickCHG*Y81,0)</f>
        <v>0</v>
      </c>
      <c r="CJ81" s="462">
        <f t="shared" si="29"/>
        <v>-436.85824000000002</v>
      </c>
      <c r="CK81" s="462" t="str">
        <f t="shared" si="30"/>
        <v/>
      </c>
      <c r="CL81" s="462" t="str">
        <f t="shared" si="31"/>
        <v/>
      </c>
      <c r="CM81" s="462" t="str">
        <f t="shared" si="32"/>
        <v/>
      </c>
      <c r="CN81" s="462" t="str">
        <f t="shared" si="33"/>
        <v>0450-38</v>
      </c>
    </row>
    <row r="82" spans="1:92" ht="15" thickBot="1" x14ac:dyDescent="0.35">
      <c r="A82" s="376" t="s">
        <v>161</v>
      </c>
      <c r="B82" s="376" t="s">
        <v>162</v>
      </c>
      <c r="C82" s="376" t="s">
        <v>526</v>
      </c>
      <c r="D82" s="376" t="s">
        <v>313</v>
      </c>
      <c r="E82" s="376" t="s">
        <v>314</v>
      </c>
      <c r="F82" s="382" t="s">
        <v>406</v>
      </c>
      <c r="G82" s="376" t="s">
        <v>167</v>
      </c>
      <c r="H82" s="378"/>
      <c r="I82" s="378"/>
      <c r="J82" s="376" t="s">
        <v>168</v>
      </c>
      <c r="K82" s="376" t="s">
        <v>316</v>
      </c>
      <c r="L82" s="376" t="s">
        <v>216</v>
      </c>
      <c r="M82" s="376" t="s">
        <v>171</v>
      </c>
      <c r="N82" s="376" t="s">
        <v>172</v>
      </c>
      <c r="O82" s="379">
        <v>1</v>
      </c>
      <c r="P82" s="460">
        <v>1</v>
      </c>
      <c r="Q82" s="460">
        <v>1</v>
      </c>
      <c r="R82" s="380">
        <v>80</v>
      </c>
      <c r="S82" s="460">
        <v>1</v>
      </c>
      <c r="T82" s="380">
        <v>71897.87</v>
      </c>
      <c r="U82" s="380">
        <v>0</v>
      </c>
      <c r="V82" s="380">
        <v>30183.89</v>
      </c>
      <c r="W82" s="380">
        <v>72321.600000000006</v>
      </c>
      <c r="X82" s="380">
        <v>27238.880000000001</v>
      </c>
      <c r="Y82" s="380">
        <v>72321.600000000006</v>
      </c>
      <c r="Z82" s="380">
        <v>26862.81</v>
      </c>
      <c r="AA82" s="376" t="s">
        <v>527</v>
      </c>
      <c r="AB82" s="376" t="s">
        <v>528</v>
      </c>
      <c r="AC82" s="376" t="s">
        <v>194</v>
      </c>
      <c r="AD82" s="376" t="s">
        <v>445</v>
      </c>
      <c r="AE82" s="376" t="s">
        <v>316</v>
      </c>
      <c r="AF82" s="376" t="s">
        <v>311</v>
      </c>
      <c r="AG82" s="376" t="s">
        <v>178</v>
      </c>
      <c r="AH82" s="381">
        <v>34.770000000000003</v>
      </c>
      <c r="AI82" s="381">
        <v>43263.6</v>
      </c>
      <c r="AJ82" s="376" t="s">
        <v>179</v>
      </c>
      <c r="AK82" s="376" t="s">
        <v>180</v>
      </c>
      <c r="AL82" s="376" t="s">
        <v>181</v>
      </c>
      <c r="AM82" s="376" t="s">
        <v>182</v>
      </c>
      <c r="AN82" s="376" t="s">
        <v>68</v>
      </c>
      <c r="AO82" s="379">
        <v>80</v>
      </c>
      <c r="AP82" s="460">
        <v>1</v>
      </c>
      <c r="AQ82" s="460">
        <v>1</v>
      </c>
      <c r="AR82" s="458" t="s">
        <v>183</v>
      </c>
      <c r="AS82" s="462">
        <f t="shared" si="17"/>
        <v>1</v>
      </c>
      <c r="AT82">
        <f t="shared" si="18"/>
        <v>1</v>
      </c>
      <c r="AU82" s="462">
        <f>IF(AT82=0,"",IF(AND(AT82=1,M82="F",SUMIF(C2:C170,C82,AS2:AS170)&lt;=1),SUMIF(C2:C170,C82,AS2:AS170),IF(AND(AT82=1,M82="F",SUMIF(C2:C170,C82,AS2:AS170)&gt;1),1,"")))</f>
        <v>1</v>
      </c>
      <c r="AV82" s="462" t="str">
        <f>IF(AT82=0,"",IF(AND(AT82=3,M82="F",SUMIF(C2:C170,C82,AS2:AS170)&lt;=1),SUMIF(C2:C170,C82,AS2:AS170),IF(AND(AT82=3,M82="F",SUMIF(C2:C170,C82,AS2:AS170)&gt;1),1,"")))</f>
        <v/>
      </c>
      <c r="AW82" s="462">
        <f>SUMIF(C2:C170,C82,O2:O170)</f>
        <v>1</v>
      </c>
      <c r="AX82" s="462">
        <f>IF(AND(M82="F",AS82&lt;&gt;0),SUMIF(C2:C170,C82,W2:W170),0)</f>
        <v>72321.600000000006</v>
      </c>
      <c r="AY82" s="462">
        <f t="shared" si="19"/>
        <v>72321.600000000006</v>
      </c>
      <c r="AZ82" s="462" t="str">
        <f t="shared" si="20"/>
        <v/>
      </c>
      <c r="BA82" s="462">
        <f t="shared" si="21"/>
        <v>0</v>
      </c>
      <c r="BB82" s="462">
        <f>IF(AND(AT82=1,AK82="E",AU82&gt;=0.75,AW82=1),Health,IF(AND(AT82=1,AK82="E",AU82&gt;=0.75),Health*P82,IF(AND(AT82=1,AK82="E",AU82&gt;=0.5,AW82=1),PTHealth,IF(AND(AT82=1,AK82="E",AU82&gt;=0.5),PTHealth*P82,0))))</f>
        <v>11650</v>
      </c>
      <c r="BC82" s="462">
        <f>IF(AND(AT82=3,AK82="E",AV82&gt;=0.75,AW82=1),Health,IF(AND(AT82=3,AK82="E",AV82&gt;=0.75),Health*P82,IF(AND(AT82=3,AK82="E",AV82&gt;=0.5,AW82=1),PTHealth,IF(AND(AT82=3,AK82="E",AV82&gt;=0.5),PTHealth*P82,0))))</f>
        <v>0</v>
      </c>
      <c r="BD82" s="462">
        <f>IF(AND(AT82&lt;&gt;0,AX82&gt;=MAXSSDI),SSDI*MAXSSDI*P82,IF(AT82&lt;&gt;0,SSDI*W82,0))</f>
        <v>4483.9392000000007</v>
      </c>
      <c r="BE82" s="462">
        <f>IF(AT82&lt;&gt;0,SSHI*W82,0)</f>
        <v>1048.6632000000002</v>
      </c>
      <c r="BF82" s="462">
        <f>IF(AND(AT82&lt;&gt;0,AN82&lt;&gt;"NE"),VLOOKUP(AN82,Retirement_Rates,3,FALSE)*W82,0)</f>
        <v>8635.1990400000013</v>
      </c>
      <c r="BG82" s="462">
        <f>IF(AND(AT82&lt;&gt;0,AJ82&lt;&gt;"PF"),Life*W82,0)</f>
        <v>521.43873600000006</v>
      </c>
      <c r="BH82" s="462">
        <f>IF(AND(AT82&lt;&gt;0,AM82="Y"),UI*W82,0)</f>
        <v>354.37584000000004</v>
      </c>
      <c r="BI82" s="462">
        <f>IF(AND(AT82&lt;&gt;0,N82&lt;&gt;"NR"),DHR*W82,0)</f>
        <v>400.66166400000003</v>
      </c>
      <c r="BJ82" s="462">
        <f>IF(AT82&lt;&gt;0,WC*W82,0)</f>
        <v>144.64320000000001</v>
      </c>
      <c r="BK82" s="462">
        <f>IF(OR(AND(AT82&lt;&gt;0,AJ82&lt;&gt;"PF",AN82&lt;&gt;"NE",AG82&lt;&gt;"A"),AND(AL82="E",OR(AT82=1,AT82=3))),Sick*W82,0)</f>
        <v>0</v>
      </c>
      <c r="BL82" s="462">
        <f t="shared" si="22"/>
        <v>15588.920880000003</v>
      </c>
      <c r="BM82" s="462">
        <f t="shared" si="23"/>
        <v>0</v>
      </c>
      <c r="BN82" s="462">
        <f>IF(AND(AT82=1,AK82="E",AU82&gt;=0.75,AW82=1),HealthBY,IF(AND(AT82=1,AK82="E",AU82&gt;=0.75),HealthBY*P82,IF(AND(AT82=1,AK82="E",AU82&gt;=0.5,AW82=1),PTHealthBY,IF(AND(AT82=1,AK82="E",AU82&gt;=0.5),PTHealthBY*P82,0))))</f>
        <v>11650</v>
      </c>
      <c r="BO82" s="462">
        <f>IF(AND(AT82=3,AK82="E",AV82&gt;=0.75,AW82=1),HealthBY,IF(AND(AT82=3,AK82="E",AV82&gt;=0.75),HealthBY*P82,IF(AND(AT82=3,AK82="E",AV82&gt;=0.5,AW82=1),PTHealthBY,IF(AND(AT82=3,AK82="E",AV82&gt;=0.5),PTHealthBY*P82,0))))</f>
        <v>0</v>
      </c>
      <c r="BP82" s="462">
        <f>IF(AND(AT82&lt;&gt;0,(AX82+BA82)&gt;=MAXSSDIBY),SSDIBY*MAXSSDIBY*P82,IF(AT82&lt;&gt;0,SSDIBY*W82,0))</f>
        <v>4483.9392000000007</v>
      </c>
      <c r="BQ82" s="462">
        <f>IF(AT82&lt;&gt;0,SSHIBY*W82,0)</f>
        <v>1048.6632000000002</v>
      </c>
      <c r="BR82" s="462">
        <f>IF(AND(AT82&lt;&gt;0,AN82&lt;&gt;"NE"),VLOOKUP(AN82,Retirement_Rates,4,FALSE)*W82,0)</f>
        <v>8635.1990400000013</v>
      </c>
      <c r="BS82" s="462">
        <f>IF(AND(AT82&lt;&gt;0,AJ82&lt;&gt;"PF"),LifeBY*W82,0)</f>
        <v>521.43873600000006</v>
      </c>
      <c r="BT82" s="462">
        <f>IF(AND(AT82&lt;&gt;0,AM82="Y"),UIBY*W82,0)</f>
        <v>0</v>
      </c>
      <c r="BU82" s="462">
        <f>IF(AND(AT82&lt;&gt;0,N82&lt;&gt;"NR"),DHRBY*W82,0)</f>
        <v>400.66166400000003</v>
      </c>
      <c r="BV82" s="462">
        <f>IF(AT82&lt;&gt;0,WCBY*W82,0)</f>
        <v>122.94672</v>
      </c>
      <c r="BW82" s="462">
        <f>IF(OR(AND(AT82&lt;&gt;0,AJ82&lt;&gt;"PF",AN82&lt;&gt;"NE",AG82&lt;&gt;"A"),AND(AL82="E",OR(AT82=1,AT82=3))),SickBY*W82,0)</f>
        <v>0</v>
      </c>
      <c r="BX82" s="462">
        <f t="shared" si="24"/>
        <v>15212.848560000002</v>
      </c>
      <c r="BY82" s="462">
        <f t="shared" si="25"/>
        <v>0</v>
      </c>
      <c r="BZ82" s="462">
        <f t="shared" si="26"/>
        <v>0</v>
      </c>
      <c r="CA82" s="462">
        <f t="shared" si="27"/>
        <v>0</v>
      </c>
      <c r="CB82" s="462">
        <f t="shared" si="28"/>
        <v>0</v>
      </c>
      <c r="CC82" s="462">
        <f>IF(AT82&lt;&gt;0,SSHICHG*Y82,0)</f>
        <v>0</v>
      </c>
      <c r="CD82" s="462">
        <f>IF(AND(AT82&lt;&gt;0,AN82&lt;&gt;"NE"),VLOOKUP(AN82,Retirement_Rates,5,FALSE)*Y82,0)</f>
        <v>0</v>
      </c>
      <c r="CE82" s="462">
        <f>IF(AND(AT82&lt;&gt;0,AJ82&lt;&gt;"PF"),LifeCHG*Y82,0)</f>
        <v>0</v>
      </c>
      <c r="CF82" s="462">
        <f>IF(AND(AT82&lt;&gt;0,AM82="Y"),UICHG*Y82,0)</f>
        <v>-354.37584000000004</v>
      </c>
      <c r="CG82" s="462">
        <f>IF(AND(AT82&lt;&gt;0,N82&lt;&gt;"NR"),DHRCHG*Y82,0)</f>
        <v>0</v>
      </c>
      <c r="CH82" s="462">
        <f>IF(AT82&lt;&gt;0,WCCHG*Y82,0)</f>
        <v>-21.696480000000012</v>
      </c>
      <c r="CI82" s="462">
        <f>IF(OR(AND(AT82&lt;&gt;0,AJ82&lt;&gt;"PF",AN82&lt;&gt;"NE",AG82&lt;&gt;"A"),AND(AL82="E",OR(AT82=1,AT82=3))),SickCHG*Y82,0)</f>
        <v>0</v>
      </c>
      <c r="CJ82" s="462">
        <f t="shared" si="29"/>
        <v>-376.07232000000005</v>
      </c>
      <c r="CK82" s="462" t="str">
        <f t="shared" si="30"/>
        <v/>
      </c>
      <c r="CL82" s="462" t="str">
        <f t="shared" si="31"/>
        <v/>
      </c>
      <c r="CM82" s="462" t="str">
        <f t="shared" si="32"/>
        <v/>
      </c>
      <c r="CN82" s="462" t="str">
        <f t="shared" si="33"/>
        <v>0450-38</v>
      </c>
    </row>
    <row r="83" spans="1:92" ht="15" thickBot="1" x14ac:dyDescent="0.35">
      <c r="A83" s="376" t="s">
        <v>161</v>
      </c>
      <c r="B83" s="376" t="s">
        <v>162</v>
      </c>
      <c r="C83" s="376" t="s">
        <v>392</v>
      </c>
      <c r="D83" s="376" t="s">
        <v>263</v>
      </c>
      <c r="E83" s="376" t="s">
        <v>314</v>
      </c>
      <c r="F83" s="382" t="s">
        <v>406</v>
      </c>
      <c r="G83" s="376" t="s">
        <v>167</v>
      </c>
      <c r="H83" s="378"/>
      <c r="I83" s="378"/>
      <c r="J83" s="376" t="s">
        <v>168</v>
      </c>
      <c r="K83" s="376" t="s">
        <v>321</v>
      </c>
      <c r="L83" s="376" t="s">
        <v>216</v>
      </c>
      <c r="M83" s="376" t="s">
        <v>171</v>
      </c>
      <c r="N83" s="376" t="s">
        <v>172</v>
      </c>
      <c r="O83" s="379">
        <v>1</v>
      </c>
      <c r="P83" s="460">
        <v>1</v>
      </c>
      <c r="Q83" s="460">
        <v>1</v>
      </c>
      <c r="R83" s="380">
        <v>80</v>
      </c>
      <c r="S83" s="460">
        <v>1</v>
      </c>
      <c r="T83" s="380">
        <v>11187.2</v>
      </c>
      <c r="U83" s="380">
        <v>0</v>
      </c>
      <c r="V83" s="380">
        <v>4269.24</v>
      </c>
      <c r="W83" s="380">
        <v>72716.800000000003</v>
      </c>
      <c r="X83" s="380">
        <v>27324.080000000002</v>
      </c>
      <c r="Y83" s="380">
        <v>72716.800000000003</v>
      </c>
      <c r="Z83" s="380">
        <v>26945.95</v>
      </c>
      <c r="AA83" s="376" t="s">
        <v>393</v>
      </c>
      <c r="AB83" s="376" t="s">
        <v>394</v>
      </c>
      <c r="AC83" s="376" t="s">
        <v>395</v>
      </c>
      <c r="AD83" s="376" t="s">
        <v>270</v>
      </c>
      <c r="AE83" s="376" t="s">
        <v>321</v>
      </c>
      <c r="AF83" s="376" t="s">
        <v>311</v>
      </c>
      <c r="AG83" s="376" t="s">
        <v>178</v>
      </c>
      <c r="AH83" s="381">
        <v>34.96</v>
      </c>
      <c r="AI83" s="379">
        <v>1690</v>
      </c>
      <c r="AJ83" s="376" t="s">
        <v>179</v>
      </c>
      <c r="AK83" s="376" t="s">
        <v>180</v>
      </c>
      <c r="AL83" s="376" t="s">
        <v>181</v>
      </c>
      <c r="AM83" s="376" t="s">
        <v>182</v>
      </c>
      <c r="AN83" s="376" t="s">
        <v>68</v>
      </c>
      <c r="AO83" s="379">
        <v>80</v>
      </c>
      <c r="AP83" s="460">
        <v>1</v>
      </c>
      <c r="AQ83" s="460">
        <v>1</v>
      </c>
      <c r="AR83" s="458" t="s">
        <v>183</v>
      </c>
      <c r="AS83" s="462">
        <f t="shared" si="17"/>
        <v>1</v>
      </c>
      <c r="AT83">
        <f t="shared" si="18"/>
        <v>1</v>
      </c>
      <c r="AU83" s="462">
        <f>IF(AT83=0,"",IF(AND(AT83=1,M83="F",SUMIF(C2:C170,C83,AS2:AS170)&lt;=1),SUMIF(C2:C170,C83,AS2:AS170),IF(AND(AT83=1,M83="F",SUMIF(C2:C170,C83,AS2:AS170)&gt;1),1,"")))</f>
        <v>1</v>
      </c>
      <c r="AV83" s="462" t="str">
        <f>IF(AT83=0,"",IF(AND(AT83=3,M83="F",SUMIF(C2:C170,C83,AS2:AS170)&lt;=1),SUMIF(C2:C170,C83,AS2:AS170),IF(AND(AT83=3,M83="F",SUMIF(C2:C170,C83,AS2:AS170)&gt;1),1,"")))</f>
        <v/>
      </c>
      <c r="AW83" s="462">
        <f>SUMIF(C2:C170,C83,O2:O170)</f>
        <v>2</v>
      </c>
      <c r="AX83" s="462">
        <f>IF(AND(M83="F",AS83&lt;&gt;0),SUMIF(C2:C170,C83,W2:W170),0)</f>
        <v>72716.800000000003</v>
      </c>
      <c r="AY83" s="462">
        <f t="shared" si="19"/>
        <v>72716.800000000003</v>
      </c>
      <c r="AZ83" s="462" t="str">
        <f t="shared" si="20"/>
        <v/>
      </c>
      <c r="BA83" s="462">
        <f t="shared" si="21"/>
        <v>0</v>
      </c>
      <c r="BB83" s="462">
        <f>IF(AND(AT83=1,AK83="E",AU83&gt;=0.75,AW83=1),Health,IF(AND(AT83=1,AK83="E",AU83&gt;=0.75),Health*P83,IF(AND(AT83=1,AK83="E",AU83&gt;=0.5,AW83=1),PTHealth,IF(AND(AT83=1,AK83="E",AU83&gt;=0.5),PTHealth*P83,0))))</f>
        <v>11650</v>
      </c>
      <c r="BC83" s="462">
        <f>IF(AND(AT83=3,AK83="E",AV83&gt;=0.75,AW83=1),Health,IF(AND(AT83=3,AK83="E",AV83&gt;=0.75),Health*P83,IF(AND(AT83=3,AK83="E",AV83&gt;=0.5,AW83=1),PTHealth,IF(AND(AT83=3,AK83="E",AV83&gt;=0.5),PTHealth*P83,0))))</f>
        <v>0</v>
      </c>
      <c r="BD83" s="462">
        <f>IF(AND(AT83&lt;&gt;0,AX83&gt;=MAXSSDI),SSDI*MAXSSDI*P83,IF(AT83&lt;&gt;0,SSDI*W83,0))</f>
        <v>4508.4416000000001</v>
      </c>
      <c r="BE83" s="462">
        <f>IF(AT83&lt;&gt;0,SSHI*W83,0)</f>
        <v>1054.3936000000001</v>
      </c>
      <c r="BF83" s="462">
        <f>IF(AND(AT83&lt;&gt;0,AN83&lt;&gt;"NE"),VLOOKUP(AN83,Retirement_Rates,3,FALSE)*W83,0)</f>
        <v>8682.3859200000006</v>
      </c>
      <c r="BG83" s="462">
        <f>IF(AND(AT83&lt;&gt;0,AJ83&lt;&gt;"PF"),Life*W83,0)</f>
        <v>524.28812800000003</v>
      </c>
      <c r="BH83" s="462">
        <f>IF(AND(AT83&lt;&gt;0,AM83="Y"),UI*W83,0)</f>
        <v>356.31232</v>
      </c>
      <c r="BI83" s="462">
        <f>IF(AND(AT83&lt;&gt;0,N83&lt;&gt;"NR"),DHR*W83,0)</f>
        <v>402.85107199999999</v>
      </c>
      <c r="BJ83" s="462">
        <f>IF(AT83&lt;&gt;0,WC*W83,0)</f>
        <v>145.43360000000001</v>
      </c>
      <c r="BK83" s="462">
        <f>IF(OR(AND(AT83&lt;&gt;0,AJ83&lt;&gt;"PF",AN83&lt;&gt;"NE",AG83&lt;&gt;"A"),AND(AL83="E",OR(AT83=1,AT83=3))),Sick*W83,0)</f>
        <v>0</v>
      </c>
      <c r="BL83" s="462">
        <f t="shared" si="22"/>
        <v>15674.106240000003</v>
      </c>
      <c r="BM83" s="462">
        <f t="shared" si="23"/>
        <v>0</v>
      </c>
      <c r="BN83" s="462">
        <f>IF(AND(AT83=1,AK83="E",AU83&gt;=0.75,AW83=1),HealthBY,IF(AND(AT83=1,AK83="E",AU83&gt;=0.75),HealthBY*P83,IF(AND(AT83=1,AK83="E",AU83&gt;=0.5,AW83=1),PTHealthBY,IF(AND(AT83=1,AK83="E",AU83&gt;=0.5),PTHealthBY*P83,0))))</f>
        <v>11650</v>
      </c>
      <c r="BO83" s="462">
        <f>IF(AND(AT83=3,AK83="E",AV83&gt;=0.75,AW83=1),HealthBY,IF(AND(AT83=3,AK83="E",AV83&gt;=0.75),HealthBY*P83,IF(AND(AT83=3,AK83="E",AV83&gt;=0.5,AW83=1),PTHealthBY,IF(AND(AT83=3,AK83="E",AV83&gt;=0.5),PTHealthBY*P83,0))))</f>
        <v>0</v>
      </c>
      <c r="BP83" s="462">
        <f>IF(AND(AT83&lt;&gt;0,(AX83+BA83)&gt;=MAXSSDIBY),SSDIBY*MAXSSDIBY*P83,IF(AT83&lt;&gt;0,SSDIBY*W83,0))</f>
        <v>4508.4416000000001</v>
      </c>
      <c r="BQ83" s="462">
        <f>IF(AT83&lt;&gt;0,SSHIBY*W83,0)</f>
        <v>1054.3936000000001</v>
      </c>
      <c r="BR83" s="462">
        <f>IF(AND(AT83&lt;&gt;0,AN83&lt;&gt;"NE"),VLOOKUP(AN83,Retirement_Rates,4,FALSE)*W83,0)</f>
        <v>8682.3859200000006</v>
      </c>
      <c r="BS83" s="462">
        <f>IF(AND(AT83&lt;&gt;0,AJ83&lt;&gt;"PF"),LifeBY*W83,0)</f>
        <v>524.28812800000003</v>
      </c>
      <c r="BT83" s="462">
        <f>IF(AND(AT83&lt;&gt;0,AM83="Y"),UIBY*W83,0)</f>
        <v>0</v>
      </c>
      <c r="BU83" s="462">
        <f>IF(AND(AT83&lt;&gt;0,N83&lt;&gt;"NR"),DHRBY*W83,0)</f>
        <v>402.85107199999999</v>
      </c>
      <c r="BV83" s="462">
        <f>IF(AT83&lt;&gt;0,WCBY*W83,0)</f>
        <v>123.61856</v>
      </c>
      <c r="BW83" s="462">
        <f>IF(OR(AND(AT83&lt;&gt;0,AJ83&lt;&gt;"PF",AN83&lt;&gt;"NE",AG83&lt;&gt;"A"),AND(AL83="E",OR(AT83=1,AT83=3))),SickBY*W83,0)</f>
        <v>0</v>
      </c>
      <c r="BX83" s="462">
        <f t="shared" si="24"/>
        <v>15295.978880000002</v>
      </c>
      <c r="BY83" s="462">
        <f t="shared" si="25"/>
        <v>0</v>
      </c>
      <c r="BZ83" s="462">
        <f t="shared" si="26"/>
        <v>0</v>
      </c>
      <c r="CA83" s="462">
        <f t="shared" si="27"/>
        <v>0</v>
      </c>
      <c r="CB83" s="462">
        <f t="shared" si="28"/>
        <v>0</v>
      </c>
      <c r="CC83" s="462">
        <f>IF(AT83&lt;&gt;0,SSHICHG*Y83,0)</f>
        <v>0</v>
      </c>
      <c r="CD83" s="462">
        <f>IF(AND(AT83&lt;&gt;0,AN83&lt;&gt;"NE"),VLOOKUP(AN83,Retirement_Rates,5,FALSE)*Y83,0)</f>
        <v>0</v>
      </c>
      <c r="CE83" s="462">
        <f>IF(AND(AT83&lt;&gt;0,AJ83&lt;&gt;"PF"),LifeCHG*Y83,0)</f>
        <v>0</v>
      </c>
      <c r="CF83" s="462">
        <f>IF(AND(AT83&lt;&gt;0,AM83="Y"),UICHG*Y83,0)</f>
        <v>-356.31232</v>
      </c>
      <c r="CG83" s="462">
        <f>IF(AND(AT83&lt;&gt;0,N83&lt;&gt;"NR"),DHRCHG*Y83,0)</f>
        <v>0</v>
      </c>
      <c r="CH83" s="462">
        <f>IF(AT83&lt;&gt;0,WCCHG*Y83,0)</f>
        <v>-21.81504000000001</v>
      </c>
      <c r="CI83" s="462">
        <f>IF(OR(AND(AT83&lt;&gt;0,AJ83&lt;&gt;"PF",AN83&lt;&gt;"NE",AG83&lt;&gt;"A"),AND(AL83="E",OR(AT83=1,AT83=3))),SickCHG*Y83,0)</f>
        <v>0</v>
      </c>
      <c r="CJ83" s="462">
        <f t="shared" si="29"/>
        <v>-378.12736000000001</v>
      </c>
      <c r="CK83" s="462" t="str">
        <f t="shared" si="30"/>
        <v/>
      </c>
      <c r="CL83" s="462" t="str">
        <f t="shared" si="31"/>
        <v/>
      </c>
      <c r="CM83" s="462" t="str">
        <f t="shared" si="32"/>
        <v/>
      </c>
      <c r="CN83" s="462" t="str">
        <f t="shared" si="33"/>
        <v>0450-38</v>
      </c>
    </row>
    <row r="84" spans="1:92" ht="15" thickBot="1" x14ac:dyDescent="0.35">
      <c r="A84" s="376" t="s">
        <v>161</v>
      </c>
      <c r="B84" s="376" t="s">
        <v>162</v>
      </c>
      <c r="C84" s="376" t="s">
        <v>387</v>
      </c>
      <c r="D84" s="376" t="s">
        <v>388</v>
      </c>
      <c r="E84" s="376" t="s">
        <v>314</v>
      </c>
      <c r="F84" s="382" t="s">
        <v>406</v>
      </c>
      <c r="G84" s="376" t="s">
        <v>167</v>
      </c>
      <c r="H84" s="378"/>
      <c r="I84" s="378"/>
      <c r="J84" s="376" t="s">
        <v>168</v>
      </c>
      <c r="K84" s="376" t="s">
        <v>389</v>
      </c>
      <c r="L84" s="376" t="s">
        <v>216</v>
      </c>
      <c r="M84" s="376" t="s">
        <v>171</v>
      </c>
      <c r="N84" s="376" t="s">
        <v>172</v>
      </c>
      <c r="O84" s="379">
        <v>1</v>
      </c>
      <c r="P84" s="460">
        <v>1</v>
      </c>
      <c r="Q84" s="460">
        <v>1</v>
      </c>
      <c r="R84" s="380">
        <v>80</v>
      </c>
      <c r="S84" s="460">
        <v>1</v>
      </c>
      <c r="T84" s="380">
        <v>10646.4</v>
      </c>
      <c r="U84" s="380">
        <v>0</v>
      </c>
      <c r="V84" s="380">
        <v>5112.9399999999996</v>
      </c>
      <c r="W84" s="380">
        <v>69201.600000000006</v>
      </c>
      <c r="X84" s="380">
        <v>26566.37</v>
      </c>
      <c r="Y84" s="380">
        <v>69201.600000000006</v>
      </c>
      <c r="Z84" s="380">
        <v>26206.53</v>
      </c>
      <c r="AA84" s="376" t="s">
        <v>390</v>
      </c>
      <c r="AB84" s="376" t="s">
        <v>391</v>
      </c>
      <c r="AC84" s="376" t="s">
        <v>348</v>
      </c>
      <c r="AD84" s="376" t="s">
        <v>252</v>
      </c>
      <c r="AE84" s="376" t="s">
        <v>389</v>
      </c>
      <c r="AF84" s="376" t="s">
        <v>311</v>
      </c>
      <c r="AG84" s="376" t="s">
        <v>178</v>
      </c>
      <c r="AH84" s="381">
        <v>33.270000000000003</v>
      </c>
      <c r="AI84" s="379">
        <v>400</v>
      </c>
      <c r="AJ84" s="376" t="s">
        <v>179</v>
      </c>
      <c r="AK84" s="376" t="s">
        <v>180</v>
      </c>
      <c r="AL84" s="376" t="s">
        <v>181</v>
      </c>
      <c r="AM84" s="376" t="s">
        <v>182</v>
      </c>
      <c r="AN84" s="376" t="s">
        <v>68</v>
      </c>
      <c r="AO84" s="379">
        <v>80</v>
      </c>
      <c r="AP84" s="460">
        <v>1</v>
      </c>
      <c r="AQ84" s="460">
        <v>1</v>
      </c>
      <c r="AR84" s="458" t="s">
        <v>183</v>
      </c>
      <c r="AS84" s="462">
        <f t="shared" si="17"/>
        <v>1</v>
      </c>
      <c r="AT84">
        <f t="shared" si="18"/>
        <v>1</v>
      </c>
      <c r="AU84" s="462">
        <f>IF(AT84=0,"",IF(AND(AT84=1,M84="F",SUMIF(C2:C170,C84,AS2:AS170)&lt;=1),SUMIF(C2:C170,C84,AS2:AS170),IF(AND(AT84=1,M84="F",SUMIF(C2:C170,C84,AS2:AS170)&gt;1),1,"")))</f>
        <v>1</v>
      </c>
      <c r="AV84" s="462" t="str">
        <f>IF(AT84=0,"",IF(AND(AT84=3,M84="F",SUMIF(C2:C170,C84,AS2:AS170)&lt;=1),SUMIF(C2:C170,C84,AS2:AS170),IF(AND(AT84=3,M84="F",SUMIF(C2:C170,C84,AS2:AS170)&gt;1),1,"")))</f>
        <v/>
      </c>
      <c r="AW84" s="462">
        <f>SUMIF(C2:C170,C84,O2:O170)</f>
        <v>2</v>
      </c>
      <c r="AX84" s="462">
        <f>IF(AND(M84="F",AS84&lt;&gt;0),SUMIF(C2:C170,C84,W2:W170),0)</f>
        <v>69201.600000000006</v>
      </c>
      <c r="AY84" s="462">
        <f t="shared" si="19"/>
        <v>69201.600000000006</v>
      </c>
      <c r="AZ84" s="462" t="str">
        <f t="shared" si="20"/>
        <v/>
      </c>
      <c r="BA84" s="462">
        <f t="shared" si="21"/>
        <v>0</v>
      </c>
      <c r="BB84" s="462">
        <f>IF(AND(AT84=1,AK84="E",AU84&gt;=0.75,AW84=1),Health,IF(AND(AT84=1,AK84="E",AU84&gt;=0.75),Health*P84,IF(AND(AT84=1,AK84="E",AU84&gt;=0.5,AW84=1),PTHealth,IF(AND(AT84=1,AK84="E",AU84&gt;=0.5),PTHealth*P84,0))))</f>
        <v>11650</v>
      </c>
      <c r="BC84" s="462">
        <f>IF(AND(AT84=3,AK84="E",AV84&gt;=0.75,AW84=1),Health,IF(AND(AT84=3,AK84="E",AV84&gt;=0.75),Health*P84,IF(AND(AT84=3,AK84="E",AV84&gt;=0.5,AW84=1),PTHealth,IF(AND(AT84=3,AK84="E",AV84&gt;=0.5),PTHealth*P84,0))))</f>
        <v>0</v>
      </c>
      <c r="BD84" s="462">
        <f>IF(AND(AT84&lt;&gt;0,AX84&gt;=MAXSSDI),SSDI*MAXSSDI*P84,IF(AT84&lt;&gt;0,SSDI*W84,0))</f>
        <v>4290.4992000000002</v>
      </c>
      <c r="BE84" s="462">
        <f>IF(AT84&lt;&gt;0,SSHI*W84,0)</f>
        <v>1003.4232000000002</v>
      </c>
      <c r="BF84" s="462">
        <f>IF(AND(AT84&lt;&gt;0,AN84&lt;&gt;"NE"),VLOOKUP(AN84,Retirement_Rates,3,FALSE)*W84,0)</f>
        <v>8262.6710400000011</v>
      </c>
      <c r="BG84" s="462">
        <f>IF(AND(AT84&lt;&gt;0,AJ84&lt;&gt;"PF"),Life*W84,0)</f>
        <v>498.94353600000005</v>
      </c>
      <c r="BH84" s="462">
        <f>IF(AND(AT84&lt;&gt;0,AM84="Y"),UI*W84,0)</f>
        <v>339.08784000000003</v>
      </c>
      <c r="BI84" s="462">
        <f>IF(AND(AT84&lt;&gt;0,N84&lt;&gt;"NR"),DHR*W84,0)</f>
        <v>383.37686400000001</v>
      </c>
      <c r="BJ84" s="462">
        <f>IF(AT84&lt;&gt;0,WC*W84,0)</f>
        <v>138.40320000000003</v>
      </c>
      <c r="BK84" s="462">
        <f>IF(OR(AND(AT84&lt;&gt;0,AJ84&lt;&gt;"PF",AN84&lt;&gt;"NE",AG84&lt;&gt;"A"),AND(AL84="E",OR(AT84=1,AT84=3))),Sick*W84,0)</f>
        <v>0</v>
      </c>
      <c r="BL84" s="462">
        <f t="shared" si="22"/>
        <v>14916.404880000002</v>
      </c>
      <c r="BM84" s="462">
        <f t="shared" si="23"/>
        <v>0</v>
      </c>
      <c r="BN84" s="462">
        <f>IF(AND(AT84=1,AK84="E",AU84&gt;=0.75,AW84=1),HealthBY,IF(AND(AT84=1,AK84="E",AU84&gt;=0.75),HealthBY*P84,IF(AND(AT84=1,AK84="E",AU84&gt;=0.5,AW84=1),PTHealthBY,IF(AND(AT84=1,AK84="E",AU84&gt;=0.5),PTHealthBY*P84,0))))</f>
        <v>11650</v>
      </c>
      <c r="BO84" s="462">
        <f>IF(AND(AT84=3,AK84="E",AV84&gt;=0.75,AW84=1),HealthBY,IF(AND(AT84=3,AK84="E",AV84&gt;=0.75),HealthBY*P84,IF(AND(AT84=3,AK84="E",AV84&gt;=0.5,AW84=1),PTHealthBY,IF(AND(AT84=3,AK84="E",AV84&gt;=0.5),PTHealthBY*P84,0))))</f>
        <v>0</v>
      </c>
      <c r="BP84" s="462">
        <f>IF(AND(AT84&lt;&gt;0,(AX84+BA84)&gt;=MAXSSDIBY),SSDIBY*MAXSSDIBY*P84,IF(AT84&lt;&gt;0,SSDIBY*W84,0))</f>
        <v>4290.4992000000002</v>
      </c>
      <c r="BQ84" s="462">
        <f>IF(AT84&lt;&gt;0,SSHIBY*W84,0)</f>
        <v>1003.4232000000002</v>
      </c>
      <c r="BR84" s="462">
        <f>IF(AND(AT84&lt;&gt;0,AN84&lt;&gt;"NE"),VLOOKUP(AN84,Retirement_Rates,4,FALSE)*W84,0)</f>
        <v>8262.6710400000011</v>
      </c>
      <c r="BS84" s="462">
        <f>IF(AND(AT84&lt;&gt;0,AJ84&lt;&gt;"PF"),LifeBY*W84,0)</f>
        <v>498.94353600000005</v>
      </c>
      <c r="BT84" s="462">
        <f>IF(AND(AT84&lt;&gt;0,AM84="Y"),UIBY*W84,0)</f>
        <v>0</v>
      </c>
      <c r="BU84" s="462">
        <f>IF(AND(AT84&lt;&gt;0,N84&lt;&gt;"NR"),DHRBY*W84,0)</f>
        <v>383.37686400000001</v>
      </c>
      <c r="BV84" s="462">
        <f>IF(AT84&lt;&gt;0,WCBY*W84,0)</f>
        <v>117.64272</v>
      </c>
      <c r="BW84" s="462">
        <f>IF(OR(AND(AT84&lt;&gt;0,AJ84&lt;&gt;"PF",AN84&lt;&gt;"NE",AG84&lt;&gt;"A"),AND(AL84="E",OR(AT84=1,AT84=3))),SickBY*W84,0)</f>
        <v>0</v>
      </c>
      <c r="BX84" s="462">
        <f t="shared" si="24"/>
        <v>14556.556560000001</v>
      </c>
      <c r="BY84" s="462">
        <f t="shared" si="25"/>
        <v>0</v>
      </c>
      <c r="BZ84" s="462">
        <f t="shared" si="26"/>
        <v>0</v>
      </c>
      <c r="CA84" s="462">
        <f t="shared" si="27"/>
        <v>0</v>
      </c>
      <c r="CB84" s="462">
        <f t="shared" si="28"/>
        <v>0</v>
      </c>
      <c r="CC84" s="462">
        <f>IF(AT84&lt;&gt;0,SSHICHG*Y84,0)</f>
        <v>0</v>
      </c>
      <c r="CD84" s="462">
        <f>IF(AND(AT84&lt;&gt;0,AN84&lt;&gt;"NE"),VLOOKUP(AN84,Retirement_Rates,5,FALSE)*Y84,0)</f>
        <v>0</v>
      </c>
      <c r="CE84" s="462">
        <f>IF(AND(AT84&lt;&gt;0,AJ84&lt;&gt;"PF"),LifeCHG*Y84,0)</f>
        <v>0</v>
      </c>
      <c r="CF84" s="462">
        <f>IF(AND(AT84&lt;&gt;0,AM84="Y"),UICHG*Y84,0)</f>
        <v>-339.08784000000003</v>
      </c>
      <c r="CG84" s="462">
        <f>IF(AND(AT84&lt;&gt;0,N84&lt;&gt;"NR"),DHRCHG*Y84,0)</f>
        <v>0</v>
      </c>
      <c r="CH84" s="462">
        <f>IF(AT84&lt;&gt;0,WCCHG*Y84,0)</f>
        <v>-20.760480000000012</v>
      </c>
      <c r="CI84" s="462">
        <f>IF(OR(AND(AT84&lt;&gt;0,AJ84&lt;&gt;"PF",AN84&lt;&gt;"NE",AG84&lt;&gt;"A"),AND(AL84="E",OR(AT84=1,AT84=3))),SickCHG*Y84,0)</f>
        <v>0</v>
      </c>
      <c r="CJ84" s="462">
        <f t="shared" si="29"/>
        <v>-359.84832000000006</v>
      </c>
      <c r="CK84" s="462" t="str">
        <f t="shared" si="30"/>
        <v/>
      </c>
      <c r="CL84" s="462" t="str">
        <f t="shared" si="31"/>
        <v/>
      </c>
      <c r="CM84" s="462" t="str">
        <f t="shared" si="32"/>
        <v/>
      </c>
      <c r="CN84" s="462" t="str">
        <f t="shared" si="33"/>
        <v>0450-38</v>
      </c>
    </row>
    <row r="85" spans="1:92" ht="15" thickBot="1" x14ac:dyDescent="0.35">
      <c r="A85" s="376" t="s">
        <v>161</v>
      </c>
      <c r="B85" s="376" t="s">
        <v>162</v>
      </c>
      <c r="C85" s="376" t="s">
        <v>380</v>
      </c>
      <c r="D85" s="376" t="s">
        <v>381</v>
      </c>
      <c r="E85" s="376" t="s">
        <v>314</v>
      </c>
      <c r="F85" s="382" t="s">
        <v>406</v>
      </c>
      <c r="G85" s="376" t="s">
        <v>167</v>
      </c>
      <c r="H85" s="378"/>
      <c r="I85" s="378"/>
      <c r="J85" s="376" t="s">
        <v>168</v>
      </c>
      <c r="K85" s="376" t="s">
        <v>383</v>
      </c>
      <c r="L85" s="376" t="s">
        <v>216</v>
      </c>
      <c r="M85" s="376" t="s">
        <v>171</v>
      </c>
      <c r="N85" s="376" t="s">
        <v>172</v>
      </c>
      <c r="O85" s="379">
        <v>1</v>
      </c>
      <c r="P85" s="460">
        <v>1</v>
      </c>
      <c r="Q85" s="460">
        <v>1</v>
      </c>
      <c r="R85" s="380">
        <v>80</v>
      </c>
      <c r="S85" s="460">
        <v>1</v>
      </c>
      <c r="T85" s="380">
        <v>13068.8</v>
      </c>
      <c r="U85" s="380">
        <v>0</v>
      </c>
      <c r="V85" s="380">
        <v>4678.96</v>
      </c>
      <c r="W85" s="380">
        <v>71947.199999999997</v>
      </c>
      <c r="X85" s="380">
        <v>27158.18</v>
      </c>
      <c r="Y85" s="380">
        <v>71947.199999999997</v>
      </c>
      <c r="Z85" s="380">
        <v>26784.06</v>
      </c>
      <c r="AA85" s="376" t="s">
        <v>384</v>
      </c>
      <c r="AB85" s="376" t="s">
        <v>385</v>
      </c>
      <c r="AC85" s="376" t="s">
        <v>386</v>
      </c>
      <c r="AD85" s="376" t="s">
        <v>276</v>
      </c>
      <c r="AE85" s="376" t="s">
        <v>383</v>
      </c>
      <c r="AF85" s="376" t="s">
        <v>311</v>
      </c>
      <c r="AG85" s="376" t="s">
        <v>178</v>
      </c>
      <c r="AH85" s="381">
        <v>34.590000000000003</v>
      </c>
      <c r="AI85" s="381">
        <v>24642.1</v>
      </c>
      <c r="AJ85" s="376" t="s">
        <v>179</v>
      </c>
      <c r="AK85" s="376" t="s">
        <v>180</v>
      </c>
      <c r="AL85" s="376" t="s">
        <v>181</v>
      </c>
      <c r="AM85" s="376" t="s">
        <v>182</v>
      </c>
      <c r="AN85" s="376" t="s">
        <v>68</v>
      </c>
      <c r="AO85" s="379">
        <v>80</v>
      </c>
      <c r="AP85" s="460">
        <v>1</v>
      </c>
      <c r="AQ85" s="460">
        <v>1</v>
      </c>
      <c r="AR85" s="458" t="s">
        <v>183</v>
      </c>
      <c r="AS85" s="462">
        <f t="shared" si="17"/>
        <v>1</v>
      </c>
      <c r="AT85">
        <f t="shared" si="18"/>
        <v>1</v>
      </c>
      <c r="AU85" s="462">
        <f>IF(AT85=0,"",IF(AND(AT85=1,M85="F",SUMIF(C2:C170,C85,AS2:AS170)&lt;=1),SUMIF(C2:C170,C85,AS2:AS170),IF(AND(AT85=1,M85="F",SUMIF(C2:C170,C85,AS2:AS170)&gt;1),1,"")))</f>
        <v>1</v>
      </c>
      <c r="AV85" s="462" t="str">
        <f>IF(AT85=0,"",IF(AND(AT85=3,M85="F",SUMIF(C2:C170,C85,AS2:AS170)&lt;=1),SUMIF(C2:C170,C85,AS2:AS170),IF(AND(AT85=3,M85="F",SUMIF(C2:C170,C85,AS2:AS170)&gt;1),1,"")))</f>
        <v/>
      </c>
      <c r="AW85" s="462">
        <f>SUMIF(C2:C170,C85,O2:O170)</f>
        <v>2</v>
      </c>
      <c r="AX85" s="462">
        <f>IF(AND(M85="F",AS85&lt;&gt;0),SUMIF(C2:C170,C85,W2:W170),0)</f>
        <v>71947.199999999997</v>
      </c>
      <c r="AY85" s="462">
        <f t="shared" si="19"/>
        <v>71947.199999999997</v>
      </c>
      <c r="AZ85" s="462" t="str">
        <f t="shared" si="20"/>
        <v/>
      </c>
      <c r="BA85" s="462">
        <f t="shared" si="21"/>
        <v>0</v>
      </c>
      <c r="BB85" s="462">
        <f>IF(AND(AT85=1,AK85="E",AU85&gt;=0.75,AW85=1),Health,IF(AND(AT85=1,AK85="E",AU85&gt;=0.75),Health*P85,IF(AND(AT85=1,AK85="E",AU85&gt;=0.5,AW85=1),PTHealth,IF(AND(AT85=1,AK85="E",AU85&gt;=0.5),PTHealth*P85,0))))</f>
        <v>11650</v>
      </c>
      <c r="BC85" s="462">
        <f>IF(AND(AT85=3,AK85="E",AV85&gt;=0.75,AW85=1),Health,IF(AND(AT85=3,AK85="E",AV85&gt;=0.75),Health*P85,IF(AND(AT85=3,AK85="E",AV85&gt;=0.5,AW85=1),PTHealth,IF(AND(AT85=3,AK85="E",AV85&gt;=0.5),PTHealth*P85,0))))</f>
        <v>0</v>
      </c>
      <c r="BD85" s="462">
        <f>IF(AND(AT85&lt;&gt;0,AX85&gt;=MAXSSDI),SSDI*MAXSSDI*P85,IF(AT85&lt;&gt;0,SSDI*W85,0))</f>
        <v>4460.7263999999996</v>
      </c>
      <c r="BE85" s="462">
        <f>IF(AT85&lt;&gt;0,SSHI*W85,0)</f>
        <v>1043.2344000000001</v>
      </c>
      <c r="BF85" s="462">
        <f>IF(AND(AT85&lt;&gt;0,AN85&lt;&gt;"NE"),VLOOKUP(AN85,Retirement_Rates,3,FALSE)*W85,0)</f>
        <v>8590.49568</v>
      </c>
      <c r="BG85" s="462">
        <f>IF(AND(AT85&lt;&gt;0,AJ85&lt;&gt;"PF"),Life*W85,0)</f>
        <v>518.73931200000004</v>
      </c>
      <c r="BH85" s="462">
        <f>IF(AND(AT85&lt;&gt;0,AM85="Y"),UI*W85,0)</f>
        <v>352.54127999999997</v>
      </c>
      <c r="BI85" s="462">
        <f>IF(AND(AT85&lt;&gt;0,N85&lt;&gt;"NR"),DHR*W85,0)</f>
        <v>398.58748799999995</v>
      </c>
      <c r="BJ85" s="462">
        <f>IF(AT85&lt;&gt;0,WC*W85,0)</f>
        <v>143.89439999999999</v>
      </c>
      <c r="BK85" s="462">
        <f>IF(OR(AND(AT85&lt;&gt;0,AJ85&lt;&gt;"PF",AN85&lt;&gt;"NE",AG85&lt;&gt;"A"),AND(AL85="E",OR(AT85=1,AT85=3))),Sick*W85,0)</f>
        <v>0</v>
      </c>
      <c r="BL85" s="462">
        <f t="shared" si="22"/>
        <v>15508.218959999998</v>
      </c>
      <c r="BM85" s="462">
        <f t="shared" si="23"/>
        <v>0</v>
      </c>
      <c r="BN85" s="462">
        <f>IF(AND(AT85=1,AK85="E",AU85&gt;=0.75,AW85=1),HealthBY,IF(AND(AT85=1,AK85="E",AU85&gt;=0.75),HealthBY*P85,IF(AND(AT85=1,AK85="E",AU85&gt;=0.5,AW85=1),PTHealthBY,IF(AND(AT85=1,AK85="E",AU85&gt;=0.5),PTHealthBY*P85,0))))</f>
        <v>11650</v>
      </c>
      <c r="BO85" s="462">
        <f>IF(AND(AT85=3,AK85="E",AV85&gt;=0.75,AW85=1),HealthBY,IF(AND(AT85=3,AK85="E",AV85&gt;=0.75),HealthBY*P85,IF(AND(AT85=3,AK85="E",AV85&gt;=0.5,AW85=1),PTHealthBY,IF(AND(AT85=3,AK85="E",AV85&gt;=0.5),PTHealthBY*P85,0))))</f>
        <v>0</v>
      </c>
      <c r="BP85" s="462">
        <f>IF(AND(AT85&lt;&gt;0,(AX85+BA85)&gt;=MAXSSDIBY),SSDIBY*MAXSSDIBY*P85,IF(AT85&lt;&gt;0,SSDIBY*W85,0))</f>
        <v>4460.7263999999996</v>
      </c>
      <c r="BQ85" s="462">
        <f>IF(AT85&lt;&gt;0,SSHIBY*W85,0)</f>
        <v>1043.2344000000001</v>
      </c>
      <c r="BR85" s="462">
        <f>IF(AND(AT85&lt;&gt;0,AN85&lt;&gt;"NE"),VLOOKUP(AN85,Retirement_Rates,4,FALSE)*W85,0)</f>
        <v>8590.49568</v>
      </c>
      <c r="BS85" s="462">
        <f>IF(AND(AT85&lt;&gt;0,AJ85&lt;&gt;"PF"),LifeBY*W85,0)</f>
        <v>518.73931200000004</v>
      </c>
      <c r="BT85" s="462">
        <f>IF(AND(AT85&lt;&gt;0,AM85="Y"),UIBY*W85,0)</f>
        <v>0</v>
      </c>
      <c r="BU85" s="462">
        <f>IF(AND(AT85&lt;&gt;0,N85&lt;&gt;"NR"),DHRBY*W85,0)</f>
        <v>398.58748799999995</v>
      </c>
      <c r="BV85" s="462">
        <f>IF(AT85&lt;&gt;0,WCBY*W85,0)</f>
        <v>122.31023999999999</v>
      </c>
      <c r="BW85" s="462">
        <f>IF(OR(AND(AT85&lt;&gt;0,AJ85&lt;&gt;"PF",AN85&lt;&gt;"NE",AG85&lt;&gt;"A"),AND(AL85="E",OR(AT85=1,AT85=3))),SickBY*W85,0)</f>
        <v>0</v>
      </c>
      <c r="BX85" s="462">
        <f t="shared" si="24"/>
        <v>15134.09352</v>
      </c>
      <c r="BY85" s="462">
        <f t="shared" si="25"/>
        <v>0</v>
      </c>
      <c r="BZ85" s="462">
        <f t="shared" si="26"/>
        <v>0</v>
      </c>
      <c r="CA85" s="462">
        <f t="shared" si="27"/>
        <v>0</v>
      </c>
      <c r="CB85" s="462">
        <f t="shared" si="28"/>
        <v>0</v>
      </c>
      <c r="CC85" s="462">
        <f>IF(AT85&lt;&gt;0,SSHICHG*Y85,0)</f>
        <v>0</v>
      </c>
      <c r="CD85" s="462">
        <f>IF(AND(AT85&lt;&gt;0,AN85&lt;&gt;"NE"),VLOOKUP(AN85,Retirement_Rates,5,FALSE)*Y85,0)</f>
        <v>0</v>
      </c>
      <c r="CE85" s="462">
        <f>IF(AND(AT85&lt;&gt;0,AJ85&lt;&gt;"PF"),LifeCHG*Y85,0)</f>
        <v>0</v>
      </c>
      <c r="CF85" s="462">
        <f>IF(AND(AT85&lt;&gt;0,AM85="Y"),UICHG*Y85,0)</f>
        <v>-352.54127999999997</v>
      </c>
      <c r="CG85" s="462">
        <f>IF(AND(AT85&lt;&gt;0,N85&lt;&gt;"NR"),DHRCHG*Y85,0)</f>
        <v>0</v>
      </c>
      <c r="CH85" s="462">
        <f>IF(AT85&lt;&gt;0,WCCHG*Y85,0)</f>
        <v>-21.584160000000008</v>
      </c>
      <c r="CI85" s="462">
        <f>IF(OR(AND(AT85&lt;&gt;0,AJ85&lt;&gt;"PF",AN85&lt;&gt;"NE",AG85&lt;&gt;"A"),AND(AL85="E",OR(AT85=1,AT85=3))),SickCHG*Y85,0)</f>
        <v>0</v>
      </c>
      <c r="CJ85" s="462">
        <f t="shared" si="29"/>
        <v>-374.12543999999997</v>
      </c>
      <c r="CK85" s="462" t="str">
        <f t="shared" si="30"/>
        <v/>
      </c>
      <c r="CL85" s="462" t="str">
        <f t="shared" si="31"/>
        <v/>
      </c>
      <c r="CM85" s="462" t="str">
        <f t="shared" si="32"/>
        <v/>
      </c>
      <c r="CN85" s="462" t="str">
        <f t="shared" si="33"/>
        <v>0450-38</v>
      </c>
    </row>
    <row r="86" spans="1:92" ht="15" thickBot="1" x14ac:dyDescent="0.35">
      <c r="A86" s="376" t="s">
        <v>161</v>
      </c>
      <c r="B86" s="376" t="s">
        <v>162</v>
      </c>
      <c r="C86" s="376" t="s">
        <v>529</v>
      </c>
      <c r="D86" s="376" t="s">
        <v>313</v>
      </c>
      <c r="E86" s="376" t="s">
        <v>314</v>
      </c>
      <c r="F86" s="382" t="s">
        <v>406</v>
      </c>
      <c r="G86" s="376" t="s">
        <v>167</v>
      </c>
      <c r="H86" s="378"/>
      <c r="I86" s="378"/>
      <c r="J86" s="376" t="s">
        <v>168</v>
      </c>
      <c r="K86" s="376" t="s">
        <v>316</v>
      </c>
      <c r="L86" s="376" t="s">
        <v>216</v>
      </c>
      <c r="M86" s="376" t="s">
        <v>171</v>
      </c>
      <c r="N86" s="376" t="s">
        <v>172</v>
      </c>
      <c r="O86" s="379">
        <v>1</v>
      </c>
      <c r="P86" s="460">
        <v>1</v>
      </c>
      <c r="Q86" s="460">
        <v>1</v>
      </c>
      <c r="R86" s="380">
        <v>80</v>
      </c>
      <c r="S86" s="460">
        <v>1</v>
      </c>
      <c r="T86" s="380">
        <v>70083.42</v>
      </c>
      <c r="U86" s="380">
        <v>0</v>
      </c>
      <c r="V86" s="380">
        <v>25892.85</v>
      </c>
      <c r="W86" s="380">
        <v>70345.600000000006</v>
      </c>
      <c r="X86" s="380">
        <v>26812.97</v>
      </c>
      <c r="Y86" s="380">
        <v>70345.600000000006</v>
      </c>
      <c r="Z86" s="380">
        <v>26447.17</v>
      </c>
      <c r="AA86" s="376" t="s">
        <v>530</v>
      </c>
      <c r="AB86" s="376" t="s">
        <v>531</v>
      </c>
      <c r="AC86" s="376" t="s">
        <v>422</v>
      </c>
      <c r="AD86" s="376" t="s">
        <v>325</v>
      </c>
      <c r="AE86" s="376" t="s">
        <v>316</v>
      </c>
      <c r="AF86" s="376" t="s">
        <v>311</v>
      </c>
      <c r="AG86" s="376" t="s">
        <v>178</v>
      </c>
      <c r="AH86" s="381">
        <v>33.82</v>
      </c>
      <c r="AI86" s="381">
        <v>26581.7</v>
      </c>
      <c r="AJ86" s="376" t="s">
        <v>179</v>
      </c>
      <c r="AK86" s="376" t="s">
        <v>180</v>
      </c>
      <c r="AL86" s="376" t="s">
        <v>181</v>
      </c>
      <c r="AM86" s="376" t="s">
        <v>182</v>
      </c>
      <c r="AN86" s="376" t="s">
        <v>68</v>
      </c>
      <c r="AO86" s="379">
        <v>80</v>
      </c>
      <c r="AP86" s="460">
        <v>1</v>
      </c>
      <c r="AQ86" s="460">
        <v>1</v>
      </c>
      <c r="AR86" s="458" t="s">
        <v>183</v>
      </c>
      <c r="AS86" s="462">
        <f t="shared" si="17"/>
        <v>1</v>
      </c>
      <c r="AT86">
        <f t="shared" si="18"/>
        <v>1</v>
      </c>
      <c r="AU86" s="462">
        <f>IF(AT86=0,"",IF(AND(AT86=1,M86="F",SUMIF(C2:C170,C86,AS2:AS170)&lt;=1),SUMIF(C2:C170,C86,AS2:AS170),IF(AND(AT86=1,M86="F",SUMIF(C2:C170,C86,AS2:AS170)&gt;1),1,"")))</f>
        <v>1</v>
      </c>
      <c r="AV86" s="462" t="str">
        <f>IF(AT86=0,"",IF(AND(AT86=3,M86="F",SUMIF(C2:C170,C86,AS2:AS170)&lt;=1),SUMIF(C2:C170,C86,AS2:AS170),IF(AND(AT86=3,M86="F",SUMIF(C2:C170,C86,AS2:AS170)&gt;1),1,"")))</f>
        <v/>
      </c>
      <c r="AW86" s="462">
        <f>SUMIF(C2:C170,C86,O2:O170)</f>
        <v>1</v>
      </c>
      <c r="AX86" s="462">
        <f>IF(AND(M86="F",AS86&lt;&gt;0),SUMIF(C2:C170,C86,W2:W170),0)</f>
        <v>70345.600000000006</v>
      </c>
      <c r="AY86" s="462">
        <f t="shared" si="19"/>
        <v>70345.600000000006</v>
      </c>
      <c r="AZ86" s="462" t="str">
        <f t="shared" si="20"/>
        <v/>
      </c>
      <c r="BA86" s="462">
        <f t="shared" si="21"/>
        <v>0</v>
      </c>
      <c r="BB86" s="462">
        <f>IF(AND(AT86=1,AK86="E",AU86&gt;=0.75,AW86=1),Health,IF(AND(AT86=1,AK86="E",AU86&gt;=0.75),Health*P86,IF(AND(AT86=1,AK86="E",AU86&gt;=0.5,AW86=1),PTHealth,IF(AND(AT86=1,AK86="E",AU86&gt;=0.5),PTHealth*P86,0))))</f>
        <v>11650</v>
      </c>
      <c r="BC86" s="462">
        <f>IF(AND(AT86=3,AK86="E",AV86&gt;=0.75,AW86=1),Health,IF(AND(AT86=3,AK86="E",AV86&gt;=0.75),Health*P86,IF(AND(AT86=3,AK86="E",AV86&gt;=0.5,AW86=1),PTHealth,IF(AND(AT86=3,AK86="E",AV86&gt;=0.5),PTHealth*P86,0))))</f>
        <v>0</v>
      </c>
      <c r="BD86" s="462">
        <f>IF(AND(AT86&lt;&gt;0,AX86&gt;=MAXSSDI),SSDI*MAXSSDI*P86,IF(AT86&lt;&gt;0,SSDI*W86,0))</f>
        <v>4361.4272000000001</v>
      </c>
      <c r="BE86" s="462">
        <f>IF(AT86&lt;&gt;0,SSHI*W86,0)</f>
        <v>1020.0112000000001</v>
      </c>
      <c r="BF86" s="462">
        <f>IF(AND(AT86&lt;&gt;0,AN86&lt;&gt;"NE"),VLOOKUP(AN86,Retirement_Rates,3,FALSE)*W86,0)</f>
        <v>8399.2646400000012</v>
      </c>
      <c r="BG86" s="462">
        <f>IF(AND(AT86&lt;&gt;0,AJ86&lt;&gt;"PF"),Life*W86,0)</f>
        <v>507.19177600000006</v>
      </c>
      <c r="BH86" s="462">
        <f>IF(AND(AT86&lt;&gt;0,AM86="Y"),UI*W86,0)</f>
        <v>344.69344000000001</v>
      </c>
      <c r="BI86" s="462">
        <f>IF(AND(AT86&lt;&gt;0,N86&lt;&gt;"NR"),DHR*W86,0)</f>
        <v>389.71462400000001</v>
      </c>
      <c r="BJ86" s="462">
        <f>IF(AT86&lt;&gt;0,WC*W86,0)</f>
        <v>140.69120000000001</v>
      </c>
      <c r="BK86" s="462">
        <f>IF(OR(AND(AT86&lt;&gt;0,AJ86&lt;&gt;"PF",AN86&lt;&gt;"NE",AG86&lt;&gt;"A"),AND(AL86="E",OR(AT86=1,AT86=3))),Sick*W86,0)</f>
        <v>0</v>
      </c>
      <c r="BL86" s="462">
        <f t="shared" si="22"/>
        <v>15162.994079999999</v>
      </c>
      <c r="BM86" s="462">
        <f t="shared" si="23"/>
        <v>0</v>
      </c>
      <c r="BN86" s="462">
        <f>IF(AND(AT86=1,AK86="E",AU86&gt;=0.75,AW86=1),HealthBY,IF(AND(AT86=1,AK86="E",AU86&gt;=0.75),HealthBY*P86,IF(AND(AT86=1,AK86="E",AU86&gt;=0.5,AW86=1),PTHealthBY,IF(AND(AT86=1,AK86="E",AU86&gt;=0.5),PTHealthBY*P86,0))))</f>
        <v>11650</v>
      </c>
      <c r="BO86" s="462">
        <f>IF(AND(AT86=3,AK86="E",AV86&gt;=0.75,AW86=1),HealthBY,IF(AND(AT86=3,AK86="E",AV86&gt;=0.75),HealthBY*P86,IF(AND(AT86=3,AK86="E",AV86&gt;=0.5,AW86=1),PTHealthBY,IF(AND(AT86=3,AK86="E",AV86&gt;=0.5),PTHealthBY*P86,0))))</f>
        <v>0</v>
      </c>
      <c r="BP86" s="462">
        <f>IF(AND(AT86&lt;&gt;0,(AX86+BA86)&gt;=MAXSSDIBY),SSDIBY*MAXSSDIBY*P86,IF(AT86&lt;&gt;0,SSDIBY*W86,0))</f>
        <v>4361.4272000000001</v>
      </c>
      <c r="BQ86" s="462">
        <f>IF(AT86&lt;&gt;0,SSHIBY*W86,0)</f>
        <v>1020.0112000000001</v>
      </c>
      <c r="BR86" s="462">
        <f>IF(AND(AT86&lt;&gt;0,AN86&lt;&gt;"NE"),VLOOKUP(AN86,Retirement_Rates,4,FALSE)*W86,0)</f>
        <v>8399.2646400000012</v>
      </c>
      <c r="BS86" s="462">
        <f>IF(AND(AT86&lt;&gt;0,AJ86&lt;&gt;"PF"),LifeBY*W86,0)</f>
        <v>507.19177600000006</v>
      </c>
      <c r="BT86" s="462">
        <f>IF(AND(AT86&lt;&gt;0,AM86="Y"),UIBY*W86,0)</f>
        <v>0</v>
      </c>
      <c r="BU86" s="462">
        <f>IF(AND(AT86&lt;&gt;0,N86&lt;&gt;"NR"),DHRBY*W86,0)</f>
        <v>389.71462400000001</v>
      </c>
      <c r="BV86" s="462">
        <f>IF(AT86&lt;&gt;0,WCBY*W86,0)</f>
        <v>119.58752</v>
      </c>
      <c r="BW86" s="462">
        <f>IF(OR(AND(AT86&lt;&gt;0,AJ86&lt;&gt;"PF",AN86&lt;&gt;"NE",AG86&lt;&gt;"A"),AND(AL86="E",OR(AT86=1,AT86=3))),SickBY*W86,0)</f>
        <v>0</v>
      </c>
      <c r="BX86" s="462">
        <f t="shared" si="24"/>
        <v>14797.196959999999</v>
      </c>
      <c r="BY86" s="462">
        <f t="shared" si="25"/>
        <v>0</v>
      </c>
      <c r="BZ86" s="462">
        <f t="shared" si="26"/>
        <v>0</v>
      </c>
      <c r="CA86" s="462">
        <f t="shared" si="27"/>
        <v>0</v>
      </c>
      <c r="CB86" s="462">
        <f t="shared" si="28"/>
        <v>0</v>
      </c>
      <c r="CC86" s="462">
        <f>IF(AT86&lt;&gt;0,SSHICHG*Y86,0)</f>
        <v>0</v>
      </c>
      <c r="CD86" s="462">
        <f>IF(AND(AT86&lt;&gt;0,AN86&lt;&gt;"NE"),VLOOKUP(AN86,Retirement_Rates,5,FALSE)*Y86,0)</f>
        <v>0</v>
      </c>
      <c r="CE86" s="462">
        <f>IF(AND(AT86&lt;&gt;0,AJ86&lt;&gt;"PF"),LifeCHG*Y86,0)</f>
        <v>0</v>
      </c>
      <c r="CF86" s="462">
        <f>IF(AND(AT86&lt;&gt;0,AM86="Y"),UICHG*Y86,0)</f>
        <v>-344.69344000000001</v>
      </c>
      <c r="CG86" s="462">
        <f>IF(AND(AT86&lt;&gt;0,N86&lt;&gt;"NR"),DHRCHG*Y86,0)</f>
        <v>0</v>
      </c>
      <c r="CH86" s="462">
        <f>IF(AT86&lt;&gt;0,WCCHG*Y86,0)</f>
        <v>-21.103680000000011</v>
      </c>
      <c r="CI86" s="462">
        <f>IF(OR(AND(AT86&lt;&gt;0,AJ86&lt;&gt;"PF",AN86&lt;&gt;"NE",AG86&lt;&gt;"A"),AND(AL86="E",OR(AT86=1,AT86=3))),SickCHG*Y86,0)</f>
        <v>0</v>
      </c>
      <c r="CJ86" s="462">
        <f t="shared" si="29"/>
        <v>-365.79712000000001</v>
      </c>
      <c r="CK86" s="462" t="str">
        <f t="shared" si="30"/>
        <v/>
      </c>
      <c r="CL86" s="462" t="str">
        <f t="shared" si="31"/>
        <v/>
      </c>
      <c r="CM86" s="462" t="str">
        <f t="shared" si="32"/>
        <v/>
      </c>
      <c r="CN86" s="462" t="str">
        <f t="shared" si="33"/>
        <v>0450-38</v>
      </c>
    </row>
    <row r="87" spans="1:92" ht="15" thickBot="1" x14ac:dyDescent="0.35">
      <c r="A87" s="376" t="s">
        <v>161</v>
      </c>
      <c r="B87" s="376" t="s">
        <v>162</v>
      </c>
      <c r="C87" s="376" t="s">
        <v>532</v>
      </c>
      <c r="D87" s="376" t="s">
        <v>436</v>
      </c>
      <c r="E87" s="376" t="s">
        <v>314</v>
      </c>
      <c r="F87" s="382" t="s">
        <v>406</v>
      </c>
      <c r="G87" s="376" t="s">
        <v>167</v>
      </c>
      <c r="H87" s="378"/>
      <c r="I87" s="378"/>
      <c r="J87" s="376" t="s">
        <v>168</v>
      </c>
      <c r="K87" s="376" t="s">
        <v>437</v>
      </c>
      <c r="L87" s="376" t="s">
        <v>216</v>
      </c>
      <c r="M87" s="376" t="s">
        <v>171</v>
      </c>
      <c r="N87" s="376" t="s">
        <v>172</v>
      </c>
      <c r="O87" s="379">
        <v>1</v>
      </c>
      <c r="P87" s="460">
        <v>1</v>
      </c>
      <c r="Q87" s="460">
        <v>1</v>
      </c>
      <c r="R87" s="380">
        <v>80</v>
      </c>
      <c r="S87" s="460">
        <v>1</v>
      </c>
      <c r="T87" s="380">
        <v>67808.009999999995</v>
      </c>
      <c r="U87" s="380">
        <v>0</v>
      </c>
      <c r="V87" s="380">
        <v>26810.639999999999</v>
      </c>
      <c r="W87" s="380">
        <v>68952</v>
      </c>
      <c r="X87" s="380">
        <v>26512.57</v>
      </c>
      <c r="Y87" s="380">
        <v>68952</v>
      </c>
      <c r="Z87" s="380">
        <v>26154.02</v>
      </c>
      <c r="AA87" s="376" t="s">
        <v>533</v>
      </c>
      <c r="AB87" s="376" t="s">
        <v>534</v>
      </c>
      <c r="AC87" s="376" t="s">
        <v>535</v>
      </c>
      <c r="AD87" s="376" t="s">
        <v>353</v>
      </c>
      <c r="AE87" s="376" t="s">
        <v>437</v>
      </c>
      <c r="AF87" s="376" t="s">
        <v>311</v>
      </c>
      <c r="AG87" s="376" t="s">
        <v>178</v>
      </c>
      <c r="AH87" s="381">
        <v>33.15</v>
      </c>
      <c r="AI87" s="381">
        <v>2946.3</v>
      </c>
      <c r="AJ87" s="376" t="s">
        <v>179</v>
      </c>
      <c r="AK87" s="376" t="s">
        <v>180</v>
      </c>
      <c r="AL87" s="376" t="s">
        <v>181</v>
      </c>
      <c r="AM87" s="376" t="s">
        <v>182</v>
      </c>
      <c r="AN87" s="376" t="s">
        <v>68</v>
      </c>
      <c r="AO87" s="379">
        <v>80</v>
      </c>
      <c r="AP87" s="460">
        <v>1</v>
      </c>
      <c r="AQ87" s="460">
        <v>1</v>
      </c>
      <c r="AR87" s="458" t="s">
        <v>183</v>
      </c>
      <c r="AS87" s="462">
        <f t="shared" si="17"/>
        <v>1</v>
      </c>
      <c r="AT87">
        <f t="shared" si="18"/>
        <v>1</v>
      </c>
      <c r="AU87" s="462">
        <f>IF(AT87=0,"",IF(AND(AT87=1,M87="F",SUMIF(C2:C170,C87,AS2:AS170)&lt;=1),SUMIF(C2:C170,C87,AS2:AS170),IF(AND(AT87=1,M87="F",SUMIF(C2:C170,C87,AS2:AS170)&gt;1),1,"")))</f>
        <v>1</v>
      </c>
      <c r="AV87" s="462" t="str">
        <f>IF(AT87=0,"",IF(AND(AT87=3,M87="F",SUMIF(C2:C170,C87,AS2:AS170)&lt;=1),SUMIF(C2:C170,C87,AS2:AS170),IF(AND(AT87=3,M87="F",SUMIF(C2:C170,C87,AS2:AS170)&gt;1),1,"")))</f>
        <v/>
      </c>
      <c r="AW87" s="462">
        <f>SUMIF(C2:C170,C87,O2:O170)</f>
        <v>1</v>
      </c>
      <c r="AX87" s="462">
        <f>IF(AND(M87="F",AS87&lt;&gt;0),SUMIF(C2:C170,C87,W2:W170),0)</f>
        <v>68952</v>
      </c>
      <c r="AY87" s="462">
        <f t="shared" si="19"/>
        <v>68952</v>
      </c>
      <c r="AZ87" s="462" t="str">
        <f t="shared" si="20"/>
        <v/>
      </c>
      <c r="BA87" s="462">
        <f t="shared" si="21"/>
        <v>0</v>
      </c>
      <c r="BB87" s="462">
        <f>IF(AND(AT87=1,AK87="E",AU87&gt;=0.75,AW87=1),Health,IF(AND(AT87=1,AK87="E",AU87&gt;=0.75),Health*P87,IF(AND(AT87=1,AK87="E",AU87&gt;=0.5,AW87=1),PTHealth,IF(AND(AT87=1,AK87="E",AU87&gt;=0.5),PTHealth*P87,0))))</f>
        <v>11650</v>
      </c>
      <c r="BC87" s="462">
        <f>IF(AND(AT87=3,AK87="E",AV87&gt;=0.75,AW87=1),Health,IF(AND(AT87=3,AK87="E",AV87&gt;=0.75),Health*P87,IF(AND(AT87=3,AK87="E",AV87&gt;=0.5,AW87=1),PTHealth,IF(AND(AT87=3,AK87="E",AV87&gt;=0.5),PTHealth*P87,0))))</f>
        <v>0</v>
      </c>
      <c r="BD87" s="462">
        <f>IF(AND(AT87&lt;&gt;0,AX87&gt;=MAXSSDI),SSDI*MAXSSDI*P87,IF(AT87&lt;&gt;0,SSDI*W87,0))</f>
        <v>4275.0240000000003</v>
      </c>
      <c r="BE87" s="462">
        <f>IF(AT87&lt;&gt;0,SSHI*W87,0)</f>
        <v>999.80400000000009</v>
      </c>
      <c r="BF87" s="462">
        <f>IF(AND(AT87&lt;&gt;0,AN87&lt;&gt;"NE"),VLOOKUP(AN87,Retirement_Rates,3,FALSE)*W87,0)</f>
        <v>8232.8688000000002</v>
      </c>
      <c r="BG87" s="462">
        <f>IF(AND(AT87&lt;&gt;0,AJ87&lt;&gt;"PF"),Life*W87,0)</f>
        <v>497.14392000000004</v>
      </c>
      <c r="BH87" s="462">
        <f>IF(AND(AT87&lt;&gt;0,AM87="Y"),UI*W87,0)</f>
        <v>337.8648</v>
      </c>
      <c r="BI87" s="462">
        <f>IF(AND(AT87&lt;&gt;0,N87&lt;&gt;"NR"),DHR*W87,0)</f>
        <v>381.99408</v>
      </c>
      <c r="BJ87" s="462">
        <f>IF(AT87&lt;&gt;0,WC*W87,0)</f>
        <v>137.904</v>
      </c>
      <c r="BK87" s="462">
        <f>IF(OR(AND(AT87&lt;&gt;0,AJ87&lt;&gt;"PF",AN87&lt;&gt;"NE",AG87&lt;&gt;"A"),AND(AL87="E",OR(AT87=1,AT87=3))),Sick*W87,0)</f>
        <v>0</v>
      </c>
      <c r="BL87" s="462">
        <f t="shared" si="22"/>
        <v>14862.603600000002</v>
      </c>
      <c r="BM87" s="462">
        <f t="shared" si="23"/>
        <v>0</v>
      </c>
      <c r="BN87" s="462">
        <f>IF(AND(AT87=1,AK87="E",AU87&gt;=0.75,AW87=1),HealthBY,IF(AND(AT87=1,AK87="E",AU87&gt;=0.75),HealthBY*P87,IF(AND(AT87=1,AK87="E",AU87&gt;=0.5,AW87=1),PTHealthBY,IF(AND(AT87=1,AK87="E",AU87&gt;=0.5),PTHealthBY*P87,0))))</f>
        <v>11650</v>
      </c>
      <c r="BO87" s="462">
        <f>IF(AND(AT87=3,AK87="E",AV87&gt;=0.75,AW87=1),HealthBY,IF(AND(AT87=3,AK87="E",AV87&gt;=0.75),HealthBY*P87,IF(AND(AT87=3,AK87="E",AV87&gt;=0.5,AW87=1),PTHealthBY,IF(AND(AT87=3,AK87="E",AV87&gt;=0.5),PTHealthBY*P87,0))))</f>
        <v>0</v>
      </c>
      <c r="BP87" s="462">
        <f>IF(AND(AT87&lt;&gt;0,(AX87+BA87)&gt;=MAXSSDIBY),SSDIBY*MAXSSDIBY*P87,IF(AT87&lt;&gt;0,SSDIBY*W87,0))</f>
        <v>4275.0240000000003</v>
      </c>
      <c r="BQ87" s="462">
        <f>IF(AT87&lt;&gt;0,SSHIBY*W87,0)</f>
        <v>999.80400000000009</v>
      </c>
      <c r="BR87" s="462">
        <f>IF(AND(AT87&lt;&gt;0,AN87&lt;&gt;"NE"),VLOOKUP(AN87,Retirement_Rates,4,FALSE)*W87,0)</f>
        <v>8232.8688000000002</v>
      </c>
      <c r="BS87" s="462">
        <f>IF(AND(AT87&lt;&gt;0,AJ87&lt;&gt;"PF"),LifeBY*W87,0)</f>
        <v>497.14392000000004</v>
      </c>
      <c r="BT87" s="462">
        <f>IF(AND(AT87&lt;&gt;0,AM87="Y"),UIBY*W87,0)</f>
        <v>0</v>
      </c>
      <c r="BU87" s="462">
        <f>IF(AND(AT87&lt;&gt;0,N87&lt;&gt;"NR"),DHRBY*W87,0)</f>
        <v>381.99408</v>
      </c>
      <c r="BV87" s="462">
        <f>IF(AT87&lt;&gt;0,WCBY*W87,0)</f>
        <v>117.21839999999999</v>
      </c>
      <c r="BW87" s="462">
        <f>IF(OR(AND(AT87&lt;&gt;0,AJ87&lt;&gt;"PF",AN87&lt;&gt;"NE",AG87&lt;&gt;"A"),AND(AL87="E",OR(AT87=1,AT87=3))),SickBY*W87,0)</f>
        <v>0</v>
      </c>
      <c r="BX87" s="462">
        <f t="shared" si="24"/>
        <v>14504.053200000002</v>
      </c>
      <c r="BY87" s="462">
        <f t="shared" si="25"/>
        <v>0</v>
      </c>
      <c r="BZ87" s="462">
        <f t="shared" si="26"/>
        <v>0</v>
      </c>
      <c r="CA87" s="462">
        <f t="shared" si="27"/>
        <v>0</v>
      </c>
      <c r="CB87" s="462">
        <f t="shared" si="28"/>
        <v>0</v>
      </c>
      <c r="CC87" s="462">
        <f>IF(AT87&lt;&gt;0,SSHICHG*Y87,0)</f>
        <v>0</v>
      </c>
      <c r="CD87" s="462">
        <f>IF(AND(AT87&lt;&gt;0,AN87&lt;&gt;"NE"),VLOOKUP(AN87,Retirement_Rates,5,FALSE)*Y87,0)</f>
        <v>0</v>
      </c>
      <c r="CE87" s="462">
        <f>IF(AND(AT87&lt;&gt;0,AJ87&lt;&gt;"PF"),LifeCHG*Y87,0)</f>
        <v>0</v>
      </c>
      <c r="CF87" s="462">
        <f>IF(AND(AT87&lt;&gt;0,AM87="Y"),UICHG*Y87,0)</f>
        <v>-337.8648</v>
      </c>
      <c r="CG87" s="462">
        <f>IF(AND(AT87&lt;&gt;0,N87&lt;&gt;"NR"),DHRCHG*Y87,0)</f>
        <v>0</v>
      </c>
      <c r="CH87" s="462">
        <f>IF(AT87&lt;&gt;0,WCCHG*Y87,0)</f>
        <v>-20.685600000000008</v>
      </c>
      <c r="CI87" s="462">
        <f>IF(OR(AND(AT87&lt;&gt;0,AJ87&lt;&gt;"PF",AN87&lt;&gt;"NE",AG87&lt;&gt;"A"),AND(AL87="E",OR(AT87=1,AT87=3))),SickCHG*Y87,0)</f>
        <v>0</v>
      </c>
      <c r="CJ87" s="462">
        <f t="shared" si="29"/>
        <v>-358.55040000000002</v>
      </c>
      <c r="CK87" s="462" t="str">
        <f t="shared" si="30"/>
        <v/>
      </c>
      <c r="CL87" s="462" t="str">
        <f t="shared" si="31"/>
        <v/>
      </c>
      <c r="CM87" s="462" t="str">
        <f t="shared" si="32"/>
        <v/>
      </c>
      <c r="CN87" s="462" t="str">
        <f t="shared" si="33"/>
        <v>0450-38</v>
      </c>
    </row>
    <row r="88" spans="1:92" ht="15" thickBot="1" x14ac:dyDescent="0.35">
      <c r="A88" s="376" t="s">
        <v>161</v>
      </c>
      <c r="B88" s="376" t="s">
        <v>162</v>
      </c>
      <c r="C88" s="376" t="s">
        <v>536</v>
      </c>
      <c r="D88" s="376" t="s">
        <v>313</v>
      </c>
      <c r="E88" s="376" t="s">
        <v>314</v>
      </c>
      <c r="F88" s="382" t="s">
        <v>406</v>
      </c>
      <c r="G88" s="376" t="s">
        <v>167</v>
      </c>
      <c r="H88" s="378"/>
      <c r="I88" s="378"/>
      <c r="J88" s="376" t="s">
        <v>168</v>
      </c>
      <c r="K88" s="376" t="s">
        <v>411</v>
      </c>
      <c r="L88" s="376" t="s">
        <v>220</v>
      </c>
      <c r="M88" s="376" t="s">
        <v>171</v>
      </c>
      <c r="N88" s="376" t="s">
        <v>172</v>
      </c>
      <c r="O88" s="379">
        <v>1</v>
      </c>
      <c r="P88" s="460">
        <v>1</v>
      </c>
      <c r="Q88" s="460">
        <v>1</v>
      </c>
      <c r="R88" s="380">
        <v>80</v>
      </c>
      <c r="S88" s="460">
        <v>1</v>
      </c>
      <c r="T88" s="380">
        <v>58937.27</v>
      </c>
      <c r="U88" s="380">
        <v>0</v>
      </c>
      <c r="V88" s="380">
        <v>23951.78</v>
      </c>
      <c r="W88" s="380">
        <v>62316.800000000003</v>
      </c>
      <c r="X88" s="380">
        <v>25082.36</v>
      </c>
      <c r="Y88" s="380">
        <v>62316.800000000003</v>
      </c>
      <c r="Z88" s="380">
        <v>24758.31</v>
      </c>
      <c r="AA88" s="376" t="s">
        <v>537</v>
      </c>
      <c r="AB88" s="376" t="s">
        <v>538</v>
      </c>
      <c r="AC88" s="376" t="s">
        <v>428</v>
      </c>
      <c r="AD88" s="376" t="s">
        <v>325</v>
      </c>
      <c r="AE88" s="376" t="s">
        <v>411</v>
      </c>
      <c r="AF88" s="376" t="s">
        <v>224</v>
      </c>
      <c r="AG88" s="376" t="s">
        <v>178</v>
      </c>
      <c r="AH88" s="381">
        <v>29.96</v>
      </c>
      <c r="AI88" s="381">
        <v>2023.5</v>
      </c>
      <c r="AJ88" s="376" t="s">
        <v>179</v>
      </c>
      <c r="AK88" s="376" t="s">
        <v>180</v>
      </c>
      <c r="AL88" s="376" t="s">
        <v>181</v>
      </c>
      <c r="AM88" s="376" t="s">
        <v>182</v>
      </c>
      <c r="AN88" s="376" t="s">
        <v>68</v>
      </c>
      <c r="AO88" s="379">
        <v>80</v>
      </c>
      <c r="AP88" s="460">
        <v>1</v>
      </c>
      <c r="AQ88" s="460">
        <v>1</v>
      </c>
      <c r="AR88" s="458" t="s">
        <v>183</v>
      </c>
      <c r="AS88" s="462">
        <f t="shared" si="17"/>
        <v>1</v>
      </c>
      <c r="AT88">
        <f t="shared" si="18"/>
        <v>1</v>
      </c>
      <c r="AU88" s="462">
        <f>IF(AT88=0,"",IF(AND(AT88=1,M88="F",SUMIF(C2:C170,C88,AS2:AS170)&lt;=1),SUMIF(C2:C170,C88,AS2:AS170),IF(AND(AT88=1,M88="F",SUMIF(C2:C170,C88,AS2:AS170)&gt;1),1,"")))</f>
        <v>1</v>
      </c>
      <c r="AV88" s="462" t="str">
        <f>IF(AT88=0,"",IF(AND(AT88=3,M88="F",SUMIF(C2:C170,C88,AS2:AS170)&lt;=1),SUMIF(C2:C170,C88,AS2:AS170),IF(AND(AT88=3,M88="F",SUMIF(C2:C170,C88,AS2:AS170)&gt;1),1,"")))</f>
        <v/>
      </c>
      <c r="AW88" s="462">
        <f>SUMIF(C2:C170,C88,O2:O170)</f>
        <v>1</v>
      </c>
      <c r="AX88" s="462">
        <f>IF(AND(M88="F",AS88&lt;&gt;0),SUMIF(C2:C170,C88,W2:W170),0)</f>
        <v>62316.800000000003</v>
      </c>
      <c r="AY88" s="462">
        <f t="shared" si="19"/>
        <v>62316.800000000003</v>
      </c>
      <c r="AZ88" s="462" t="str">
        <f t="shared" si="20"/>
        <v/>
      </c>
      <c r="BA88" s="462">
        <f t="shared" si="21"/>
        <v>0</v>
      </c>
      <c r="BB88" s="462">
        <f>IF(AND(AT88=1,AK88="E",AU88&gt;=0.75,AW88=1),Health,IF(AND(AT88=1,AK88="E",AU88&gt;=0.75),Health*P88,IF(AND(AT88=1,AK88="E",AU88&gt;=0.5,AW88=1),PTHealth,IF(AND(AT88=1,AK88="E",AU88&gt;=0.5),PTHealth*P88,0))))</f>
        <v>11650</v>
      </c>
      <c r="BC88" s="462">
        <f>IF(AND(AT88=3,AK88="E",AV88&gt;=0.75,AW88=1),Health,IF(AND(AT88=3,AK88="E",AV88&gt;=0.75),Health*P88,IF(AND(AT88=3,AK88="E",AV88&gt;=0.5,AW88=1),PTHealth,IF(AND(AT88=3,AK88="E",AV88&gt;=0.5),PTHealth*P88,0))))</f>
        <v>0</v>
      </c>
      <c r="BD88" s="462">
        <f>IF(AND(AT88&lt;&gt;0,AX88&gt;=MAXSSDI),SSDI*MAXSSDI*P88,IF(AT88&lt;&gt;0,SSDI*W88,0))</f>
        <v>3863.6415999999999</v>
      </c>
      <c r="BE88" s="462">
        <f>IF(AT88&lt;&gt;0,SSHI*W88,0)</f>
        <v>903.59360000000004</v>
      </c>
      <c r="BF88" s="462">
        <f>IF(AND(AT88&lt;&gt;0,AN88&lt;&gt;"NE"),VLOOKUP(AN88,Retirement_Rates,3,FALSE)*W88,0)</f>
        <v>7440.6259200000004</v>
      </c>
      <c r="BG88" s="462">
        <f>IF(AND(AT88&lt;&gt;0,AJ88&lt;&gt;"PF"),Life*W88,0)</f>
        <v>449.30412800000005</v>
      </c>
      <c r="BH88" s="462">
        <f>IF(AND(AT88&lt;&gt;0,AM88="Y"),UI*W88,0)</f>
        <v>305.35232000000002</v>
      </c>
      <c r="BI88" s="462">
        <f>IF(AND(AT88&lt;&gt;0,N88&lt;&gt;"NR"),DHR*W88,0)</f>
        <v>345.235072</v>
      </c>
      <c r="BJ88" s="462">
        <f>IF(AT88&lt;&gt;0,WC*W88,0)</f>
        <v>124.63360000000002</v>
      </c>
      <c r="BK88" s="462">
        <f>IF(OR(AND(AT88&lt;&gt;0,AJ88&lt;&gt;"PF",AN88&lt;&gt;"NE",AG88&lt;&gt;"A"),AND(AL88="E",OR(AT88=1,AT88=3))),Sick*W88,0)</f>
        <v>0</v>
      </c>
      <c r="BL88" s="462">
        <f t="shared" si="22"/>
        <v>13432.38624</v>
      </c>
      <c r="BM88" s="462">
        <f t="shared" si="23"/>
        <v>0</v>
      </c>
      <c r="BN88" s="462">
        <f>IF(AND(AT88=1,AK88="E",AU88&gt;=0.75,AW88=1),HealthBY,IF(AND(AT88=1,AK88="E",AU88&gt;=0.75),HealthBY*P88,IF(AND(AT88=1,AK88="E",AU88&gt;=0.5,AW88=1),PTHealthBY,IF(AND(AT88=1,AK88="E",AU88&gt;=0.5),PTHealthBY*P88,0))))</f>
        <v>11650</v>
      </c>
      <c r="BO88" s="462">
        <f>IF(AND(AT88=3,AK88="E",AV88&gt;=0.75,AW88=1),HealthBY,IF(AND(AT88=3,AK88="E",AV88&gt;=0.75),HealthBY*P88,IF(AND(AT88=3,AK88="E",AV88&gt;=0.5,AW88=1),PTHealthBY,IF(AND(AT88=3,AK88="E",AV88&gt;=0.5),PTHealthBY*P88,0))))</f>
        <v>0</v>
      </c>
      <c r="BP88" s="462">
        <f>IF(AND(AT88&lt;&gt;0,(AX88+BA88)&gt;=MAXSSDIBY),SSDIBY*MAXSSDIBY*P88,IF(AT88&lt;&gt;0,SSDIBY*W88,0))</f>
        <v>3863.6415999999999</v>
      </c>
      <c r="BQ88" s="462">
        <f>IF(AT88&lt;&gt;0,SSHIBY*W88,0)</f>
        <v>903.59360000000004</v>
      </c>
      <c r="BR88" s="462">
        <f>IF(AND(AT88&lt;&gt;0,AN88&lt;&gt;"NE"),VLOOKUP(AN88,Retirement_Rates,4,FALSE)*W88,0)</f>
        <v>7440.6259200000004</v>
      </c>
      <c r="BS88" s="462">
        <f>IF(AND(AT88&lt;&gt;0,AJ88&lt;&gt;"PF"),LifeBY*W88,0)</f>
        <v>449.30412800000005</v>
      </c>
      <c r="BT88" s="462">
        <f>IF(AND(AT88&lt;&gt;0,AM88="Y"),UIBY*W88,0)</f>
        <v>0</v>
      </c>
      <c r="BU88" s="462">
        <f>IF(AND(AT88&lt;&gt;0,N88&lt;&gt;"NR"),DHRBY*W88,0)</f>
        <v>345.235072</v>
      </c>
      <c r="BV88" s="462">
        <f>IF(AT88&lt;&gt;0,WCBY*W88,0)</f>
        <v>105.93856</v>
      </c>
      <c r="BW88" s="462">
        <f>IF(OR(AND(AT88&lt;&gt;0,AJ88&lt;&gt;"PF",AN88&lt;&gt;"NE",AG88&lt;&gt;"A"),AND(AL88="E",OR(AT88=1,AT88=3))),SickBY*W88,0)</f>
        <v>0</v>
      </c>
      <c r="BX88" s="462">
        <f t="shared" si="24"/>
        <v>13108.338880000001</v>
      </c>
      <c r="BY88" s="462">
        <f t="shared" si="25"/>
        <v>0</v>
      </c>
      <c r="BZ88" s="462">
        <f t="shared" si="26"/>
        <v>0</v>
      </c>
      <c r="CA88" s="462">
        <f t="shared" si="27"/>
        <v>0</v>
      </c>
      <c r="CB88" s="462">
        <f t="shared" si="28"/>
        <v>0</v>
      </c>
      <c r="CC88" s="462">
        <f>IF(AT88&lt;&gt;0,SSHICHG*Y88,0)</f>
        <v>0</v>
      </c>
      <c r="CD88" s="462">
        <f>IF(AND(AT88&lt;&gt;0,AN88&lt;&gt;"NE"),VLOOKUP(AN88,Retirement_Rates,5,FALSE)*Y88,0)</f>
        <v>0</v>
      </c>
      <c r="CE88" s="462">
        <f>IF(AND(AT88&lt;&gt;0,AJ88&lt;&gt;"PF"),LifeCHG*Y88,0)</f>
        <v>0</v>
      </c>
      <c r="CF88" s="462">
        <f>IF(AND(AT88&lt;&gt;0,AM88="Y"),UICHG*Y88,0)</f>
        <v>-305.35232000000002</v>
      </c>
      <c r="CG88" s="462">
        <f>IF(AND(AT88&lt;&gt;0,N88&lt;&gt;"NR"),DHRCHG*Y88,0)</f>
        <v>0</v>
      </c>
      <c r="CH88" s="462">
        <f>IF(AT88&lt;&gt;0,WCCHG*Y88,0)</f>
        <v>-18.695040000000009</v>
      </c>
      <c r="CI88" s="462">
        <f>IF(OR(AND(AT88&lt;&gt;0,AJ88&lt;&gt;"PF",AN88&lt;&gt;"NE",AG88&lt;&gt;"A"),AND(AL88="E",OR(AT88=1,AT88=3))),SickCHG*Y88,0)</f>
        <v>0</v>
      </c>
      <c r="CJ88" s="462">
        <f t="shared" si="29"/>
        <v>-324.04736000000003</v>
      </c>
      <c r="CK88" s="462" t="str">
        <f t="shared" si="30"/>
        <v/>
      </c>
      <c r="CL88" s="462" t="str">
        <f t="shared" si="31"/>
        <v/>
      </c>
      <c r="CM88" s="462" t="str">
        <f t="shared" si="32"/>
        <v/>
      </c>
      <c r="CN88" s="462" t="str">
        <f t="shared" si="33"/>
        <v>0450-38</v>
      </c>
    </row>
    <row r="89" spans="1:92" ht="15" thickBot="1" x14ac:dyDescent="0.35">
      <c r="A89" s="376" t="s">
        <v>161</v>
      </c>
      <c r="B89" s="376" t="s">
        <v>162</v>
      </c>
      <c r="C89" s="376" t="s">
        <v>266</v>
      </c>
      <c r="D89" s="376" t="s">
        <v>211</v>
      </c>
      <c r="E89" s="376" t="s">
        <v>314</v>
      </c>
      <c r="F89" s="382" t="s">
        <v>406</v>
      </c>
      <c r="G89" s="376" t="s">
        <v>167</v>
      </c>
      <c r="H89" s="378"/>
      <c r="I89" s="378"/>
      <c r="J89" s="376" t="s">
        <v>168</v>
      </c>
      <c r="K89" s="376" t="s">
        <v>212</v>
      </c>
      <c r="L89" s="376" t="s">
        <v>170</v>
      </c>
      <c r="M89" s="376" t="s">
        <v>171</v>
      </c>
      <c r="N89" s="376" t="s">
        <v>172</v>
      </c>
      <c r="O89" s="379">
        <v>1</v>
      </c>
      <c r="P89" s="460">
        <v>1</v>
      </c>
      <c r="Q89" s="460">
        <v>1</v>
      </c>
      <c r="R89" s="380">
        <v>80</v>
      </c>
      <c r="S89" s="460">
        <v>1</v>
      </c>
      <c r="T89" s="380">
        <v>0</v>
      </c>
      <c r="U89" s="380">
        <v>0</v>
      </c>
      <c r="V89" s="380">
        <v>0</v>
      </c>
      <c r="W89" s="380">
        <v>93496</v>
      </c>
      <c r="X89" s="380">
        <v>31803.040000000001</v>
      </c>
      <c r="Y89" s="380">
        <v>93496</v>
      </c>
      <c r="Z89" s="380">
        <v>31316.86</v>
      </c>
      <c r="AA89" s="376" t="s">
        <v>267</v>
      </c>
      <c r="AB89" s="376" t="s">
        <v>268</v>
      </c>
      <c r="AC89" s="376" t="s">
        <v>269</v>
      </c>
      <c r="AD89" s="376" t="s">
        <v>270</v>
      </c>
      <c r="AE89" s="376" t="s">
        <v>212</v>
      </c>
      <c r="AF89" s="376" t="s">
        <v>177</v>
      </c>
      <c r="AG89" s="376" t="s">
        <v>178</v>
      </c>
      <c r="AH89" s="381">
        <v>44.95</v>
      </c>
      <c r="AI89" s="381">
        <v>2059.1</v>
      </c>
      <c r="AJ89" s="376" t="s">
        <v>179</v>
      </c>
      <c r="AK89" s="376" t="s">
        <v>180</v>
      </c>
      <c r="AL89" s="376" t="s">
        <v>181</v>
      </c>
      <c r="AM89" s="376" t="s">
        <v>182</v>
      </c>
      <c r="AN89" s="376" t="s">
        <v>68</v>
      </c>
      <c r="AO89" s="379">
        <v>80</v>
      </c>
      <c r="AP89" s="460">
        <v>1</v>
      </c>
      <c r="AQ89" s="460">
        <v>1</v>
      </c>
      <c r="AR89" s="458" t="s">
        <v>183</v>
      </c>
      <c r="AS89" s="462">
        <f t="shared" si="17"/>
        <v>1</v>
      </c>
      <c r="AT89">
        <f t="shared" si="18"/>
        <v>1</v>
      </c>
      <c r="AU89" s="462">
        <f>IF(AT89=0,"",IF(AND(AT89=1,M89="F",SUMIF(C2:C170,C89,AS2:AS170)&lt;=1),SUMIF(C2:C170,C89,AS2:AS170),IF(AND(AT89=1,M89="F",SUMIF(C2:C170,C89,AS2:AS170)&gt;1),1,"")))</f>
        <v>1</v>
      </c>
      <c r="AV89" s="462" t="str">
        <f>IF(AT89=0,"",IF(AND(AT89=3,M89="F",SUMIF(C2:C170,C89,AS2:AS170)&lt;=1),SUMIF(C2:C170,C89,AS2:AS170),IF(AND(AT89=3,M89="F",SUMIF(C2:C170,C89,AS2:AS170)&gt;1),1,"")))</f>
        <v/>
      </c>
      <c r="AW89" s="462">
        <f>SUMIF(C2:C170,C89,O2:O170)</f>
        <v>3</v>
      </c>
      <c r="AX89" s="462">
        <f>IF(AND(M89="F",AS89&lt;&gt;0),SUMIF(C2:C170,C89,W2:W170),0)</f>
        <v>93496</v>
      </c>
      <c r="AY89" s="462">
        <f t="shared" si="19"/>
        <v>93496</v>
      </c>
      <c r="AZ89" s="462" t="str">
        <f t="shared" si="20"/>
        <v/>
      </c>
      <c r="BA89" s="462">
        <f t="shared" si="21"/>
        <v>0</v>
      </c>
      <c r="BB89" s="462">
        <f>IF(AND(AT89=1,AK89="E",AU89&gt;=0.75,AW89=1),Health,IF(AND(AT89=1,AK89="E",AU89&gt;=0.75),Health*P89,IF(AND(AT89=1,AK89="E",AU89&gt;=0.5,AW89=1),PTHealth,IF(AND(AT89=1,AK89="E",AU89&gt;=0.5),PTHealth*P89,0))))</f>
        <v>11650</v>
      </c>
      <c r="BC89" s="462">
        <f>IF(AND(AT89=3,AK89="E",AV89&gt;=0.75,AW89=1),Health,IF(AND(AT89=3,AK89="E",AV89&gt;=0.75),Health*P89,IF(AND(AT89=3,AK89="E",AV89&gt;=0.5,AW89=1),PTHealth,IF(AND(AT89=3,AK89="E",AV89&gt;=0.5),PTHealth*P89,0))))</f>
        <v>0</v>
      </c>
      <c r="BD89" s="462">
        <f>IF(AND(AT89&lt;&gt;0,AX89&gt;=MAXSSDI),SSDI*MAXSSDI*P89,IF(AT89&lt;&gt;0,SSDI*W89,0))</f>
        <v>5796.7520000000004</v>
      </c>
      <c r="BE89" s="462">
        <f>IF(AT89&lt;&gt;0,SSHI*W89,0)</f>
        <v>1355.692</v>
      </c>
      <c r="BF89" s="462">
        <f>IF(AND(AT89&lt;&gt;0,AN89&lt;&gt;"NE"),VLOOKUP(AN89,Retirement_Rates,3,FALSE)*W89,0)</f>
        <v>11163.422400000001</v>
      </c>
      <c r="BG89" s="462">
        <f>IF(AND(AT89&lt;&gt;0,AJ89&lt;&gt;"PF"),Life*W89,0)</f>
        <v>674.10616000000005</v>
      </c>
      <c r="BH89" s="462">
        <f>IF(AND(AT89&lt;&gt;0,AM89="Y"),UI*W89,0)</f>
        <v>458.13040000000001</v>
      </c>
      <c r="BI89" s="462">
        <f>IF(AND(AT89&lt;&gt;0,N89&lt;&gt;"NR"),DHR*W89,0)</f>
        <v>517.96784000000002</v>
      </c>
      <c r="BJ89" s="462">
        <f>IF(AT89&lt;&gt;0,WC*W89,0)</f>
        <v>186.99199999999999</v>
      </c>
      <c r="BK89" s="462">
        <f>IF(OR(AND(AT89&lt;&gt;0,AJ89&lt;&gt;"PF",AN89&lt;&gt;"NE",AG89&lt;&gt;"A"),AND(AL89="E",OR(AT89=1,AT89=3))),Sick*W89,0)</f>
        <v>0</v>
      </c>
      <c r="BL89" s="462">
        <f t="shared" si="22"/>
        <v>20153.062800000003</v>
      </c>
      <c r="BM89" s="462">
        <f t="shared" si="23"/>
        <v>0</v>
      </c>
      <c r="BN89" s="462">
        <f>IF(AND(AT89=1,AK89="E",AU89&gt;=0.75,AW89=1),HealthBY,IF(AND(AT89=1,AK89="E",AU89&gt;=0.75),HealthBY*P89,IF(AND(AT89=1,AK89="E",AU89&gt;=0.5,AW89=1),PTHealthBY,IF(AND(AT89=1,AK89="E",AU89&gt;=0.5),PTHealthBY*P89,0))))</f>
        <v>11650</v>
      </c>
      <c r="BO89" s="462">
        <f>IF(AND(AT89=3,AK89="E",AV89&gt;=0.75,AW89=1),HealthBY,IF(AND(AT89=3,AK89="E",AV89&gt;=0.75),HealthBY*P89,IF(AND(AT89=3,AK89="E",AV89&gt;=0.5,AW89=1),PTHealthBY,IF(AND(AT89=3,AK89="E",AV89&gt;=0.5),PTHealthBY*P89,0))))</f>
        <v>0</v>
      </c>
      <c r="BP89" s="462">
        <f>IF(AND(AT89&lt;&gt;0,(AX89+BA89)&gt;=MAXSSDIBY),SSDIBY*MAXSSDIBY*P89,IF(AT89&lt;&gt;0,SSDIBY*W89,0))</f>
        <v>5796.7520000000004</v>
      </c>
      <c r="BQ89" s="462">
        <f>IF(AT89&lt;&gt;0,SSHIBY*W89,0)</f>
        <v>1355.692</v>
      </c>
      <c r="BR89" s="462">
        <f>IF(AND(AT89&lt;&gt;0,AN89&lt;&gt;"NE"),VLOOKUP(AN89,Retirement_Rates,4,FALSE)*W89,0)</f>
        <v>11163.422400000001</v>
      </c>
      <c r="BS89" s="462">
        <f>IF(AND(AT89&lt;&gt;0,AJ89&lt;&gt;"PF"),LifeBY*W89,0)</f>
        <v>674.10616000000005</v>
      </c>
      <c r="BT89" s="462">
        <f>IF(AND(AT89&lt;&gt;0,AM89="Y"),UIBY*W89,0)</f>
        <v>0</v>
      </c>
      <c r="BU89" s="462">
        <f>IF(AND(AT89&lt;&gt;0,N89&lt;&gt;"NR"),DHRBY*W89,0)</f>
        <v>517.96784000000002</v>
      </c>
      <c r="BV89" s="462">
        <f>IF(AT89&lt;&gt;0,WCBY*W89,0)</f>
        <v>158.94319999999999</v>
      </c>
      <c r="BW89" s="462">
        <f>IF(OR(AND(AT89&lt;&gt;0,AJ89&lt;&gt;"PF",AN89&lt;&gt;"NE",AG89&lt;&gt;"A"),AND(AL89="E",OR(AT89=1,AT89=3))),SickBY*W89,0)</f>
        <v>0</v>
      </c>
      <c r="BX89" s="462">
        <f t="shared" si="24"/>
        <v>19666.883600000005</v>
      </c>
      <c r="BY89" s="462">
        <f t="shared" si="25"/>
        <v>0</v>
      </c>
      <c r="BZ89" s="462">
        <f t="shared" si="26"/>
        <v>0</v>
      </c>
      <c r="CA89" s="462">
        <f t="shared" si="27"/>
        <v>0</v>
      </c>
      <c r="CB89" s="462">
        <f t="shared" si="28"/>
        <v>0</v>
      </c>
      <c r="CC89" s="462">
        <f>IF(AT89&lt;&gt;0,SSHICHG*Y89,0)</f>
        <v>0</v>
      </c>
      <c r="CD89" s="462">
        <f>IF(AND(AT89&lt;&gt;0,AN89&lt;&gt;"NE"),VLOOKUP(AN89,Retirement_Rates,5,FALSE)*Y89,0)</f>
        <v>0</v>
      </c>
      <c r="CE89" s="462">
        <f>IF(AND(AT89&lt;&gt;0,AJ89&lt;&gt;"PF"),LifeCHG*Y89,0)</f>
        <v>0</v>
      </c>
      <c r="CF89" s="462">
        <f>IF(AND(AT89&lt;&gt;0,AM89="Y"),UICHG*Y89,0)</f>
        <v>-458.13040000000001</v>
      </c>
      <c r="CG89" s="462">
        <f>IF(AND(AT89&lt;&gt;0,N89&lt;&gt;"NR"),DHRCHG*Y89,0)</f>
        <v>0</v>
      </c>
      <c r="CH89" s="462">
        <f>IF(AT89&lt;&gt;0,WCCHG*Y89,0)</f>
        <v>-28.048800000000014</v>
      </c>
      <c r="CI89" s="462">
        <f>IF(OR(AND(AT89&lt;&gt;0,AJ89&lt;&gt;"PF",AN89&lt;&gt;"NE",AG89&lt;&gt;"A"),AND(AL89="E",OR(AT89=1,AT89=3))),SickCHG*Y89,0)</f>
        <v>0</v>
      </c>
      <c r="CJ89" s="462">
        <f t="shared" si="29"/>
        <v>-486.17920000000004</v>
      </c>
      <c r="CK89" s="462" t="str">
        <f t="shared" si="30"/>
        <v/>
      </c>
      <c r="CL89" s="462" t="str">
        <f t="shared" si="31"/>
        <v/>
      </c>
      <c r="CM89" s="462" t="str">
        <f t="shared" si="32"/>
        <v/>
      </c>
      <c r="CN89" s="462" t="str">
        <f t="shared" si="33"/>
        <v>0450-38</v>
      </c>
    </row>
    <row r="90" spans="1:92" ht="15" thickBot="1" x14ac:dyDescent="0.35">
      <c r="A90" s="376" t="s">
        <v>161</v>
      </c>
      <c r="B90" s="376" t="s">
        <v>162</v>
      </c>
      <c r="C90" s="376" t="s">
        <v>539</v>
      </c>
      <c r="D90" s="376" t="s">
        <v>313</v>
      </c>
      <c r="E90" s="376" t="s">
        <v>314</v>
      </c>
      <c r="F90" s="382" t="s">
        <v>406</v>
      </c>
      <c r="G90" s="376" t="s">
        <v>167</v>
      </c>
      <c r="H90" s="378"/>
      <c r="I90" s="378"/>
      <c r="J90" s="376" t="s">
        <v>168</v>
      </c>
      <c r="K90" s="376" t="s">
        <v>316</v>
      </c>
      <c r="L90" s="376" t="s">
        <v>216</v>
      </c>
      <c r="M90" s="376" t="s">
        <v>171</v>
      </c>
      <c r="N90" s="376" t="s">
        <v>172</v>
      </c>
      <c r="O90" s="379">
        <v>1</v>
      </c>
      <c r="P90" s="460">
        <v>1</v>
      </c>
      <c r="Q90" s="460">
        <v>1</v>
      </c>
      <c r="R90" s="380">
        <v>80</v>
      </c>
      <c r="S90" s="460">
        <v>1</v>
      </c>
      <c r="T90" s="380">
        <v>67831.710000000006</v>
      </c>
      <c r="U90" s="380">
        <v>0</v>
      </c>
      <c r="V90" s="380">
        <v>25627.08</v>
      </c>
      <c r="W90" s="380">
        <v>67454.399999999994</v>
      </c>
      <c r="X90" s="380">
        <v>26189.75</v>
      </c>
      <c r="Y90" s="380">
        <v>67454.399999999994</v>
      </c>
      <c r="Z90" s="380">
        <v>25839</v>
      </c>
      <c r="AA90" s="376" t="s">
        <v>540</v>
      </c>
      <c r="AB90" s="376" t="s">
        <v>541</v>
      </c>
      <c r="AC90" s="376" t="s">
        <v>194</v>
      </c>
      <c r="AD90" s="376" t="s">
        <v>216</v>
      </c>
      <c r="AE90" s="376" t="s">
        <v>316</v>
      </c>
      <c r="AF90" s="376" t="s">
        <v>311</v>
      </c>
      <c r="AG90" s="376" t="s">
        <v>178</v>
      </c>
      <c r="AH90" s="381">
        <v>32.43</v>
      </c>
      <c r="AI90" s="381">
        <v>28576.7</v>
      </c>
      <c r="AJ90" s="376" t="s">
        <v>179</v>
      </c>
      <c r="AK90" s="376" t="s">
        <v>180</v>
      </c>
      <c r="AL90" s="376" t="s">
        <v>181</v>
      </c>
      <c r="AM90" s="376" t="s">
        <v>182</v>
      </c>
      <c r="AN90" s="376" t="s">
        <v>68</v>
      </c>
      <c r="AO90" s="379">
        <v>80</v>
      </c>
      <c r="AP90" s="460">
        <v>1</v>
      </c>
      <c r="AQ90" s="460">
        <v>1</v>
      </c>
      <c r="AR90" s="458" t="s">
        <v>183</v>
      </c>
      <c r="AS90" s="462">
        <f t="shared" si="17"/>
        <v>1</v>
      </c>
      <c r="AT90">
        <f t="shared" si="18"/>
        <v>1</v>
      </c>
      <c r="AU90" s="462">
        <f>IF(AT90=0,"",IF(AND(AT90=1,M90="F",SUMIF(C2:C170,C90,AS2:AS170)&lt;=1),SUMIF(C2:C170,C90,AS2:AS170),IF(AND(AT90=1,M90="F",SUMIF(C2:C170,C90,AS2:AS170)&gt;1),1,"")))</f>
        <v>1</v>
      </c>
      <c r="AV90" s="462" t="str">
        <f>IF(AT90=0,"",IF(AND(AT90=3,M90="F",SUMIF(C2:C170,C90,AS2:AS170)&lt;=1),SUMIF(C2:C170,C90,AS2:AS170),IF(AND(AT90=3,M90="F",SUMIF(C2:C170,C90,AS2:AS170)&gt;1),1,"")))</f>
        <v/>
      </c>
      <c r="AW90" s="462">
        <f>SUMIF(C2:C170,C90,O2:O170)</f>
        <v>1</v>
      </c>
      <c r="AX90" s="462">
        <f>IF(AND(M90="F",AS90&lt;&gt;0),SUMIF(C2:C170,C90,W2:W170),0)</f>
        <v>67454.399999999994</v>
      </c>
      <c r="AY90" s="462">
        <f t="shared" si="19"/>
        <v>67454.399999999994</v>
      </c>
      <c r="AZ90" s="462" t="str">
        <f t="shared" si="20"/>
        <v/>
      </c>
      <c r="BA90" s="462">
        <f t="shared" si="21"/>
        <v>0</v>
      </c>
      <c r="BB90" s="462">
        <f>IF(AND(AT90=1,AK90="E",AU90&gt;=0.75,AW90=1),Health,IF(AND(AT90=1,AK90="E",AU90&gt;=0.75),Health*P90,IF(AND(AT90=1,AK90="E",AU90&gt;=0.5,AW90=1),PTHealth,IF(AND(AT90=1,AK90="E",AU90&gt;=0.5),PTHealth*P90,0))))</f>
        <v>11650</v>
      </c>
      <c r="BC90" s="462">
        <f>IF(AND(AT90=3,AK90="E",AV90&gt;=0.75,AW90=1),Health,IF(AND(AT90=3,AK90="E",AV90&gt;=0.75),Health*P90,IF(AND(AT90=3,AK90="E",AV90&gt;=0.5,AW90=1),PTHealth,IF(AND(AT90=3,AK90="E",AV90&gt;=0.5),PTHealth*P90,0))))</f>
        <v>0</v>
      </c>
      <c r="BD90" s="462">
        <f>IF(AND(AT90&lt;&gt;0,AX90&gt;=MAXSSDI),SSDI*MAXSSDI*P90,IF(AT90&lt;&gt;0,SSDI*W90,0))</f>
        <v>4182.1727999999994</v>
      </c>
      <c r="BE90" s="462">
        <f>IF(AT90&lt;&gt;0,SSHI*W90,0)</f>
        <v>978.08879999999999</v>
      </c>
      <c r="BF90" s="462">
        <f>IF(AND(AT90&lt;&gt;0,AN90&lt;&gt;"NE"),VLOOKUP(AN90,Retirement_Rates,3,FALSE)*W90,0)</f>
        <v>8054.0553599999994</v>
      </c>
      <c r="BG90" s="462">
        <f>IF(AND(AT90&lt;&gt;0,AJ90&lt;&gt;"PF"),Life*W90,0)</f>
        <v>486.34622399999995</v>
      </c>
      <c r="BH90" s="462">
        <f>IF(AND(AT90&lt;&gt;0,AM90="Y"),UI*W90,0)</f>
        <v>330.52655999999996</v>
      </c>
      <c r="BI90" s="462">
        <f>IF(AND(AT90&lt;&gt;0,N90&lt;&gt;"NR"),DHR*W90,0)</f>
        <v>373.69737599999996</v>
      </c>
      <c r="BJ90" s="462">
        <f>IF(AT90&lt;&gt;0,WC*W90,0)</f>
        <v>134.90879999999999</v>
      </c>
      <c r="BK90" s="462">
        <f>IF(OR(AND(AT90&lt;&gt;0,AJ90&lt;&gt;"PF",AN90&lt;&gt;"NE",AG90&lt;&gt;"A"),AND(AL90="E",OR(AT90=1,AT90=3))),Sick*W90,0)</f>
        <v>0</v>
      </c>
      <c r="BL90" s="462">
        <f t="shared" si="22"/>
        <v>14539.79592</v>
      </c>
      <c r="BM90" s="462">
        <f t="shared" si="23"/>
        <v>0</v>
      </c>
      <c r="BN90" s="462">
        <f>IF(AND(AT90=1,AK90="E",AU90&gt;=0.75,AW90=1),HealthBY,IF(AND(AT90=1,AK90="E",AU90&gt;=0.75),HealthBY*P90,IF(AND(AT90=1,AK90="E",AU90&gt;=0.5,AW90=1),PTHealthBY,IF(AND(AT90=1,AK90="E",AU90&gt;=0.5),PTHealthBY*P90,0))))</f>
        <v>11650</v>
      </c>
      <c r="BO90" s="462">
        <f>IF(AND(AT90=3,AK90="E",AV90&gt;=0.75,AW90=1),HealthBY,IF(AND(AT90=3,AK90="E",AV90&gt;=0.75),HealthBY*P90,IF(AND(AT90=3,AK90="E",AV90&gt;=0.5,AW90=1),PTHealthBY,IF(AND(AT90=3,AK90="E",AV90&gt;=0.5),PTHealthBY*P90,0))))</f>
        <v>0</v>
      </c>
      <c r="BP90" s="462">
        <f>IF(AND(AT90&lt;&gt;0,(AX90+BA90)&gt;=MAXSSDIBY),SSDIBY*MAXSSDIBY*P90,IF(AT90&lt;&gt;0,SSDIBY*W90,0))</f>
        <v>4182.1727999999994</v>
      </c>
      <c r="BQ90" s="462">
        <f>IF(AT90&lt;&gt;0,SSHIBY*W90,0)</f>
        <v>978.08879999999999</v>
      </c>
      <c r="BR90" s="462">
        <f>IF(AND(AT90&lt;&gt;0,AN90&lt;&gt;"NE"),VLOOKUP(AN90,Retirement_Rates,4,FALSE)*W90,0)</f>
        <v>8054.0553599999994</v>
      </c>
      <c r="BS90" s="462">
        <f>IF(AND(AT90&lt;&gt;0,AJ90&lt;&gt;"PF"),LifeBY*W90,0)</f>
        <v>486.34622399999995</v>
      </c>
      <c r="BT90" s="462">
        <f>IF(AND(AT90&lt;&gt;0,AM90="Y"),UIBY*W90,0)</f>
        <v>0</v>
      </c>
      <c r="BU90" s="462">
        <f>IF(AND(AT90&lt;&gt;0,N90&lt;&gt;"NR"),DHRBY*W90,0)</f>
        <v>373.69737599999996</v>
      </c>
      <c r="BV90" s="462">
        <f>IF(AT90&lt;&gt;0,WCBY*W90,0)</f>
        <v>114.67247999999998</v>
      </c>
      <c r="BW90" s="462">
        <f>IF(OR(AND(AT90&lt;&gt;0,AJ90&lt;&gt;"PF",AN90&lt;&gt;"NE",AG90&lt;&gt;"A"),AND(AL90="E",OR(AT90=1,AT90=3))),SickBY*W90,0)</f>
        <v>0</v>
      </c>
      <c r="BX90" s="462">
        <f t="shared" si="24"/>
        <v>14189.03304</v>
      </c>
      <c r="BY90" s="462">
        <f t="shared" si="25"/>
        <v>0</v>
      </c>
      <c r="BZ90" s="462">
        <f t="shared" si="26"/>
        <v>0</v>
      </c>
      <c r="CA90" s="462">
        <f t="shared" si="27"/>
        <v>0</v>
      </c>
      <c r="CB90" s="462">
        <f t="shared" si="28"/>
        <v>0</v>
      </c>
      <c r="CC90" s="462">
        <f>IF(AT90&lt;&gt;0,SSHICHG*Y90,0)</f>
        <v>0</v>
      </c>
      <c r="CD90" s="462">
        <f>IF(AND(AT90&lt;&gt;0,AN90&lt;&gt;"NE"),VLOOKUP(AN90,Retirement_Rates,5,FALSE)*Y90,0)</f>
        <v>0</v>
      </c>
      <c r="CE90" s="462">
        <f>IF(AND(AT90&lt;&gt;0,AJ90&lt;&gt;"PF"),LifeCHG*Y90,0)</f>
        <v>0</v>
      </c>
      <c r="CF90" s="462">
        <f>IF(AND(AT90&lt;&gt;0,AM90="Y"),UICHG*Y90,0)</f>
        <v>-330.52655999999996</v>
      </c>
      <c r="CG90" s="462">
        <f>IF(AND(AT90&lt;&gt;0,N90&lt;&gt;"NR"),DHRCHG*Y90,0)</f>
        <v>0</v>
      </c>
      <c r="CH90" s="462">
        <f>IF(AT90&lt;&gt;0,WCCHG*Y90,0)</f>
        <v>-20.236320000000006</v>
      </c>
      <c r="CI90" s="462">
        <f>IF(OR(AND(AT90&lt;&gt;0,AJ90&lt;&gt;"PF",AN90&lt;&gt;"NE",AG90&lt;&gt;"A"),AND(AL90="E",OR(AT90=1,AT90=3))),SickCHG*Y90,0)</f>
        <v>0</v>
      </c>
      <c r="CJ90" s="462">
        <f t="shared" si="29"/>
        <v>-350.76288</v>
      </c>
      <c r="CK90" s="462" t="str">
        <f t="shared" si="30"/>
        <v/>
      </c>
      <c r="CL90" s="462" t="str">
        <f t="shared" si="31"/>
        <v/>
      </c>
      <c r="CM90" s="462" t="str">
        <f t="shared" si="32"/>
        <v/>
      </c>
      <c r="CN90" s="462" t="str">
        <f t="shared" si="33"/>
        <v>0450-38</v>
      </c>
    </row>
    <row r="91" spans="1:92" ht="15" thickBot="1" x14ac:dyDescent="0.35">
      <c r="A91" s="376" t="s">
        <v>161</v>
      </c>
      <c r="B91" s="376" t="s">
        <v>162</v>
      </c>
      <c r="C91" s="376" t="s">
        <v>542</v>
      </c>
      <c r="D91" s="376" t="s">
        <v>388</v>
      </c>
      <c r="E91" s="376" t="s">
        <v>314</v>
      </c>
      <c r="F91" s="382" t="s">
        <v>406</v>
      </c>
      <c r="G91" s="376" t="s">
        <v>167</v>
      </c>
      <c r="H91" s="378"/>
      <c r="I91" s="378"/>
      <c r="J91" s="376" t="s">
        <v>168</v>
      </c>
      <c r="K91" s="376" t="s">
        <v>389</v>
      </c>
      <c r="L91" s="376" t="s">
        <v>216</v>
      </c>
      <c r="M91" s="376" t="s">
        <v>171</v>
      </c>
      <c r="N91" s="376" t="s">
        <v>172</v>
      </c>
      <c r="O91" s="379">
        <v>1</v>
      </c>
      <c r="P91" s="460">
        <v>1</v>
      </c>
      <c r="Q91" s="460">
        <v>1</v>
      </c>
      <c r="R91" s="380">
        <v>80</v>
      </c>
      <c r="S91" s="460">
        <v>1</v>
      </c>
      <c r="T91" s="380">
        <v>61536.800000000003</v>
      </c>
      <c r="U91" s="380">
        <v>0</v>
      </c>
      <c r="V91" s="380">
        <v>23152.15</v>
      </c>
      <c r="W91" s="380">
        <v>71281.600000000006</v>
      </c>
      <c r="X91" s="380">
        <v>27014.720000000001</v>
      </c>
      <c r="Y91" s="380">
        <v>71281.600000000006</v>
      </c>
      <c r="Z91" s="380">
        <v>26644.06</v>
      </c>
      <c r="AA91" s="376" t="s">
        <v>543</v>
      </c>
      <c r="AB91" s="376" t="s">
        <v>544</v>
      </c>
      <c r="AC91" s="376" t="s">
        <v>545</v>
      </c>
      <c r="AD91" s="376" t="s">
        <v>216</v>
      </c>
      <c r="AE91" s="376" t="s">
        <v>389</v>
      </c>
      <c r="AF91" s="376" t="s">
        <v>311</v>
      </c>
      <c r="AG91" s="376" t="s">
        <v>178</v>
      </c>
      <c r="AH91" s="381">
        <v>34.270000000000003</v>
      </c>
      <c r="AI91" s="381">
        <v>36964.800000000003</v>
      </c>
      <c r="AJ91" s="376" t="s">
        <v>179</v>
      </c>
      <c r="AK91" s="376" t="s">
        <v>180</v>
      </c>
      <c r="AL91" s="376" t="s">
        <v>181</v>
      </c>
      <c r="AM91" s="376" t="s">
        <v>182</v>
      </c>
      <c r="AN91" s="376" t="s">
        <v>68</v>
      </c>
      <c r="AO91" s="379">
        <v>80</v>
      </c>
      <c r="AP91" s="460">
        <v>1</v>
      </c>
      <c r="AQ91" s="460">
        <v>1</v>
      </c>
      <c r="AR91" s="458" t="s">
        <v>183</v>
      </c>
      <c r="AS91" s="462">
        <f t="shared" si="17"/>
        <v>1</v>
      </c>
      <c r="AT91">
        <f t="shared" si="18"/>
        <v>1</v>
      </c>
      <c r="AU91" s="462">
        <f>IF(AT91=0,"",IF(AND(AT91=1,M91="F",SUMIF(C2:C170,C91,AS2:AS170)&lt;=1),SUMIF(C2:C170,C91,AS2:AS170),IF(AND(AT91=1,M91="F",SUMIF(C2:C170,C91,AS2:AS170)&gt;1),1,"")))</f>
        <v>1</v>
      </c>
      <c r="AV91" s="462" t="str">
        <f>IF(AT91=0,"",IF(AND(AT91=3,M91="F",SUMIF(C2:C170,C91,AS2:AS170)&lt;=1),SUMIF(C2:C170,C91,AS2:AS170),IF(AND(AT91=3,M91="F",SUMIF(C2:C170,C91,AS2:AS170)&gt;1),1,"")))</f>
        <v/>
      </c>
      <c r="AW91" s="462">
        <f>SUMIF(C2:C170,C91,O2:O170)</f>
        <v>1</v>
      </c>
      <c r="AX91" s="462">
        <f>IF(AND(M91="F",AS91&lt;&gt;0),SUMIF(C2:C170,C91,W2:W170),0)</f>
        <v>71281.600000000006</v>
      </c>
      <c r="AY91" s="462">
        <f t="shared" si="19"/>
        <v>71281.600000000006</v>
      </c>
      <c r="AZ91" s="462" t="str">
        <f t="shared" si="20"/>
        <v/>
      </c>
      <c r="BA91" s="462">
        <f t="shared" si="21"/>
        <v>0</v>
      </c>
      <c r="BB91" s="462">
        <f>IF(AND(AT91=1,AK91="E",AU91&gt;=0.75,AW91=1),Health,IF(AND(AT91=1,AK91="E",AU91&gt;=0.75),Health*P91,IF(AND(AT91=1,AK91="E",AU91&gt;=0.5,AW91=1),PTHealth,IF(AND(AT91=1,AK91="E",AU91&gt;=0.5),PTHealth*P91,0))))</f>
        <v>11650</v>
      </c>
      <c r="BC91" s="462">
        <f>IF(AND(AT91=3,AK91="E",AV91&gt;=0.75,AW91=1),Health,IF(AND(AT91=3,AK91="E",AV91&gt;=0.75),Health*P91,IF(AND(AT91=3,AK91="E",AV91&gt;=0.5,AW91=1),PTHealth,IF(AND(AT91=3,AK91="E",AV91&gt;=0.5),PTHealth*P91,0))))</f>
        <v>0</v>
      </c>
      <c r="BD91" s="462">
        <f>IF(AND(AT91&lt;&gt;0,AX91&gt;=MAXSSDI),SSDI*MAXSSDI*P91,IF(AT91&lt;&gt;0,SSDI*W91,0))</f>
        <v>4419.4592000000002</v>
      </c>
      <c r="BE91" s="462">
        <f>IF(AT91&lt;&gt;0,SSHI*W91,0)</f>
        <v>1033.5832</v>
      </c>
      <c r="BF91" s="462">
        <f>IF(AND(AT91&lt;&gt;0,AN91&lt;&gt;"NE"),VLOOKUP(AN91,Retirement_Rates,3,FALSE)*W91,0)</f>
        <v>8511.0230400000019</v>
      </c>
      <c r="BG91" s="462">
        <f>IF(AND(AT91&lt;&gt;0,AJ91&lt;&gt;"PF"),Life*W91,0)</f>
        <v>513.94033600000012</v>
      </c>
      <c r="BH91" s="462">
        <f>IF(AND(AT91&lt;&gt;0,AM91="Y"),UI*W91,0)</f>
        <v>349.27984000000004</v>
      </c>
      <c r="BI91" s="462">
        <f>IF(AND(AT91&lt;&gt;0,N91&lt;&gt;"NR"),DHR*W91,0)</f>
        <v>394.90006400000004</v>
      </c>
      <c r="BJ91" s="462">
        <f>IF(AT91&lt;&gt;0,WC*W91,0)</f>
        <v>142.56320000000002</v>
      </c>
      <c r="BK91" s="462">
        <f>IF(OR(AND(AT91&lt;&gt;0,AJ91&lt;&gt;"PF",AN91&lt;&gt;"NE",AG91&lt;&gt;"A"),AND(AL91="E",OR(AT91=1,AT91=3))),Sick*W91,0)</f>
        <v>0</v>
      </c>
      <c r="BL91" s="462">
        <f t="shared" si="22"/>
        <v>15364.748880000001</v>
      </c>
      <c r="BM91" s="462">
        <f t="shared" si="23"/>
        <v>0</v>
      </c>
      <c r="BN91" s="462">
        <f>IF(AND(AT91=1,AK91="E",AU91&gt;=0.75,AW91=1),HealthBY,IF(AND(AT91=1,AK91="E",AU91&gt;=0.75),HealthBY*P91,IF(AND(AT91=1,AK91="E",AU91&gt;=0.5,AW91=1),PTHealthBY,IF(AND(AT91=1,AK91="E",AU91&gt;=0.5),PTHealthBY*P91,0))))</f>
        <v>11650</v>
      </c>
      <c r="BO91" s="462">
        <f>IF(AND(AT91=3,AK91="E",AV91&gt;=0.75,AW91=1),HealthBY,IF(AND(AT91=3,AK91="E",AV91&gt;=0.75),HealthBY*P91,IF(AND(AT91=3,AK91="E",AV91&gt;=0.5,AW91=1),PTHealthBY,IF(AND(AT91=3,AK91="E",AV91&gt;=0.5),PTHealthBY*P91,0))))</f>
        <v>0</v>
      </c>
      <c r="BP91" s="462">
        <f>IF(AND(AT91&lt;&gt;0,(AX91+BA91)&gt;=MAXSSDIBY),SSDIBY*MAXSSDIBY*P91,IF(AT91&lt;&gt;0,SSDIBY*W91,0))</f>
        <v>4419.4592000000002</v>
      </c>
      <c r="BQ91" s="462">
        <f>IF(AT91&lt;&gt;0,SSHIBY*W91,0)</f>
        <v>1033.5832</v>
      </c>
      <c r="BR91" s="462">
        <f>IF(AND(AT91&lt;&gt;0,AN91&lt;&gt;"NE"),VLOOKUP(AN91,Retirement_Rates,4,FALSE)*W91,0)</f>
        <v>8511.0230400000019</v>
      </c>
      <c r="BS91" s="462">
        <f>IF(AND(AT91&lt;&gt;0,AJ91&lt;&gt;"PF"),LifeBY*W91,0)</f>
        <v>513.94033600000012</v>
      </c>
      <c r="BT91" s="462">
        <f>IF(AND(AT91&lt;&gt;0,AM91="Y"),UIBY*W91,0)</f>
        <v>0</v>
      </c>
      <c r="BU91" s="462">
        <f>IF(AND(AT91&lt;&gt;0,N91&lt;&gt;"NR"),DHRBY*W91,0)</f>
        <v>394.90006400000004</v>
      </c>
      <c r="BV91" s="462">
        <f>IF(AT91&lt;&gt;0,WCBY*W91,0)</f>
        <v>121.17872</v>
      </c>
      <c r="BW91" s="462">
        <f>IF(OR(AND(AT91&lt;&gt;0,AJ91&lt;&gt;"PF",AN91&lt;&gt;"NE",AG91&lt;&gt;"A"),AND(AL91="E",OR(AT91=1,AT91=3))),SickBY*W91,0)</f>
        <v>0</v>
      </c>
      <c r="BX91" s="462">
        <f t="shared" si="24"/>
        <v>14994.084560000001</v>
      </c>
      <c r="BY91" s="462">
        <f t="shared" si="25"/>
        <v>0</v>
      </c>
      <c r="BZ91" s="462">
        <f t="shared" si="26"/>
        <v>0</v>
      </c>
      <c r="CA91" s="462">
        <f t="shared" si="27"/>
        <v>0</v>
      </c>
      <c r="CB91" s="462">
        <f t="shared" si="28"/>
        <v>0</v>
      </c>
      <c r="CC91" s="462">
        <f>IF(AT91&lt;&gt;0,SSHICHG*Y91,0)</f>
        <v>0</v>
      </c>
      <c r="CD91" s="462">
        <f>IF(AND(AT91&lt;&gt;0,AN91&lt;&gt;"NE"),VLOOKUP(AN91,Retirement_Rates,5,FALSE)*Y91,0)</f>
        <v>0</v>
      </c>
      <c r="CE91" s="462">
        <f>IF(AND(AT91&lt;&gt;0,AJ91&lt;&gt;"PF"),LifeCHG*Y91,0)</f>
        <v>0</v>
      </c>
      <c r="CF91" s="462">
        <f>IF(AND(AT91&lt;&gt;0,AM91="Y"),UICHG*Y91,0)</f>
        <v>-349.27984000000004</v>
      </c>
      <c r="CG91" s="462">
        <f>IF(AND(AT91&lt;&gt;0,N91&lt;&gt;"NR"),DHRCHG*Y91,0)</f>
        <v>0</v>
      </c>
      <c r="CH91" s="462">
        <f>IF(AT91&lt;&gt;0,WCCHG*Y91,0)</f>
        <v>-21.384480000000011</v>
      </c>
      <c r="CI91" s="462">
        <f>IF(OR(AND(AT91&lt;&gt;0,AJ91&lt;&gt;"PF",AN91&lt;&gt;"NE",AG91&lt;&gt;"A"),AND(AL91="E",OR(AT91=1,AT91=3))),SickCHG*Y91,0)</f>
        <v>0</v>
      </c>
      <c r="CJ91" s="462">
        <f t="shared" si="29"/>
        <v>-370.66432000000003</v>
      </c>
      <c r="CK91" s="462" t="str">
        <f t="shared" si="30"/>
        <v/>
      </c>
      <c r="CL91" s="462" t="str">
        <f t="shared" si="31"/>
        <v/>
      </c>
      <c r="CM91" s="462" t="str">
        <f t="shared" si="32"/>
        <v/>
      </c>
      <c r="CN91" s="462" t="str">
        <f t="shared" si="33"/>
        <v>0450-38</v>
      </c>
    </row>
    <row r="92" spans="1:92" ht="15" thickBot="1" x14ac:dyDescent="0.35">
      <c r="A92" s="376" t="s">
        <v>161</v>
      </c>
      <c r="B92" s="376" t="s">
        <v>162</v>
      </c>
      <c r="C92" s="376" t="s">
        <v>546</v>
      </c>
      <c r="D92" s="376" t="s">
        <v>313</v>
      </c>
      <c r="E92" s="376" t="s">
        <v>314</v>
      </c>
      <c r="F92" s="382" t="s">
        <v>406</v>
      </c>
      <c r="G92" s="376" t="s">
        <v>167</v>
      </c>
      <c r="H92" s="378"/>
      <c r="I92" s="378"/>
      <c r="J92" s="376" t="s">
        <v>168</v>
      </c>
      <c r="K92" s="376" t="s">
        <v>411</v>
      </c>
      <c r="L92" s="376" t="s">
        <v>220</v>
      </c>
      <c r="M92" s="376" t="s">
        <v>171</v>
      </c>
      <c r="N92" s="376" t="s">
        <v>172</v>
      </c>
      <c r="O92" s="379">
        <v>1</v>
      </c>
      <c r="P92" s="460">
        <v>1</v>
      </c>
      <c r="Q92" s="460">
        <v>1</v>
      </c>
      <c r="R92" s="380">
        <v>80</v>
      </c>
      <c r="S92" s="460">
        <v>1</v>
      </c>
      <c r="T92" s="380">
        <v>65336.480000000003</v>
      </c>
      <c r="U92" s="380">
        <v>0</v>
      </c>
      <c r="V92" s="380">
        <v>25159.81</v>
      </c>
      <c r="W92" s="380">
        <v>62441.599999999999</v>
      </c>
      <c r="X92" s="380">
        <v>25109.25</v>
      </c>
      <c r="Y92" s="380">
        <v>62441.599999999999</v>
      </c>
      <c r="Z92" s="380">
        <v>24784.560000000001</v>
      </c>
      <c r="AA92" s="376" t="s">
        <v>547</v>
      </c>
      <c r="AB92" s="376" t="s">
        <v>548</v>
      </c>
      <c r="AC92" s="376" t="s">
        <v>549</v>
      </c>
      <c r="AD92" s="376" t="s">
        <v>550</v>
      </c>
      <c r="AE92" s="376" t="s">
        <v>411</v>
      </c>
      <c r="AF92" s="376" t="s">
        <v>224</v>
      </c>
      <c r="AG92" s="376" t="s">
        <v>178</v>
      </c>
      <c r="AH92" s="381">
        <v>30.02</v>
      </c>
      <c r="AI92" s="381">
        <v>17046.5</v>
      </c>
      <c r="AJ92" s="376" t="s">
        <v>179</v>
      </c>
      <c r="AK92" s="376" t="s">
        <v>180</v>
      </c>
      <c r="AL92" s="376" t="s">
        <v>181</v>
      </c>
      <c r="AM92" s="376" t="s">
        <v>182</v>
      </c>
      <c r="AN92" s="376" t="s">
        <v>68</v>
      </c>
      <c r="AO92" s="379">
        <v>80</v>
      </c>
      <c r="AP92" s="460">
        <v>1</v>
      </c>
      <c r="AQ92" s="460">
        <v>1</v>
      </c>
      <c r="AR92" s="458" t="s">
        <v>183</v>
      </c>
      <c r="AS92" s="462">
        <f t="shared" si="17"/>
        <v>1</v>
      </c>
      <c r="AT92">
        <f t="shared" si="18"/>
        <v>1</v>
      </c>
      <c r="AU92" s="462">
        <f>IF(AT92=0,"",IF(AND(AT92=1,M92="F",SUMIF(C2:C170,C92,AS2:AS170)&lt;=1),SUMIF(C2:C170,C92,AS2:AS170),IF(AND(AT92=1,M92="F",SUMIF(C2:C170,C92,AS2:AS170)&gt;1),1,"")))</f>
        <v>1</v>
      </c>
      <c r="AV92" s="462" t="str">
        <f>IF(AT92=0,"",IF(AND(AT92=3,M92="F",SUMIF(C2:C170,C92,AS2:AS170)&lt;=1),SUMIF(C2:C170,C92,AS2:AS170),IF(AND(AT92=3,M92="F",SUMIF(C2:C170,C92,AS2:AS170)&gt;1),1,"")))</f>
        <v/>
      </c>
      <c r="AW92" s="462">
        <f>SUMIF(C2:C170,C92,O2:O170)</f>
        <v>1</v>
      </c>
      <c r="AX92" s="462">
        <f>IF(AND(M92="F",AS92&lt;&gt;0),SUMIF(C2:C170,C92,W2:W170),0)</f>
        <v>62441.599999999999</v>
      </c>
      <c r="AY92" s="462">
        <f t="shared" si="19"/>
        <v>62441.599999999999</v>
      </c>
      <c r="AZ92" s="462" t="str">
        <f t="shared" si="20"/>
        <v/>
      </c>
      <c r="BA92" s="462">
        <f t="shared" si="21"/>
        <v>0</v>
      </c>
      <c r="BB92" s="462">
        <f>IF(AND(AT92=1,AK92="E",AU92&gt;=0.75,AW92=1),Health,IF(AND(AT92=1,AK92="E",AU92&gt;=0.75),Health*P92,IF(AND(AT92=1,AK92="E",AU92&gt;=0.5,AW92=1),PTHealth,IF(AND(AT92=1,AK92="E",AU92&gt;=0.5),PTHealth*P92,0))))</f>
        <v>11650</v>
      </c>
      <c r="BC92" s="462">
        <f>IF(AND(AT92=3,AK92="E",AV92&gt;=0.75,AW92=1),Health,IF(AND(AT92=3,AK92="E",AV92&gt;=0.75),Health*P92,IF(AND(AT92=3,AK92="E",AV92&gt;=0.5,AW92=1),PTHealth,IF(AND(AT92=3,AK92="E",AV92&gt;=0.5),PTHealth*P92,0))))</f>
        <v>0</v>
      </c>
      <c r="BD92" s="462">
        <f>IF(AND(AT92&lt;&gt;0,AX92&gt;=MAXSSDI),SSDI*MAXSSDI*P92,IF(AT92&lt;&gt;0,SSDI*W92,0))</f>
        <v>3871.3791999999999</v>
      </c>
      <c r="BE92" s="462">
        <f>IF(AT92&lt;&gt;0,SSHI*W92,0)</f>
        <v>905.40319999999997</v>
      </c>
      <c r="BF92" s="462">
        <f>IF(AND(AT92&lt;&gt;0,AN92&lt;&gt;"NE"),VLOOKUP(AN92,Retirement_Rates,3,FALSE)*W92,0)</f>
        <v>7455.5270399999999</v>
      </c>
      <c r="BG92" s="462">
        <f>IF(AND(AT92&lt;&gt;0,AJ92&lt;&gt;"PF"),Life*W92,0)</f>
        <v>450.203936</v>
      </c>
      <c r="BH92" s="462">
        <f>IF(AND(AT92&lt;&gt;0,AM92="Y"),UI*W92,0)</f>
        <v>305.96384</v>
      </c>
      <c r="BI92" s="462">
        <f>IF(AND(AT92&lt;&gt;0,N92&lt;&gt;"NR"),DHR*W92,0)</f>
        <v>345.92646399999995</v>
      </c>
      <c r="BJ92" s="462">
        <f>IF(AT92&lt;&gt;0,WC*W92,0)</f>
        <v>124.8832</v>
      </c>
      <c r="BK92" s="462">
        <f>IF(OR(AND(AT92&lt;&gt;0,AJ92&lt;&gt;"PF",AN92&lt;&gt;"NE",AG92&lt;&gt;"A"),AND(AL92="E",OR(AT92=1,AT92=3))),Sick*W92,0)</f>
        <v>0</v>
      </c>
      <c r="BL92" s="462">
        <f t="shared" si="22"/>
        <v>13459.286880000001</v>
      </c>
      <c r="BM92" s="462">
        <f t="shared" si="23"/>
        <v>0</v>
      </c>
      <c r="BN92" s="462">
        <f>IF(AND(AT92=1,AK92="E",AU92&gt;=0.75,AW92=1),HealthBY,IF(AND(AT92=1,AK92="E",AU92&gt;=0.75),HealthBY*P92,IF(AND(AT92=1,AK92="E",AU92&gt;=0.5,AW92=1),PTHealthBY,IF(AND(AT92=1,AK92="E",AU92&gt;=0.5),PTHealthBY*P92,0))))</f>
        <v>11650</v>
      </c>
      <c r="BO92" s="462">
        <f>IF(AND(AT92=3,AK92="E",AV92&gt;=0.75,AW92=1),HealthBY,IF(AND(AT92=3,AK92="E",AV92&gt;=0.75),HealthBY*P92,IF(AND(AT92=3,AK92="E",AV92&gt;=0.5,AW92=1),PTHealthBY,IF(AND(AT92=3,AK92="E",AV92&gt;=0.5),PTHealthBY*P92,0))))</f>
        <v>0</v>
      </c>
      <c r="BP92" s="462">
        <f>IF(AND(AT92&lt;&gt;0,(AX92+BA92)&gt;=MAXSSDIBY),SSDIBY*MAXSSDIBY*P92,IF(AT92&lt;&gt;0,SSDIBY*W92,0))</f>
        <v>3871.3791999999999</v>
      </c>
      <c r="BQ92" s="462">
        <f>IF(AT92&lt;&gt;0,SSHIBY*W92,0)</f>
        <v>905.40319999999997</v>
      </c>
      <c r="BR92" s="462">
        <f>IF(AND(AT92&lt;&gt;0,AN92&lt;&gt;"NE"),VLOOKUP(AN92,Retirement_Rates,4,FALSE)*W92,0)</f>
        <v>7455.5270399999999</v>
      </c>
      <c r="BS92" s="462">
        <f>IF(AND(AT92&lt;&gt;0,AJ92&lt;&gt;"PF"),LifeBY*W92,0)</f>
        <v>450.203936</v>
      </c>
      <c r="BT92" s="462">
        <f>IF(AND(AT92&lt;&gt;0,AM92="Y"),UIBY*W92,0)</f>
        <v>0</v>
      </c>
      <c r="BU92" s="462">
        <f>IF(AND(AT92&lt;&gt;0,N92&lt;&gt;"NR"),DHRBY*W92,0)</f>
        <v>345.92646399999995</v>
      </c>
      <c r="BV92" s="462">
        <f>IF(AT92&lt;&gt;0,WCBY*W92,0)</f>
        <v>106.15071999999999</v>
      </c>
      <c r="BW92" s="462">
        <f>IF(OR(AND(AT92&lt;&gt;0,AJ92&lt;&gt;"PF",AN92&lt;&gt;"NE",AG92&lt;&gt;"A"),AND(AL92="E",OR(AT92=1,AT92=3))),SickBY*W92,0)</f>
        <v>0</v>
      </c>
      <c r="BX92" s="462">
        <f t="shared" si="24"/>
        <v>13134.590560000001</v>
      </c>
      <c r="BY92" s="462">
        <f t="shared" si="25"/>
        <v>0</v>
      </c>
      <c r="BZ92" s="462">
        <f t="shared" si="26"/>
        <v>0</v>
      </c>
      <c r="CA92" s="462">
        <f t="shared" si="27"/>
        <v>0</v>
      </c>
      <c r="CB92" s="462">
        <f t="shared" si="28"/>
        <v>0</v>
      </c>
      <c r="CC92" s="462">
        <f>IF(AT92&lt;&gt;0,SSHICHG*Y92,0)</f>
        <v>0</v>
      </c>
      <c r="CD92" s="462">
        <f>IF(AND(AT92&lt;&gt;0,AN92&lt;&gt;"NE"),VLOOKUP(AN92,Retirement_Rates,5,FALSE)*Y92,0)</f>
        <v>0</v>
      </c>
      <c r="CE92" s="462">
        <f>IF(AND(AT92&lt;&gt;0,AJ92&lt;&gt;"PF"),LifeCHG*Y92,0)</f>
        <v>0</v>
      </c>
      <c r="CF92" s="462">
        <f>IF(AND(AT92&lt;&gt;0,AM92="Y"),UICHG*Y92,0)</f>
        <v>-305.96384</v>
      </c>
      <c r="CG92" s="462">
        <f>IF(AND(AT92&lt;&gt;0,N92&lt;&gt;"NR"),DHRCHG*Y92,0)</f>
        <v>0</v>
      </c>
      <c r="CH92" s="462">
        <f>IF(AT92&lt;&gt;0,WCCHG*Y92,0)</f>
        <v>-18.73248000000001</v>
      </c>
      <c r="CI92" s="462">
        <f>IF(OR(AND(AT92&lt;&gt;0,AJ92&lt;&gt;"PF",AN92&lt;&gt;"NE",AG92&lt;&gt;"A"),AND(AL92="E",OR(AT92=1,AT92=3))),SickCHG*Y92,0)</f>
        <v>0</v>
      </c>
      <c r="CJ92" s="462">
        <f t="shared" si="29"/>
        <v>-324.69632000000001</v>
      </c>
      <c r="CK92" s="462" t="str">
        <f t="shared" si="30"/>
        <v/>
      </c>
      <c r="CL92" s="462" t="str">
        <f t="shared" si="31"/>
        <v/>
      </c>
      <c r="CM92" s="462" t="str">
        <f t="shared" si="32"/>
        <v/>
      </c>
      <c r="CN92" s="462" t="str">
        <f t="shared" si="33"/>
        <v>0450-38</v>
      </c>
    </row>
    <row r="93" spans="1:92" ht="15" thickBot="1" x14ac:dyDescent="0.35">
      <c r="A93" s="376" t="s">
        <v>161</v>
      </c>
      <c r="B93" s="376" t="s">
        <v>162</v>
      </c>
      <c r="C93" s="376" t="s">
        <v>551</v>
      </c>
      <c r="D93" s="376" t="s">
        <v>356</v>
      </c>
      <c r="E93" s="376" t="s">
        <v>314</v>
      </c>
      <c r="F93" s="382" t="s">
        <v>406</v>
      </c>
      <c r="G93" s="376" t="s">
        <v>167</v>
      </c>
      <c r="H93" s="378"/>
      <c r="I93" s="378"/>
      <c r="J93" s="376" t="s">
        <v>168</v>
      </c>
      <c r="K93" s="376" t="s">
        <v>372</v>
      </c>
      <c r="L93" s="376" t="s">
        <v>220</v>
      </c>
      <c r="M93" s="376" t="s">
        <v>171</v>
      </c>
      <c r="N93" s="376" t="s">
        <v>172</v>
      </c>
      <c r="O93" s="379">
        <v>1</v>
      </c>
      <c r="P93" s="460">
        <v>1</v>
      </c>
      <c r="Q93" s="460">
        <v>1</v>
      </c>
      <c r="R93" s="380">
        <v>80</v>
      </c>
      <c r="S93" s="460">
        <v>1</v>
      </c>
      <c r="T93" s="380">
        <v>51952.94</v>
      </c>
      <c r="U93" s="380">
        <v>524.79999999999995</v>
      </c>
      <c r="V93" s="380">
        <v>22697.99</v>
      </c>
      <c r="W93" s="380">
        <v>56492.800000000003</v>
      </c>
      <c r="X93" s="380">
        <v>23827</v>
      </c>
      <c r="Y93" s="380">
        <v>56492.800000000003</v>
      </c>
      <c r="Z93" s="380">
        <v>23533.24</v>
      </c>
      <c r="AA93" s="376" t="s">
        <v>552</v>
      </c>
      <c r="AB93" s="376" t="s">
        <v>553</v>
      </c>
      <c r="AC93" s="376" t="s">
        <v>440</v>
      </c>
      <c r="AD93" s="376" t="s">
        <v>554</v>
      </c>
      <c r="AE93" s="376" t="s">
        <v>372</v>
      </c>
      <c r="AF93" s="376" t="s">
        <v>224</v>
      </c>
      <c r="AG93" s="376" t="s">
        <v>178</v>
      </c>
      <c r="AH93" s="381">
        <v>27.16</v>
      </c>
      <c r="AI93" s="381">
        <v>3353.4</v>
      </c>
      <c r="AJ93" s="376" t="s">
        <v>179</v>
      </c>
      <c r="AK93" s="376" t="s">
        <v>180</v>
      </c>
      <c r="AL93" s="376" t="s">
        <v>181</v>
      </c>
      <c r="AM93" s="376" t="s">
        <v>182</v>
      </c>
      <c r="AN93" s="376" t="s">
        <v>68</v>
      </c>
      <c r="AO93" s="379">
        <v>80</v>
      </c>
      <c r="AP93" s="460">
        <v>1</v>
      </c>
      <c r="AQ93" s="460">
        <v>1</v>
      </c>
      <c r="AR93" s="458" t="s">
        <v>183</v>
      </c>
      <c r="AS93" s="462">
        <f t="shared" si="17"/>
        <v>1</v>
      </c>
      <c r="AT93">
        <f t="shared" si="18"/>
        <v>1</v>
      </c>
      <c r="AU93" s="462">
        <f>IF(AT93=0,"",IF(AND(AT93=1,M93="F",SUMIF(C2:C170,C93,AS2:AS170)&lt;=1),SUMIF(C2:C170,C93,AS2:AS170),IF(AND(AT93=1,M93="F",SUMIF(C2:C170,C93,AS2:AS170)&gt;1),1,"")))</f>
        <v>1</v>
      </c>
      <c r="AV93" s="462" t="str">
        <f>IF(AT93=0,"",IF(AND(AT93=3,M93="F",SUMIF(C2:C170,C93,AS2:AS170)&lt;=1),SUMIF(C2:C170,C93,AS2:AS170),IF(AND(AT93=3,M93="F",SUMIF(C2:C170,C93,AS2:AS170)&gt;1),1,"")))</f>
        <v/>
      </c>
      <c r="AW93" s="462">
        <f>SUMIF(C2:C170,C93,O2:O170)</f>
        <v>1</v>
      </c>
      <c r="AX93" s="462">
        <f>IF(AND(M93="F",AS93&lt;&gt;0),SUMIF(C2:C170,C93,W2:W170),0)</f>
        <v>56492.800000000003</v>
      </c>
      <c r="AY93" s="462">
        <f t="shared" si="19"/>
        <v>56492.800000000003</v>
      </c>
      <c r="AZ93" s="462" t="str">
        <f t="shared" si="20"/>
        <v/>
      </c>
      <c r="BA93" s="462">
        <f t="shared" si="21"/>
        <v>0</v>
      </c>
      <c r="BB93" s="462">
        <f>IF(AND(AT93=1,AK93="E",AU93&gt;=0.75,AW93=1),Health,IF(AND(AT93=1,AK93="E",AU93&gt;=0.75),Health*P93,IF(AND(AT93=1,AK93="E",AU93&gt;=0.5,AW93=1),PTHealth,IF(AND(AT93=1,AK93="E",AU93&gt;=0.5),PTHealth*P93,0))))</f>
        <v>11650</v>
      </c>
      <c r="BC93" s="462">
        <f>IF(AND(AT93=3,AK93="E",AV93&gt;=0.75,AW93=1),Health,IF(AND(AT93=3,AK93="E",AV93&gt;=0.75),Health*P93,IF(AND(AT93=3,AK93="E",AV93&gt;=0.5,AW93=1),PTHealth,IF(AND(AT93=3,AK93="E",AV93&gt;=0.5),PTHealth*P93,0))))</f>
        <v>0</v>
      </c>
      <c r="BD93" s="462">
        <f>IF(AND(AT93&lt;&gt;0,AX93&gt;=MAXSSDI),SSDI*MAXSSDI*P93,IF(AT93&lt;&gt;0,SSDI*W93,0))</f>
        <v>3502.5536000000002</v>
      </c>
      <c r="BE93" s="462">
        <f>IF(AT93&lt;&gt;0,SSHI*W93,0)</f>
        <v>819.14560000000006</v>
      </c>
      <c r="BF93" s="462">
        <f>IF(AND(AT93&lt;&gt;0,AN93&lt;&gt;"NE"),VLOOKUP(AN93,Retirement_Rates,3,FALSE)*W93,0)</f>
        <v>6745.2403200000008</v>
      </c>
      <c r="BG93" s="462">
        <f>IF(AND(AT93&lt;&gt;0,AJ93&lt;&gt;"PF"),Life*W93,0)</f>
        <v>407.31308800000005</v>
      </c>
      <c r="BH93" s="462">
        <f>IF(AND(AT93&lt;&gt;0,AM93="Y"),UI*W93,0)</f>
        <v>276.81472000000002</v>
      </c>
      <c r="BI93" s="462">
        <f>IF(AND(AT93&lt;&gt;0,N93&lt;&gt;"NR"),DHR*W93,0)</f>
        <v>312.97011200000003</v>
      </c>
      <c r="BJ93" s="462">
        <f>IF(AT93&lt;&gt;0,WC*W93,0)</f>
        <v>112.98560000000001</v>
      </c>
      <c r="BK93" s="462">
        <f>IF(OR(AND(AT93&lt;&gt;0,AJ93&lt;&gt;"PF",AN93&lt;&gt;"NE",AG93&lt;&gt;"A"),AND(AL93="E",OR(AT93=1,AT93=3))),Sick*W93,0)</f>
        <v>0</v>
      </c>
      <c r="BL93" s="462">
        <f t="shared" si="22"/>
        <v>12177.023040000002</v>
      </c>
      <c r="BM93" s="462">
        <f t="shared" si="23"/>
        <v>0</v>
      </c>
      <c r="BN93" s="462">
        <f>IF(AND(AT93=1,AK93="E",AU93&gt;=0.75,AW93=1),HealthBY,IF(AND(AT93=1,AK93="E",AU93&gt;=0.75),HealthBY*P93,IF(AND(AT93=1,AK93="E",AU93&gt;=0.5,AW93=1),PTHealthBY,IF(AND(AT93=1,AK93="E",AU93&gt;=0.5),PTHealthBY*P93,0))))</f>
        <v>11650</v>
      </c>
      <c r="BO93" s="462">
        <f>IF(AND(AT93=3,AK93="E",AV93&gt;=0.75,AW93=1),HealthBY,IF(AND(AT93=3,AK93="E",AV93&gt;=0.75),HealthBY*P93,IF(AND(AT93=3,AK93="E",AV93&gt;=0.5,AW93=1),PTHealthBY,IF(AND(AT93=3,AK93="E",AV93&gt;=0.5),PTHealthBY*P93,0))))</f>
        <v>0</v>
      </c>
      <c r="BP93" s="462">
        <f>IF(AND(AT93&lt;&gt;0,(AX93+BA93)&gt;=MAXSSDIBY),SSDIBY*MAXSSDIBY*P93,IF(AT93&lt;&gt;0,SSDIBY*W93,0))</f>
        <v>3502.5536000000002</v>
      </c>
      <c r="BQ93" s="462">
        <f>IF(AT93&lt;&gt;0,SSHIBY*W93,0)</f>
        <v>819.14560000000006</v>
      </c>
      <c r="BR93" s="462">
        <f>IF(AND(AT93&lt;&gt;0,AN93&lt;&gt;"NE"),VLOOKUP(AN93,Retirement_Rates,4,FALSE)*W93,0)</f>
        <v>6745.2403200000008</v>
      </c>
      <c r="BS93" s="462">
        <f>IF(AND(AT93&lt;&gt;0,AJ93&lt;&gt;"PF"),LifeBY*W93,0)</f>
        <v>407.31308800000005</v>
      </c>
      <c r="BT93" s="462">
        <f>IF(AND(AT93&lt;&gt;0,AM93="Y"),UIBY*W93,0)</f>
        <v>0</v>
      </c>
      <c r="BU93" s="462">
        <f>IF(AND(AT93&lt;&gt;0,N93&lt;&gt;"NR"),DHRBY*W93,0)</f>
        <v>312.97011200000003</v>
      </c>
      <c r="BV93" s="462">
        <f>IF(AT93&lt;&gt;0,WCBY*W93,0)</f>
        <v>96.037760000000006</v>
      </c>
      <c r="BW93" s="462">
        <f>IF(OR(AND(AT93&lt;&gt;0,AJ93&lt;&gt;"PF",AN93&lt;&gt;"NE",AG93&lt;&gt;"A"),AND(AL93="E",OR(AT93=1,AT93=3))),SickBY*W93,0)</f>
        <v>0</v>
      </c>
      <c r="BX93" s="462">
        <f t="shared" si="24"/>
        <v>11883.260480000001</v>
      </c>
      <c r="BY93" s="462">
        <f t="shared" si="25"/>
        <v>0</v>
      </c>
      <c r="BZ93" s="462">
        <f t="shared" si="26"/>
        <v>0</v>
      </c>
      <c r="CA93" s="462">
        <f t="shared" si="27"/>
        <v>0</v>
      </c>
      <c r="CB93" s="462">
        <f t="shared" si="28"/>
        <v>0</v>
      </c>
      <c r="CC93" s="462">
        <f>IF(AT93&lt;&gt;0,SSHICHG*Y93,0)</f>
        <v>0</v>
      </c>
      <c r="CD93" s="462">
        <f>IF(AND(AT93&lt;&gt;0,AN93&lt;&gt;"NE"),VLOOKUP(AN93,Retirement_Rates,5,FALSE)*Y93,0)</f>
        <v>0</v>
      </c>
      <c r="CE93" s="462">
        <f>IF(AND(AT93&lt;&gt;0,AJ93&lt;&gt;"PF"),LifeCHG*Y93,0)</f>
        <v>0</v>
      </c>
      <c r="CF93" s="462">
        <f>IF(AND(AT93&lt;&gt;0,AM93="Y"),UICHG*Y93,0)</f>
        <v>-276.81472000000002</v>
      </c>
      <c r="CG93" s="462">
        <f>IF(AND(AT93&lt;&gt;0,N93&lt;&gt;"NR"),DHRCHG*Y93,0)</f>
        <v>0</v>
      </c>
      <c r="CH93" s="462">
        <f>IF(AT93&lt;&gt;0,WCCHG*Y93,0)</f>
        <v>-16.94784000000001</v>
      </c>
      <c r="CI93" s="462">
        <f>IF(OR(AND(AT93&lt;&gt;0,AJ93&lt;&gt;"PF",AN93&lt;&gt;"NE",AG93&lt;&gt;"A"),AND(AL93="E",OR(AT93=1,AT93=3))),SickCHG*Y93,0)</f>
        <v>0</v>
      </c>
      <c r="CJ93" s="462">
        <f t="shared" si="29"/>
        <v>-293.76256000000001</v>
      </c>
      <c r="CK93" s="462" t="str">
        <f t="shared" si="30"/>
        <v/>
      </c>
      <c r="CL93" s="462" t="str">
        <f t="shared" si="31"/>
        <v/>
      </c>
      <c r="CM93" s="462" t="str">
        <f t="shared" si="32"/>
        <v/>
      </c>
      <c r="CN93" s="462" t="str">
        <f t="shared" si="33"/>
        <v>0450-38</v>
      </c>
    </row>
    <row r="94" spans="1:92" ht="15" thickBot="1" x14ac:dyDescent="0.35">
      <c r="A94" s="376" t="s">
        <v>161</v>
      </c>
      <c r="B94" s="376" t="s">
        <v>162</v>
      </c>
      <c r="C94" s="376" t="s">
        <v>555</v>
      </c>
      <c r="D94" s="376" t="s">
        <v>356</v>
      </c>
      <c r="E94" s="376" t="s">
        <v>314</v>
      </c>
      <c r="F94" s="382" t="s">
        <v>406</v>
      </c>
      <c r="G94" s="376" t="s">
        <v>167</v>
      </c>
      <c r="H94" s="378"/>
      <c r="I94" s="378"/>
      <c r="J94" s="376" t="s">
        <v>168</v>
      </c>
      <c r="K94" s="376" t="s">
        <v>372</v>
      </c>
      <c r="L94" s="376" t="s">
        <v>220</v>
      </c>
      <c r="M94" s="376" t="s">
        <v>171</v>
      </c>
      <c r="N94" s="376" t="s">
        <v>172</v>
      </c>
      <c r="O94" s="379">
        <v>1</v>
      </c>
      <c r="P94" s="460">
        <v>1</v>
      </c>
      <c r="Q94" s="460">
        <v>1</v>
      </c>
      <c r="R94" s="380">
        <v>80</v>
      </c>
      <c r="S94" s="460">
        <v>1</v>
      </c>
      <c r="T94" s="380">
        <v>59113.98</v>
      </c>
      <c r="U94" s="380">
        <v>0</v>
      </c>
      <c r="V94" s="380">
        <v>22484.400000000001</v>
      </c>
      <c r="W94" s="380">
        <v>63211.199999999997</v>
      </c>
      <c r="X94" s="380">
        <v>25275.15</v>
      </c>
      <c r="Y94" s="380">
        <v>63211.199999999997</v>
      </c>
      <c r="Z94" s="380">
        <v>24946.45</v>
      </c>
      <c r="AA94" s="376" t="s">
        <v>556</v>
      </c>
      <c r="AB94" s="376" t="s">
        <v>557</v>
      </c>
      <c r="AC94" s="376" t="s">
        <v>558</v>
      </c>
      <c r="AD94" s="376" t="s">
        <v>559</v>
      </c>
      <c r="AE94" s="376" t="s">
        <v>372</v>
      </c>
      <c r="AF94" s="376" t="s">
        <v>224</v>
      </c>
      <c r="AG94" s="376" t="s">
        <v>178</v>
      </c>
      <c r="AH94" s="381">
        <v>30.39</v>
      </c>
      <c r="AI94" s="381">
        <v>6890.1</v>
      </c>
      <c r="AJ94" s="376" t="s">
        <v>179</v>
      </c>
      <c r="AK94" s="376" t="s">
        <v>180</v>
      </c>
      <c r="AL94" s="376" t="s">
        <v>181</v>
      </c>
      <c r="AM94" s="376" t="s">
        <v>182</v>
      </c>
      <c r="AN94" s="376" t="s">
        <v>68</v>
      </c>
      <c r="AO94" s="379">
        <v>80</v>
      </c>
      <c r="AP94" s="460">
        <v>1</v>
      </c>
      <c r="AQ94" s="460">
        <v>1</v>
      </c>
      <c r="AR94" s="458" t="s">
        <v>183</v>
      </c>
      <c r="AS94" s="462">
        <f t="shared" si="17"/>
        <v>1</v>
      </c>
      <c r="AT94">
        <f t="shared" si="18"/>
        <v>1</v>
      </c>
      <c r="AU94" s="462">
        <f>IF(AT94=0,"",IF(AND(AT94=1,M94="F",SUMIF(C2:C170,C94,AS2:AS170)&lt;=1),SUMIF(C2:C170,C94,AS2:AS170),IF(AND(AT94=1,M94="F",SUMIF(C2:C170,C94,AS2:AS170)&gt;1),1,"")))</f>
        <v>1</v>
      </c>
      <c r="AV94" s="462" t="str">
        <f>IF(AT94=0,"",IF(AND(AT94=3,M94="F",SUMIF(C2:C170,C94,AS2:AS170)&lt;=1),SUMIF(C2:C170,C94,AS2:AS170),IF(AND(AT94=3,M94="F",SUMIF(C2:C170,C94,AS2:AS170)&gt;1),1,"")))</f>
        <v/>
      </c>
      <c r="AW94" s="462">
        <f>SUMIF(C2:C170,C94,O2:O170)</f>
        <v>1</v>
      </c>
      <c r="AX94" s="462">
        <f>IF(AND(M94="F",AS94&lt;&gt;0),SUMIF(C2:C170,C94,W2:W170),0)</f>
        <v>63211.199999999997</v>
      </c>
      <c r="AY94" s="462">
        <f t="shared" si="19"/>
        <v>63211.199999999997</v>
      </c>
      <c r="AZ94" s="462" t="str">
        <f t="shared" si="20"/>
        <v/>
      </c>
      <c r="BA94" s="462">
        <f t="shared" si="21"/>
        <v>0</v>
      </c>
      <c r="BB94" s="462">
        <f>IF(AND(AT94=1,AK94="E",AU94&gt;=0.75,AW94=1),Health,IF(AND(AT94=1,AK94="E",AU94&gt;=0.75),Health*P94,IF(AND(AT94=1,AK94="E",AU94&gt;=0.5,AW94=1),PTHealth,IF(AND(AT94=1,AK94="E",AU94&gt;=0.5),PTHealth*P94,0))))</f>
        <v>11650</v>
      </c>
      <c r="BC94" s="462">
        <f>IF(AND(AT94=3,AK94="E",AV94&gt;=0.75,AW94=1),Health,IF(AND(AT94=3,AK94="E",AV94&gt;=0.75),Health*P94,IF(AND(AT94=3,AK94="E",AV94&gt;=0.5,AW94=1),PTHealth,IF(AND(AT94=3,AK94="E",AV94&gt;=0.5),PTHealth*P94,0))))</f>
        <v>0</v>
      </c>
      <c r="BD94" s="462">
        <f>IF(AND(AT94&lt;&gt;0,AX94&gt;=MAXSSDI),SSDI*MAXSSDI*P94,IF(AT94&lt;&gt;0,SSDI*W94,0))</f>
        <v>3919.0944</v>
      </c>
      <c r="BE94" s="462">
        <f>IF(AT94&lt;&gt;0,SSHI*W94,0)</f>
        <v>916.56240000000003</v>
      </c>
      <c r="BF94" s="462">
        <f>IF(AND(AT94&lt;&gt;0,AN94&lt;&gt;"NE"),VLOOKUP(AN94,Retirement_Rates,3,FALSE)*W94,0)</f>
        <v>7547.4172799999997</v>
      </c>
      <c r="BG94" s="462">
        <f>IF(AND(AT94&lt;&gt;0,AJ94&lt;&gt;"PF"),Life*W94,0)</f>
        <v>455.75275199999999</v>
      </c>
      <c r="BH94" s="462">
        <f>IF(AND(AT94&lt;&gt;0,AM94="Y"),UI*W94,0)</f>
        <v>309.73487999999998</v>
      </c>
      <c r="BI94" s="462">
        <f>IF(AND(AT94&lt;&gt;0,N94&lt;&gt;"NR"),DHR*W94,0)</f>
        <v>350.19004799999999</v>
      </c>
      <c r="BJ94" s="462">
        <f>IF(AT94&lt;&gt;0,WC*W94,0)</f>
        <v>126.4224</v>
      </c>
      <c r="BK94" s="462">
        <f>IF(OR(AND(AT94&lt;&gt;0,AJ94&lt;&gt;"PF",AN94&lt;&gt;"NE",AG94&lt;&gt;"A"),AND(AL94="E",OR(AT94=1,AT94=3))),Sick*W94,0)</f>
        <v>0</v>
      </c>
      <c r="BL94" s="462">
        <f t="shared" si="22"/>
        <v>13625.174159999999</v>
      </c>
      <c r="BM94" s="462">
        <f t="shared" si="23"/>
        <v>0</v>
      </c>
      <c r="BN94" s="462">
        <f>IF(AND(AT94=1,AK94="E",AU94&gt;=0.75,AW94=1),HealthBY,IF(AND(AT94=1,AK94="E",AU94&gt;=0.75),HealthBY*P94,IF(AND(AT94=1,AK94="E",AU94&gt;=0.5,AW94=1),PTHealthBY,IF(AND(AT94=1,AK94="E",AU94&gt;=0.5),PTHealthBY*P94,0))))</f>
        <v>11650</v>
      </c>
      <c r="BO94" s="462">
        <f>IF(AND(AT94=3,AK94="E",AV94&gt;=0.75,AW94=1),HealthBY,IF(AND(AT94=3,AK94="E",AV94&gt;=0.75),HealthBY*P94,IF(AND(AT94=3,AK94="E",AV94&gt;=0.5,AW94=1),PTHealthBY,IF(AND(AT94=3,AK94="E",AV94&gt;=0.5),PTHealthBY*P94,0))))</f>
        <v>0</v>
      </c>
      <c r="BP94" s="462">
        <f>IF(AND(AT94&lt;&gt;0,(AX94+BA94)&gt;=MAXSSDIBY),SSDIBY*MAXSSDIBY*P94,IF(AT94&lt;&gt;0,SSDIBY*W94,0))</f>
        <v>3919.0944</v>
      </c>
      <c r="BQ94" s="462">
        <f>IF(AT94&lt;&gt;0,SSHIBY*W94,0)</f>
        <v>916.56240000000003</v>
      </c>
      <c r="BR94" s="462">
        <f>IF(AND(AT94&lt;&gt;0,AN94&lt;&gt;"NE"),VLOOKUP(AN94,Retirement_Rates,4,FALSE)*W94,0)</f>
        <v>7547.4172799999997</v>
      </c>
      <c r="BS94" s="462">
        <f>IF(AND(AT94&lt;&gt;0,AJ94&lt;&gt;"PF"),LifeBY*W94,0)</f>
        <v>455.75275199999999</v>
      </c>
      <c r="BT94" s="462">
        <f>IF(AND(AT94&lt;&gt;0,AM94="Y"),UIBY*W94,0)</f>
        <v>0</v>
      </c>
      <c r="BU94" s="462">
        <f>IF(AND(AT94&lt;&gt;0,N94&lt;&gt;"NR"),DHRBY*W94,0)</f>
        <v>350.19004799999999</v>
      </c>
      <c r="BV94" s="462">
        <f>IF(AT94&lt;&gt;0,WCBY*W94,0)</f>
        <v>107.45903999999999</v>
      </c>
      <c r="BW94" s="462">
        <f>IF(OR(AND(AT94&lt;&gt;0,AJ94&lt;&gt;"PF",AN94&lt;&gt;"NE",AG94&lt;&gt;"A"),AND(AL94="E",OR(AT94=1,AT94=3))),SickBY*W94,0)</f>
        <v>0</v>
      </c>
      <c r="BX94" s="462">
        <f t="shared" si="24"/>
        <v>13296.475919999999</v>
      </c>
      <c r="BY94" s="462">
        <f t="shared" si="25"/>
        <v>0</v>
      </c>
      <c r="BZ94" s="462">
        <f t="shared" si="26"/>
        <v>0</v>
      </c>
      <c r="CA94" s="462">
        <f t="shared" si="27"/>
        <v>0</v>
      </c>
      <c r="CB94" s="462">
        <f t="shared" si="28"/>
        <v>0</v>
      </c>
      <c r="CC94" s="462">
        <f>IF(AT94&lt;&gt;0,SSHICHG*Y94,0)</f>
        <v>0</v>
      </c>
      <c r="CD94" s="462">
        <f>IF(AND(AT94&lt;&gt;0,AN94&lt;&gt;"NE"),VLOOKUP(AN94,Retirement_Rates,5,FALSE)*Y94,0)</f>
        <v>0</v>
      </c>
      <c r="CE94" s="462">
        <f>IF(AND(AT94&lt;&gt;0,AJ94&lt;&gt;"PF"),LifeCHG*Y94,0)</f>
        <v>0</v>
      </c>
      <c r="CF94" s="462">
        <f>IF(AND(AT94&lt;&gt;0,AM94="Y"),UICHG*Y94,0)</f>
        <v>-309.73487999999998</v>
      </c>
      <c r="CG94" s="462">
        <f>IF(AND(AT94&lt;&gt;0,N94&lt;&gt;"NR"),DHRCHG*Y94,0)</f>
        <v>0</v>
      </c>
      <c r="CH94" s="462">
        <f>IF(AT94&lt;&gt;0,WCCHG*Y94,0)</f>
        <v>-18.963360000000009</v>
      </c>
      <c r="CI94" s="462">
        <f>IF(OR(AND(AT94&lt;&gt;0,AJ94&lt;&gt;"PF",AN94&lt;&gt;"NE",AG94&lt;&gt;"A"),AND(AL94="E",OR(AT94=1,AT94=3))),SickCHG*Y94,0)</f>
        <v>0</v>
      </c>
      <c r="CJ94" s="462">
        <f t="shared" si="29"/>
        <v>-328.69824</v>
      </c>
      <c r="CK94" s="462" t="str">
        <f t="shared" si="30"/>
        <v/>
      </c>
      <c r="CL94" s="462" t="str">
        <f t="shared" si="31"/>
        <v/>
      </c>
      <c r="CM94" s="462" t="str">
        <f t="shared" si="32"/>
        <v/>
      </c>
      <c r="CN94" s="462" t="str">
        <f t="shared" si="33"/>
        <v>0450-38</v>
      </c>
    </row>
    <row r="95" spans="1:92" ht="15" thickBot="1" x14ac:dyDescent="0.35">
      <c r="A95" s="376" t="s">
        <v>161</v>
      </c>
      <c r="B95" s="376" t="s">
        <v>162</v>
      </c>
      <c r="C95" s="376" t="s">
        <v>560</v>
      </c>
      <c r="D95" s="376" t="s">
        <v>313</v>
      </c>
      <c r="E95" s="376" t="s">
        <v>314</v>
      </c>
      <c r="F95" s="382" t="s">
        <v>406</v>
      </c>
      <c r="G95" s="376" t="s">
        <v>167</v>
      </c>
      <c r="H95" s="378"/>
      <c r="I95" s="378"/>
      <c r="J95" s="376" t="s">
        <v>168</v>
      </c>
      <c r="K95" s="376" t="s">
        <v>316</v>
      </c>
      <c r="L95" s="376" t="s">
        <v>216</v>
      </c>
      <c r="M95" s="376" t="s">
        <v>171</v>
      </c>
      <c r="N95" s="376" t="s">
        <v>172</v>
      </c>
      <c r="O95" s="379">
        <v>1</v>
      </c>
      <c r="P95" s="460">
        <v>1</v>
      </c>
      <c r="Q95" s="460">
        <v>1</v>
      </c>
      <c r="R95" s="380">
        <v>80</v>
      </c>
      <c r="S95" s="460">
        <v>1</v>
      </c>
      <c r="T95" s="380">
        <v>64348.800000000003</v>
      </c>
      <c r="U95" s="380">
        <v>0</v>
      </c>
      <c r="V95" s="380">
        <v>26157.73</v>
      </c>
      <c r="W95" s="380">
        <v>66747.199999999997</v>
      </c>
      <c r="X95" s="380">
        <v>26037.32</v>
      </c>
      <c r="Y95" s="380">
        <v>66747.199999999997</v>
      </c>
      <c r="Z95" s="380">
        <v>25690.240000000002</v>
      </c>
      <c r="AA95" s="376" t="s">
        <v>561</v>
      </c>
      <c r="AB95" s="376" t="s">
        <v>562</v>
      </c>
      <c r="AC95" s="376" t="s">
        <v>563</v>
      </c>
      <c r="AD95" s="376" t="s">
        <v>334</v>
      </c>
      <c r="AE95" s="376" t="s">
        <v>316</v>
      </c>
      <c r="AF95" s="376" t="s">
        <v>311</v>
      </c>
      <c r="AG95" s="376" t="s">
        <v>178</v>
      </c>
      <c r="AH95" s="381">
        <v>32.090000000000003</v>
      </c>
      <c r="AI95" s="381">
        <v>2089.5</v>
      </c>
      <c r="AJ95" s="376" t="s">
        <v>179</v>
      </c>
      <c r="AK95" s="376" t="s">
        <v>180</v>
      </c>
      <c r="AL95" s="376" t="s">
        <v>181</v>
      </c>
      <c r="AM95" s="376" t="s">
        <v>182</v>
      </c>
      <c r="AN95" s="376" t="s">
        <v>68</v>
      </c>
      <c r="AO95" s="379">
        <v>80</v>
      </c>
      <c r="AP95" s="460">
        <v>1</v>
      </c>
      <c r="AQ95" s="460">
        <v>1</v>
      </c>
      <c r="AR95" s="458" t="s">
        <v>183</v>
      </c>
      <c r="AS95" s="462">
        <f t="shared" si="17"/>
        <v>1</v>
      </c>
      <c r="AT95">
        <f t="shared" si="18"/>
        <v>1</v>
      </c>
      <c r="AU95" s="462">
        <f>IF(AT95=0,"",IF(AND(AT95=1,M95="F",SUMIF(C2:C170,C95,AS2:AS170)&lt;=1),SUMIF(C2:C170,C95,AS2:AS170),IF(AND(AT95=1,M95="F",SUMIF(C2:C170,C95,AS2:AS170)&gt;1),1,"")))</f>
        <v>1</v>
      </c>
      <c r="AV95" s="462" t="str">
        <f>IF(AT95=0,"",IF(AND(AT95=3,M95="F",SUMIF(C2:C170,C95,AS2:AS170)&lt;=1),SUMIF(C2:C170,C95,AS2:AS170),IF(AND(AT95=3,M95="F",SUMIF(C2:C170,C95,AS2:AS170)&gt;1),1,"")))</f>
        <v/>
      </c>
      <c r="AW95" s="462">
        <f>SUMIF(C2:C170,C95,O2:O170)</f>
        <v>1</v>
      </c>
      <c r="AX95" s="462">
        <f>IF(AND(M95="F",AS95&lt;&gt;0),SUMIF(C2:C170,C95,W2:W170),0)</f>
        <v>66747.199999999997</v>
      </c>
      <c r="AY95" s="462">
        <f t="shared" si="19"/>
        <v>66747.199999999997</v>
      </c>
      <c r="AZ95" s="462" t="str">
        <f t="shared" si="20"/>
        <v/>
      </c>
      <c r="BA95" s="462">
        <f t="shared" si="21"/>
        <v>0</v>
      </c>
      <c r="BB95" s="462">
        <f>IF(AND(AT95=1,AK95="E",AU95&gt;=0.75,AW95=1),Health,IF(AND(AT95=1,AK95="E",AU95&gt;=0.75),Health*P95,IF(AND(AT95=1,AK95="E",AU95&gt;=0.5,AW95=1),PTHealth,IF(AND(AT95=1,AK95="E",AU95&gt;=0.5),PTHealth*P95,0))))</f>
        <v>11650</v>
      </c>
      <c r="BC95" s="462">
        <f>IF(AND(AT95=3,AK95="E",AV95&gt;=0.75,AW95=1),Health,IF(AND(AT95=3,AK95="E",AV95&gt;=0.75),Health*P95,IF(AND(AT95=3,AK95="E",AV95&gt;=0.5,AW95=1),PTHealth,IF(AND(AT95=3,AK95="E",AV95&gt;=0.5),PTHealth*P95,0))))</f>
        <v>0</v>
      </c>
      <c r="BD95" s="462">
        <f>IF(AND(AT95&lt;&gt;0,AX95&gt;=MAXSSDI),SSDI*MAXSSDI*P95,IF(AT95&lt;&gt;0,SSDI*W95,0))</f>
        <v>4138.3263999999999</v>
      </c>
      <c r="BE95" s="462">
        <f>IF(AT95&lt;&gt;0,SSHI*W95,0)</f>
        <v>967.83439999999996</v>
      </c>
      <c r="BF95" s="462">
        <f>IF(AND(AT95&lt;&gt;0,AN95&lt;&gt;"NE"),VLOOKUP(AN95,Retirement_Rates,3,FALSE)*W95,0)</f>
        <v>7969.6156799999999</v>
      </c>
      <c r="BG95" s="462">
        <f>IF(AND(AT95&lt;&gt;0,AJ95&lt;&gt;"PF"),Life*W95,0)</f>
        <v>481.24731200000002</v>
      </c>
      <c r="BH95" s="462">
        <f>IF(AND(AT95&lt;&gt;0,AM95="Y"),UI*W95,0)</f>
        <v>327.06127999999995</v>
      </c>
      <c r="BI95" s="462">
        <f>IF(AND(AT95&lt;&gt;0,N95&lt;&gt;"NR"),DHR*W95,0)</f>
        <v>369.77948799999996</v>
      </c>
      <c r="BJ95" s="462">
        <f>IF(AT95&lt;&gt;0,WC*W95,0)</f>
        <v>133.49439999999998</v>
      </c>
      <c r="BK95" s="462">
        <f>IF(OR(AND(AT95&lt;&gt;0,AJ95&lt;&gt;"PF",AN95&lt;&gt;"NE",AG95&lt;&gt;"A"),AND(AL95="E",OR(AT95=1,AT95=3))),Sick*W95,0)</f>
        <v>0</v>
      </c>
      <c r="BL95" s="462">
        <f t="shared" si="22"/>
        <v>14387.35896</v>
      </c>
      <c r="BM95" s="462">
        <f t="shared" si="23"/>
        <v>0</v>
      </c>
      <c r="BN95" s="462">
        <f>IF(AND(AT95=1,AK95="E",AU95&gt;=0.75,AW95=1),HealthBY,IF(AND(AT95=1,AK95="E",AU95&gt;=0.75),HealthBY*P95,IF(AND(AT95=1,AK95="E",AU95&gt;=0.5,AW95=1),PTHealthBY,IF(AND(AT95=1,AK95="E",AU95&gt;=0.5),PTHealthBY*P95,0))))</f>
        <v>11650</v>
      </c>
      <c r="BO95" s="462">
        <f>IF(AND(AT95=3,AK95="E",AV95&gt;=0.75,AW95=1),HealthBY,IF(AND(AT95=3,AK95="E",AV95&gt;=0.75),HealthBY*P95,IF(AND(AT95=3,AK95="E",AV95&gt;=0.5,AW95=1),PTHealthBY,IF(AND(AT95=3,AK95="E",AV95&gt;=0.5),PTHealthBY*P95,0))))</f>
        <v>0</v>
      </c>
      <c r="BP95" s="462">
        <f>IF(AND(AT95&lt;&gt;0,(AX95+BA95)&gt;=MAXSSDIBY),SSDIBY*MAXSSDIBY*P95,IF(AT95&lt;&gt;0,SSDIBY*W95,0))</f>
        <v>4138.3263999999999</v>
      </c>
      <c r="BQ95" s="462">
        <f>IF(AT95&lt;&gt;0,SSHIBY*W95,0)</f>
        <v>967.83439999999996</v>
      </c>
      <c r="BR95" s="462">
        <f>IF(AND(AT95&lt;&gt;0,AN95&lt;&gt;"NE"),VLOOKUP(AN95,Retirement_Rates,4,FALSE)*W95,0)</f>
        <v>7969.6156799999999</v>
      </c>
      <c r="BS95" s="462">
        <f>IF(AND(AT95&lt;&gt;0,AJ95&lt;&gt;"PF"),LifeBY*W95,0)</f>
        <v>481.24731200000002</v>
      </c>
      <c r="BT95" s="462">
        <f>IF(AND(AT95&lt;&gt;0,AM95="Y"),UIBY*W95,0)</f>
        <v>0</v>
      </c>
      <c r="BU95" s="462">
        <f>IF(AND(AT95&lt;&gt;0,N95&lt;&gt;"NR"),DHRBY*W95,0)</f>
        <v>369.77948799999996</v>
      </c>
      <c r="BV95" s="462">
        <f>IF(AT95&lt;&gt;0,WCBY*W95,0)</f>
        <v>113.47023999999999</v>
      </c>
      <c r="BW95" s="462">
        <f>IF(OR(AND(AT95&lt;&gt;0,AJ95&lt;&gt;"PF",AN95&lt;&gt;"NE",AG95&lt;&gt;"A"),AND(AL95="E",OR(AT95=1,AT95=3))),SickBY*W95,0)</f>
        <v>0</v>
      </c>
      <c r="BX95" s="462">
        <f t="shared" si="24"/>
        <v>14040.273520000001</v>
      </c>
      <c r="BY95" s="462">
        <f t="shared" si="25"/>
        <v>0</v>
      </c>
      <c r="BZ95" s="462">
        <f t="shared" si="26"/>
        <v>0</v>
      </c>
      <c r="CA95" s="462">
        <f t="shared" si="27"/>
        <v>0</v>
      </c>
      <c r="CB95" s="462">
        <f t="shared" si="28"/>
        <v>0</v>
      </c>
      <c r="CC95" s="462">
        <f>IF(AT95&lt;&gt;0,SSHICHG*Y95,0)</f>
        <v>0</v>
      </c>
      <c r="CD95" s="462">
        <f>IF(AND(AT95&lt;&gt;0,AN95&lt;&gt;"NE"),VLOOKUP(AN95,Retirement_Rates,5,FALSE)*Y95,0)</f>
        <v>0</v>
      </c>
      <c r="CE95" s="462">
        <f>IF(AND(AT95&lt;&gt;0,AJ95&lt;&gt;"PF"),LifeCHG*Y95,0)</f>
        <v>0</v>
      </c>
      <c r="CF95" s="462">
        <f>IF(AND(AT95&lt;&gt;0,AM95="Y"),UICHG*Y95,0)</f>
        <v>-327.06127999999995</v>
      </c>
      <c r="CG95" s="462">
        <f>IF(AND(AT95&lt;&gt;0,N95&lt;&gt;"NR"),DHRCHG*Y95,0)</f>
        <v>0</v>
      </c>
      <c r="CH95" s="462">
        <f>IF(AT95&lt;&gt;0,WCCHG*Y95,0)</f>
        <v>-20.024160000000009</v>
      </c>
      <c r="CI95" s="462">
        <f>IF(OR(AND(AT95&lt;&gt;0,AJ95&lt;&gt;"PF",AN95&lt;&gt;"NE",AG95&lt;&gt;"A"),AND(AL95="E",OR(AT95=1,AT95=3))),SickCHG*Y95,0)</f>
        <v>0</v>
      </c>
      <c r="CJ95" s="462">
        <f t="shared" si="29"/>
        <v>-347.08543999999995</v>
      </c>
      <c r="CK95" s="462" t="str">
        <f t="shared" si="30"/>
        <v/>
      </c>
      <c r="CL95" s="462" t="str">
        <f t="shared" si="31"/>
        <v/>
      </c>
      <c r="CM95" s="462" t="str">
        <f t="shared" si="32"/>
        <v/>
      </c>
      <c r="CN95" s="462" t="str">
        <f t="shared" si="33"/>
        <v>0450-38</v>
      </c>
    </row>
    <row r="96" spans="1:92" ht="15" thickBot="1" x14ac:dyDescent="0.35">
      <c r="A96" s="376" t="s">
        <v>161</v>
      </c>
      <c r="B96" s="376" t="s">
        <v>162</v>
      </c>
      <c r="C96" s="376" t="s">
        <v>564</v>
      </c>
      <c r="D96" s="376" t="s">
        <v>313</v>
      </c>
      <c r="E96" s="376" t="s">
        <v>314</v>
      </c>
      <c r="F96" s="382" t="s">
        <v>406</v>
      </c>
      <c r="G96" s="376" t="s">
        <v>167</v>
      </c>
      <c r="H96" s="378"/>
      <c r="I96" s="378"/>
      <c r="J96" s="376" t="s">
        <v>168</v>
      </c>
      <c r="K96" s="376" t="s">
        <v>316</v>
      </c>
      <c r="L96" s="376" t="s">
        <v>216</v>
      </c>
      <c r="M96" s="376" t="s">
        <v>171</v>
      </c>
      <c r="N96" s="376" t="s">
        <v>172</v>
      </c>
      <c r="O96" s="379">
        <v>1</v>
      </c>
      <c r="P96" s="460">
        <v>1</v>
      </c>
      <c r="Q96" s="460">
        <v>1</v>
      </c>
      <c r="R96" s="380">
        <v>80</v>
      </c>
      <c r="S96" s="460">
        <v>1</v>
      </c>
      <c r="T96" s="380">
        <v>70565.34</v>
      </c>
      <c r="U96" s="380">
        <v>0</v>
      </c>
      <c r="V96" s="380">
        <v>26051.599999999999</v>
      </c>
      <c r="W96" s="380">
        <v>71739.199999999997</v>
      </c>
      <c r="X96" s="380">
        <v>27113.35</v>
      </c>
      <c r="Y96" s="380">
        <v>71739.199999999997</v>
      </c>
      <c r="Z96" s="380">
        <v>26740.31</v>
      </c>
      <c r="AA96" s="376" t="s">
        <v>565</v>
      </c>
      <c r="AB96" s="376" t="s">
        <v>566</v>
      </c>
      <c r="AC96" s="376" t="s">
        <v>567</v>
      </c>
      <c r="AD96" s="376" t="s">
        <v>568</v>
      </c>
      <c r="AE96" s="376" t="s">
        <v>316</v>
      </c>
      <c r="AF96" s="376" t="s">
        <v>311</v>
      </c>
      <c r="AG96" s="376" t="s">
        <v>178</v>
      </c>
      <c r="AH96" s="381">
        <v>34.49</v>
      </c>
      <c r="AI96" s="381">
        <v>48693.599999999999</v>
      </c>
      <c r="AJ96" s="376" t="s">
        <v>179</v>
      </c>
      <c r="AK96" s="376" t="s">
        <v>180</v>
      </c>
      <c r="AL96" s="376" t="s">
        <v>181</v>
      </c>
      <c r="AM96" s="376" t="s">
        <v>182</v>
      </c>
      <c r="AN96" s="376" t="s">
        <v>68</v>
      </c>
      <c r="AO96" s="379">
        <v>80</v>
      </c>
      <c r="AP96" s="460">
        <v>1</v>
      </c>
      <c r="AQ96" s="460">
        <v>1</v>
      </c>
      <c r="AR96" s="458" t="s">
        <v>183</v>
      </c>
      <c r="AS96" s="462">
        <f t="shared" si="17"/>
        <v>1</v>
      </c>
      <c r="AT96">
        <f t="shared" si="18"/>
        <v>1</v>
      </c>
      <c r="AU96" s="462">
        <f>IF(AT96=0,"",IF(AND(AT96=1,M96="F",SUMIF(C2:C170,C96,AS2:AS170)&lt;=1),SUMIF(C2:C170,C96,AS2:AS170),IF(AND(AT96=1,M96="F",SUMIF(C2:C170,C96,AS2:AS170)&gt;1),1,"")))</f>
        <v>1</v>
      </c>
      <c r="AV96" s="462" t="str">
        <f>IF(AT96=0,"",IF(AND(AT96=3,M96="F",SUMIF(C2:C170,C96,AS2:AS170)&lt;=1),SUMIF(C2:C170,C96,AS2:AS170),IF(AND(AT96=3,M96="F",SUMIF(C2:C170,C96,AS2:AS170)&gt;1),1,"")))</f>
        <v/>
      </c>
      <c r="AW96" s="462">
        <f>SUMIF(C2:C170,C96,O2:O170)</f>
        <v>1</v>
      </c>
      <c r="AX96" s="462">
        <f>IF(AND(M96="F",AS96&lt;&gt;0),SUMIF(C2:C170,C96,W2:W170),0)</f>
        <v>71739.199999999997</v>
      </c>
      <c r="AY96" s="462">
        <f t="shared" si="19"/>
        <v>71739.199999999997</v>
      </c>
      <c r="AZ96" s="462" t="str">
        <f t="shared" si="20"/>
        <v/>
      </c>
      <c r="BA96" s="462">
        <f t="shared" si="21"/>
        <v>0</v>
      </c>
      <c r="BB96" s="462">
        <f>IF(AND(AT96=1,AK96="E",AU96&gt;=0.75,AW96=1),Health,IF(AND(AT96=1,AK96="E",AU96&gt;=0.75),Health*P96,IF(AND(AT96=1,AK96="E",AU96&gt;=0.5,AW96=1),PTHealth,IF(AND(AT96=1,AK96="E",AU96&gt;=0.5),PTHealth*P96,0))))</f>
        <v>11650</v>
      </c>
      <c r="BC96" s="462">
        <f>IF(AND(AT96=3,AK96="E",AV96&gt;=0.75,AW96=1),Health,IF(AND(AT96=3,AK96="E",AV96&gt;=0.75),Health*P96,IF(AND(AT96=3,AK96="E",AV96&gt;=0.5,AW96=1),PTHealth,IF(AND(AT96=3,AK96="E",AV96&gt;=0.5),PTHealth*P96,0))))</f>
        <v>0</v>
      </c>
      <c r="BD96" s="462">
        <f>IF(AND(AT96&lt;&gt;0,AX96&gt;=MAXSSDI),SSDI*MAXSSDI*P96,IF(AT96&lt;&gt;0,SSDI*W96,0))</f>
        <v>4447.8303999999998</v>
      </c>
      <c r="BE96" s="462">
        <f>IF(AT96&lt;&gt;0,SSHI*W96,0)</f>
        <v>1040.2184</v>
      </c>
      <c r="BF96" s="462">
        <f>IF(AND(AT96&lt;&gt;0,AN96&lt;&gt;"NE"),VLOOKUP(AN96,Retirement_Rates,3,FALSE)*W96,0)</f>
        <v>8565.6604800000005</v>
      </c>
      <c r="BG96" s="462">
        <f>IF(AND(AT96&lt;&gt;0,AJ96&lt;&gt;"PF"),Life*W96,0)</f>
        <v>517.23963200000003</v>
      </c>
      <c r="BH96" s="462">
        <f>IF(AND(AT96&lt;&gt;0,AM96="Y"),UI*W96,0)</f>
        <v>351.52207999999996</v>
      </c>
      <c r="BI96" s="462">
        <f>IF(AND(AT96&lt;&gt;0,N96&lt;&gt;"NR"),DHR*W96,0)</f>
        <v>397.43516799999998</v>
      </c>
      <c r="BJ96" s="462">
        <f>IF(AT96&lt;&gt;0,WC*W96,0)</f>
        <v>143.47839999999999</v>
      </c>
      <c r="BK96" s="462">
        <f>IF(OR(AND(AT96&lt;&gt;0,AJ96&lt;&gt;"PF",AN96&lt;&gt;"NE",AG96&lt;&gt;"A"),AND(AL96="E",OR(AT96=1,AT96=3))),Sick*W96,0)</f>
        <v>0</v>
      </c>
      <c r="BL96" s="462">
        <f t="shared" si="22"/>
        <v>15463.38456</v>
      </c>
      <c r="BM96" s="462">
        <f t="shared" si="23"/>
        <v>0</v>
      </c>
      <c r="BN96" s="462">
        <f>IF(AND(AT96=1,AK96="E",AU96&gt;=0.75,AW96=1),HealthBY,IF(AND(AT96=1,AK96="E",AU96&gt;=0.75),HealthBY*P96,IF(AND(AT96=1,AK96="E",AU96&gt;=0.5,AW96=1),PTHealthBY,IF(AND(AT96=1,AK96="E",AU96&gt;=0.5),PTHealthBY*P96,0))))</f>
        <v>11650</v>
      </c>
      <c r="BO96" s="462">
        <f>IF(AND(AT96=3,AK96="E",AV96&gt;=0.75,AW96=1),HealthBY,IF(AND(AT96=3,AK96="E",AV96&gt;=0.75),HealthBY*P96,IF(AND(AT96=3,AK96="E",AV96&gt;=0.5,AW96=1),PTHealthBY,IF(AND(AT96=3,AK96="E",AV96&gt;=0.5),PTHealthBY*P96,0))))</f>
        <v>0</v>
      </c>
      <c r="BP96" s="462">
        <f>IF(AND(AT96&lt;&gt;0,(AX96+BA96)&gt;=MAXSSDIBY),SSDIBY*MAXSSDIBY*P96,IF(AT96&lt;&gt;0,SSDIBY*W96,0))</f>
        <v>4447.8303999999998</v>
      </c>
      <c r="BQ96" s="462">
        <f>IF(AT96&lt;&gt;0,SSHIBY*W96,0)</f>
        <v>1040.2184</v>
      </c>
      <c r="BR96" s="462">
        <f>IF(AND(AT96&lt;&gt;0,AN96&lt;&gt;"NE"),VLOOKUP(AN96,Retirement_Rates,4,FALSE)*W96,0)</f>
        <v>8565.6604800000005</v>
      </c>
      <c r="BS96" s="462">
        <f>IF(AND(AT96&lt;&gt;0,AJ96&lt;&gt;"PF"),LifeBY*W96,0)</f>
        <v>517.23963200000003</v>
      </c>
      <c r="BT96" s="462">
        <f>IF(AND(AT96&lt;&gt;0,AM96="Y"),UIBY*W96,0)</f>
        <v>0</v>
      </c>
      <c r="BU96" s="462">
        <f>IF(AND(AT96&lt;&gt;0,N96&lt;&gt;"NR"),DHRBY*W96,0)</f>
        <v>397.43516799999998</v>
      </c>
      <c r="BV96" s="462">
        <f>IF(AT96&lt;&gt;0,WCBY*W96,0)</f>
        <v>121.95663999999999</v>
      </c>
      <c r="BW96" s="462">
        <f>IF(OR(AND(AT96&lt;&gt;0,AJ96&lt;&gt;"PF",AN96&lt;&gt;"NE",AG96&lt;&gt;"A"),AND(AL96="E",OR(AT96=1,AT96=3))),SickBY*W96,0)</f>
        <v>0</v>
      </c>
      <c r="BX96" s="462">
        <f t="shared" si="24"/>
        <v>15090.34072</v>
      </c>
      <c r="BY96" s="462">
        <f t="shared" si="25"/>
        <v>0</v>
      </c>
      <c r="BZ96" s="462">
        <f t="shared" si="26"/>
        <v>0</v>
      </c>
      <c r="CA96" s="462">
        <f t="shared" si="27"/>
        <v>0</v>
      </c>
      <c r="CB96" s="462">
        <f t="shared" si="28"/>
        <v>0</v>
      </c>
      <c r="CC96" s="462">
        <f>IF(AT96&lt;&gt;0,SSHICHG*Y96,0)</f>
        <v>0</v>
      </c>
      <c r="CD96" s="462">
        <f>IF(AND(AT96&lt;&gt;0,AN96&lt;&gt;"NE"),VLOOKUP(AN96,Retirement_Rates,5,FALSE)*Y96,0)</f>
        <v>0</v>
      </c>
      <c r="CE96" s="462">
        <f>IF(AND(AT96&lt;&gt;0,AJ96&lt;&gt;"PF"),LifeCHG*Y96,0)</f>
        <v>0</v>
      </c>
      <c r="CF96" s="462">
        <f>IF(AND(AT96&lt;&gt;0,AM96="Y"),UICHG*Y96,0)</f>
        <v>-351.52207999999996</v>
      </c>
      <c r="CG96" s="462">
        <f>IF(AND(AT96&lt;&gt;0,N96&lt;&gt;"NR"),DHRCHG*Y96,0)</f>
        <v>0</v>
      </c>
      <c r="CH96" s="462">
        <f>IF(AT96&lt;&gt;0,WCCHG*Y96,0)</f>
        <v>-21.521760000000008</v>
      </c>
      <c r="CI96" s="462">
        <f>IF(OR(AND(AT96&lt;&gt;0,AJ96&lt;&gt;"PF",AN96&lt;&gt;"NE",AG96&lt;&gt;"A"),AND(AL96="E",OR(AT96=1,AT96=3))),SickCHG*Y96,0)</f>
        <v>0</v>
      </c>
      <c r="CJ96" s="462">
        <f t="shared" si="29"/>
        <v>-373.04383999999999</v>
      </c>
      <c r="CK96" s="462" t="str">
        <f t="shared" si="30"/>
        <v/>
      </c>
      <c r="CL96" s="462" t="str">
        <f t="shared" si="31"/>
        <v/>
      </c>
      <c r="CM96" s="462" t="str">
        <f t="shared" si="32"/>
        <v/>
      </c>
      <c r="CN96" s="462" t="str">
        <f t="shared" si="33"/>
        <v>0450-38</v>
      </c>
    </row>
    <row r="97" spans="1:92" ht="15" thickBot="1" x14ac:dyDescent="0.35">
      <c r="A97" s="376" t="s">
        <v>161</v>
      </c>
      <c r="B97" s="376" t="s">
        <v>162</v>
      </c>
      <c r="C97" s="376" t="s">
        <v>569</v>
      </c>
      <c r="D97" s="376" t="s">
        <v>570</v>
      </c>
      <c r="E97" s="376" t="s">
        <v>314</v>
      </c>
      <c r="F97" s="382" t="s">
        <v>406</v>
      </c>
      <c r="G97" s="376" t="s">
        <v>167</v>
      </c>
      <c r="H97" s="378"/>
      <c r="I97" s="378"/>
      <c r="J97" s="376" t="s">
        <v>168</v>
      </c>
      <c r="K97" s="376" t="s">
        <v>571</v>
      </c>
      <c r="L97" s="376" t="s">
        <v>181</v>
      </c>
      <c r="M97" s="376" t="s">
        <v>171</v>
      </c>
      <c r="N97" s="376" t="s">
        <v>172</v>
      </c>
      <c r="O97" s="379">
        <v>1</v>
      </c>
      <c r="P97" s="460">
        <v>1</v>
      </c>
      <c r="Q97" s="460">
        <v>1</v>
      </c>
      <c r="R97" s="380">
        <v>80</v>
      </c>
      <c r="S97" s="460">
        <v>1</v>
      </c>
      <c r="T97" s="380">
        <v>76692.600000000006</v>
      </c>
      <c r="U97" s="380">
        <v>0</v>
      </c>
      <c r="V97" s="380">
        <v>27700.83</v>
      </c>
      <c r="W97" s="380">
        <v>79560</v>
      </c>
      <c r="X97" s="380">
        <v>28799.14</v>
      </c>
      <c r="Y97" s="380">
        <v>79560</v>
      </c>
      <c r="Z97" s="380">
        <v>28385.43</v>
      </c>
      <c r="AA97" s="376" t="s">
        <v>572</v>
      </c>
      <c r="AB97" s="376" t="s">
        <v>573</v>
      </c>
      <c r="AC97" s="376" t="s">
        <v>574</v>
      </c>
      <c r="AD97" s="376" t="s">
        <v>220</v>
      </c>
      <c r="AE97" s="376" t="s">
        <v>571</v>
      </c>
      <c r="AF97" s="376" t="s">
        <v>349</v>
      </c>
      <c r="AG97" s="376" t="s">
        <v>178</v>
      </c>
      <c r="AH97" s="381">
        <v>38.25</v>
      </c>
      <c r="AI97" s="381">
        <v>5795.5</v>
      </c>
      <c r="AJ97" s="376" t="s">
        <v>179</v>
      </c>
      <c r="AK97" s="376" t="s">
        <v>180</v>
      </c>
      <c r="AL97" s="376" t="s">
        <v>181</v>
      </c>
      <c r="AM97" s="376" t="s">
        <v>182</v>
      </c>
      <c r="AN97" s="376" t="s">
        <v>68</v>
      </c>
      <c r="AO97" s="379">
        <v>80</v>
      </c>
      <c r="AP97" s="460">
        <v>1</v>
      </c>
      <c r="AQ97" s="460">
        <v>1</v>
      </c>
      <c r="AR97" s="458" t="s">
        <v>183</v>
      </c>
      <c r="AS97" s="462">
        <f t="shared" si="17"/>
        <v>1</v>
      </c>
      <c r="AT97">
        <f t="shared" si="18"/>
        <v>1</v>
      </c>
      <c r="AU97" s="462">
        <f>IF(AT97=0,"",IF(AND(AT97=1,M97="F",SUMIF(C2:C170,C97,AS2:AS170)&lt;=1),SUMIF(C2:C170,C97,AS2:AS170),IF(AND(AT97=1,M97="F",SUMIF(C2:C170,C97,AS2:AS170)&gt;1),1,"")))</f>
        <v>1</v>
      </c>
      <c r="AV97" s="462" t="str">
        <f>IF(AT97=0,"",IF(AND(AT97=3,M97="F",SUMIF(C2:C170,C97,AS2:AS170)&lt;=1),SUMIF(C2:C170,C97,AS2:AS170),IF(AND(AT97=3,M97="F",SUMIF(C2:C170,C97,AS2:AS170)&gt;1),1,"")))</f>
        <v/>
      </c>
      <c r="AW97" s="462">
        <f>SUMIF(C2:C170,C97,O2:O170)</f>
        <v>1</v>
      </c>
      <c r="AX97" s="462">
        <f>IF(AND(M97="F",AS97&lt;&gt;0),SUMIF(C2:C170,C97,W2:W170),0)</f>
        <v>79560</v>
      </c>
      <c r="AY97" s="462">
        <f t="shared" si="19"/>
        <v>79560</v>
      </c>
      <c r="AZ97" s="462" t="str">
        <f t="shared" si="20"/>
        <v/>
      </c>
      <c r="BA97" s="462">
        <f t="shared" si="21"/>
        <v>0</v>
      </c>
      <c r="BB97" s="462">
        <f>IF(AND(AT97=1,AK97="E",AU97&gt;=0.75,AW97=1),Health,IF(AND(AT97=1,AK97="E",AU97&gt;=0.75),Health*P97,IF(AND(AT97=1,AK97="E",AU97&gt;=0.5,AW97=1),PTHealth,IF(AND(AT97=1,AK97="E",AU97&gt;=0.5),PTHealth*P97,0))))</f>
        <v>11650</v>
      </c>
      <c r="BC97" s="462">
        <f>IF(AND(AT97=3,AK97="E",AV97&gt;=0.75,AW97=1),Health,IF(AND(AT97=3,AK97="E",AV97&gt;=0.75),Health*P97,IF(AND(AT97=3,AK97="E",AV97&gt;=0.5,AW97=1),PTHealth,IF(AND(AT97=3,AK97="E",AV97&gt;=0.5),PTHealth*P97,0))))</f>
        <v>0</v>
      </c>
      <c r="BD97" s="462">
        <f>IF(AND(AT97&lt;&gt;0,AX97&gt;=MAXSSDI),SSDI*MAXSSDI*P97,IF(AT97&lt;&gt;0,SSDI*W97,0))</f>
        <v>4932.72</v>
      </c>
      <c r="BE97" s="462">
        <f>IF(AT97&lt;&gt;0,SSHI*W97,0)</f>
        <v>1153.6200000000001</v>
      </c>
      <c r="BF97" s="462">
        <f>IF(AND(AT97&lt;&gt;0,AN97&lt;&gt;"NE"),VLOOKUP(AN97,Retirement_Rates,3,FALSE)*W97,0)</f>
        <v>9499.4639999999999</v>
      </c>
      <c r="BG97" s="462">
        <f>IF(AND(AT97&lt;&gt;0,AJ97&lt;&gt;"PF"),Life*W97,0)</f>
        <v>573.62760000000003</v>
      </c>
      <c r="BH97" s="462">
        <f>IF(AND(AT97&lt;&gt;0,AM97="Y"),UI*W97,0)</f>
        <v>389.84399999999999</v>
      </c>
      <c r="BI97" s="462">
        <f>IF(AND(AT97&lt;&gt;0,N97&lt;&gt;"NR"),DHR*W97,0)</f>
        <v>440.76239999999996</v>
      </c>
      <c r="BJ97" s="462">
        <f>IF(AT97&lt;&gt;0,WC*W97,0)</f>
        <v>159.12</v>
      </c>
      <c r="BK97" s="462">
        <f>IF(OR(AND(AT97&lt;&gt;0,AJ97&lt;&gt;"PF",AN97&lt;&gt;"NE",AG97&lt;&gt;"A"),AND(AL97="E",OR(AT97=1,AT97=3))),Sick*W97,0)</f>
        <v>0</v>
      </c>
      <c r="BL97" s="462">
        <f t="shared" si="22"/>
        <v>17149.157999999999</v>
      </c>
      <c r="BM97" s="462">
        <f t="shared" si="23"/>
        <v>0</v>
      </c>
      <c r="BN97" s="462">
        <f>IF(AND(AT97=1,AK97="E",AU97&gt;=0.75,AW97=1),HealthBY,IF(AND(AT97=1,AK97="E",AU97&gt;=0.75),HealthBY*P97,IF(AND(AT97=1,AK97="E",AU97&gt;=0.5,AW97=1),PTHealthBY,IF(AND(AT97=1,AK97="E",AU97&gt;=0.5),PTHealthBY*P97,0))))</f>
        <v>11650</v>
      </c>
      <c r="BO97" s="462">
        <f>IF(AND(AT97=3,AK97="E",AV97&gt;=0.75,AW97=1),HealthBY,IF(AND(AT97=3,AK97="E",AV97&gt;=0.75),HealthBY*P97,IF(AND(AT97=3,AK97="E",AV97&gt;=0.5,AW97=1),PTHealthBY,IF(AND(AT97=3,AK97="E",AV97&gt;=0.5),PTHealthBY*P97,0))))</f>
        <v>0</v>
      </c>
      <c r="BP97" s="462">
        <f>IF(AND(AT97&lt;&gt;0,(AX97+BA97)&gt;=MAXSSDIBY),SSDIBY*MAXSSDIBY*P97,IF(AT97&lt;&gt;0,SSDIBY*W97,0))</f>
        <v>4932.72</v>
      </c>
      <c r="BQ97" s="462">
        <f>IF(AT97&lt;&gt;0,SSHIBY*W97,0)</f>
        <v>1153.6200000000001</v>
      </c>
      <c r="BR97" s="462">
        <f>IF(AND(AT97&lt;&gt;0,AN97&lt;&gt;"NE"),VLOOKUP(AN97,Retirement_Rates,4,FALSE)*W97,0)</f>
        <v>9499.4639999999999</v>
      </c>
      <c r="BS97" s="462">
        <f>IF(AND(AT97&lt;&gt;0,AJ97&lt;&gt;"PF"),LifeBY*W97,0)</f>
        <v>573.62760000000003</v>
      </c>
      <c r="BT97" s="462">
        <f>IF(AND(AT97&lt;&gt;0,AM97="Y"),UIBY*W97,0)</f>
        <v>0</v>
      </c>
      <c r="BU97" s="462">
        <f>IF(AND(AT97&lt;&gt;0,N97&lt;&gt;"NR"),DHRBY*W97,0)</f>
        <v>440.76239999999996</v>
      </c>
      <c r="BV97" s="462">
        <f>IF(AT97&lt;&gt;0,WCBY*W97,0)</f>
        <v>135.25199999999998</v>
      </c>
      <c r="BW97" s="462">
        <f>IF(OR(AND(AT97&lt;&gt;0,AJ97&lt;&gt;"PF",AN97&lt;&gt;"NE",AG97&lt;&gt;"A"),AND(AL97="E",OR(AT97=1,AT97=3))),SickBY*W97,0)</f>
        <v>0</v>
      </c>
      <c r="BX97" s="462">
        <f t="shared" si="24"/>
        <v>16735.446</v>
      </c>
      <c r="BY97" s="462">
        <f t="shared" si="25"/>
        <v>0</v>
      </c>
      <c r="BZ97" s="462">
        <f t="shared" si="26"/>
        <v>0</v>
      </c>
      <c r="CA97" s="462">
        <f t="shared" si="27"/>
        <v>0</v>
      </c>
      <c r="CB97" s="462">
        <f t="shared" si="28"/>
        <v>0</v>
      </c>
      <c r="CC97" s="462">
        <f>IF(AT97&lt;&gt;0,SSHICHG*Y97,0)</f>
        <v>0</v>
      </c>
      <c r="CD97" s="462">
        <f>IF(AND(AT97&lt;&gt;0,AN97&lt;&gt;"NE"),VLOOKUP(AN97,Retirement_Rates,5,FALSE)*Y97,0)</f>
        <v>0</v>
      </c>
      <c r="CE97" s="462">
        <f>IF(AND(AT97&lt;&gt;0,AJ97&lt;&gt;"PF"),LifeCHG*Y97,0)</f>
        <v>0</v>
      </c>
      <c r="CF97" s="462">
        <f>IF(AND(AT97&lt;&gt;0,AM97="Y"),UICHG*Y97,0)</f>
        <v>-389.84399999999999</v>
      </c>
      <c r="CG97" s="462">
        <f>IF(AND(AT97&lt;&gt;0,N97&lt;&gt;"NR"),DHRCHG*Y97,0)</f>
        <v>0</v>
      </c>
      <c r="CH97" s="462">
        <f>IF(AT97&lt;&gt;0,WCCHG*Y97,0)</f>
        <v>-23.868000000000009</v>
      </c>
      <c r="CI97" s="462">
        <f>IF(OR(AND(AT97&lt;&gt;0,AJ97&lt;&gt;"PF",AN97&lt;&gt;"NE",AG97&lt;&gt;"A"),AND(AL97="E",OR(AT97=1,AT97=3))),SickCHG*Y97,0)</f>
        <v>0</v>
      </c>
      <c r="CJ97" s="462">
        <f t="shared" si="29"/>
        <v>-413.71199999999999</v>
      </c>
      <c r="CK97" s="462" t="str">
        <f t="shared" si="30"/>
        <v/>
      </c>
      <c r="CL97" s="462" t="str">
        <f t="shared" si="31"/>
        <v/>
      </c>
      <c r="CM97" s="462" t="str">
        <f t="shared" si="32"/>
        <v/>
      </c>
      <c r="CN97" s="462" t="str">
        <f t="shared" si="33"/>
        <v>0450-38</v>
      </c>
    </row>
    <row r="98" spans="1:92" ht="15" thickBot="1" x14ac:dyDescent="0.35">
      <c r="A98" s="376" t="s">
        <v>161</v>
      </c>
      <c r="B98" s="376" t="s">
        <v>162</v>
      </c>
      <c r="C98" s="376" t="s">
        <v>575</v>
      </c>
      <c r="D98" s="376" t="s">
        <v>313</v>
      </c>
      <c r="E98" s="376" t="s">
        <v>314</v>
      </c>
      <c r="F98" s="382" t="s">
        <v>406</v>
      </c>
      <c r="G98" s="376" t="s">
        <v>167</v>
      </c>
      <c r="H98" s="378"/>
      <c r="I98" s="378"/>
      <c r="J98" s="376" t="s">
        <v>168</v>
      </c>
      <c r="K98" s="376" t="s">
        <v>344</v>
      </c>
      <c r="L98" s="376" t="s">
        <v>181</v>
      </c>
      <c r="M98" s="376" t="s">
        <v>171</v>
      </c>
      <c r="N98" s="376" t="s">
        <v>172</v>
      </c>
      <c r="O98" s="379">
        <v>1</v>
      </c>
      <c r="P98" s="460">
        <v>1</v>
      </c>
      <c r="Q98" s="460">
        <v>1</v>
      </c>
      <c r="R98" s="380">
        <v>80</v>
      </c>
      <c r="S98" s="460">
        <v>1</v>
      </c>
      <c r="T98" s="380">
        <v>60434.42</v>
      </c>
      <c r="U98" s="380">
        <v>0</v>
      </c>
      <c r="V98" s="380">
        <v>21070.14</v>
      </c>
      <c r="W98" s="380">
        <v>83283.199999999997</v>
      </c>
      <c r="X98" s="380">
        <v>29601.65</v>
      </c>
      <c r="Y98" s="380">
        <v>83283.199999999997</v>
      </c>
      <c r="Z98" s="380">
        <v>29168.59</v>
      </c>
      <c r="AA98" s="376" t="s">
        <v>576</v>
      </c>
      <c r="AB98" s="376" t="s">
        <v>550</v>
      </c>
      <c r="AC98" s="376" t="s">
        <v>577</v>
      </c>
      <c r="AD98" s="376" t="s">
        <v>270</v>
      </c>
      <c r="AE98" s="376" t="s">
        <v>344</v>
      </c>
      <c r="AF98" s="376" t="s">
        <v>349</v>
      </c>
      <c r="AG98" s="376" t="s">
        <v>178</v>
      </c>
      <c r="AH98" s="381">
        <v>40.04</v>
      </c>
      <c r="AI98" s="381">
        <v>17347.5</v>
      </c>
      <c r="AJ98" s="376" t="s">
        <v>179</v>
      </c>
      <c r="AK98" s="376" t="s">
        <v>180</v>
      </c>
      <c r="AL98" s="376" t="s">
        <v>181</v>
      </c>
      <c r="AM98" s="376" t="s">
        <v>182</v>
      </c>
      <c r="AN98" s="376" t="s">
        <v>68</v>
      </c>
      <c r="AO98" s="379">
        <v>80</v>
      </c>
      <c r="AP98" s="460">
        <v>1</v>
      </c>
      <c r="AQ98" s="460">
        <v>1</v>
      </c>
      <c r="AR98" s="458" t="s">
        <v>183</v>
      </c>
      <c r="AS98" s="462">
        <f t="shared" si="17"/>
        <v>1</v>
      </c>
      <c r="AT98">
        <f t="shared" si="18"/>
        <v>1</v>
      </c>
      <c r="AU98" s="462">
        <f>IF(AT98=0,"",IF(AND(AT98=1,M98="F",SUMIF(C2:C170,C98,AS2:AS170)&lt;=1),SUMIF(C2:C170,C98,AS2:AS170),IF(AND(AT98=1,M98="F",SUMIF(C2:C170,C98,AS2:AS170)&gt;1),1,"")))</f>
        <v>1</v>
      </c>
      <c r="AV98" s="462" t="str">
        <f>IF(AT98=0,"",IF(AND(AT98=3,M98="F",SUMIF(C2:C170,C98,AS2:AS170)&lt;=1),SUMIF(C2:C170,C98,AS2:AS170),IF(AND(AT98=3,M98="F",SUMIF(C2:C170,C98,AS2:AS170)&gt;1),1,"")))</f>
        <v/>
      </c>
      <c r="AW98" s="462">
        <f>SUMIF(C2:C170,C98,O2:O170)</f>
        <v>1</v>
      </c>
      <c r="AX98" s="462">
        <f>IF(AND(M98="F",AS98&lt;&gt;0),SUMIF(C2:C170,C98,W2:W170),0)</f>
        <v>83283.199999999997</v>
      </c>
      <c r="AY98" s="462">
        <f t="shared" si="19"/>
        <v>83283.199999999997</v>
      </c>
      <c r="AZ98" s="462" t="str">
        <f t="shared" si="20"/>
        <v/>
      </c>
      <c r="BA98" s="462">
        <f t="shared" si="21"/>
        <v>0</v>
      </c>
      <c r="BB98" s="462">
        <f>IF(AND(AT98=1,AK98="E",AU98&gt;=0.75,AW98=1),Health,IF(AND(AT98=1,AK98="E",AU98&gt;=0.75),Health*P98,IF(AND(AT98=1,AK98="E",AU98&gt;=0.5,AW98=1),PTHealth,IF(AND(AT98=1,AK98="E",AU98&gt;=0.5),PTHealth*P98,0))))</f>
        <v>11650</v>
      </c>
      <c r="BC98" s="462">
        <f>IF(AND(AT98=3,AK98="E",AV98&gt;=0.75,AW98=1),Health,IF(AND(AT98=3,AK98="E",AV98&gt;=0.75),Health*P98,IF(AND(AT98=3,AK98="E",AV98&gt;=0.5,AW98=1),PTHealth,IF(AND(AT98=3,AK98="E",AV98&gt;=0.5),PTHealth*P98,0))))</f>
        <v>0</v>
      </c>
      <c r="BD98" s="462">
        <f>IF(AND(AT98&lt;&gt;0,AX98&gt;=MAXSSDI),SSDI*MAXSSDI*P98,IF(AT98&lt;&gt;0,SSDI*W98,0))</f>
        <v>5163.5583999999999</v>
      </c>
      <c r="BE98" s="462">
        <f>IF(AT98&lt;&gt;0,SSHI*W98,0)</f>
        <v>1207.6064000000001</v>
      </c>
      <c r="BF98" s="462">
        <f>IF(AND(AT98&lt;&gt;0,AN98&lt;&gt;"NE"),VLOOKUP(AN98,Retirement_Rates,3,FALSE)*W98,0)</f>
        <v>9944.0140800000008</v>
      </c>
      <c r="BG98" s="462">
        <f>IF(AND(AT98&lt;&gt;0,AJ98&lt;&gt;"PF"),Life*W98,0)</f>
        <v>600.47187199999996</v>
      </c>
      <c r="BH98" s="462">
        <f>IF(AND(AT98&lt;&gt;0,AM98="Y"),UI*W98,0)</f>
        <v>408.08767999999998</v>
      </c>
      <c r="BI98" s="462">
        <f>IF(AND(AT98&lt;&gt;0,N98&lt;&gt;"NR"),DHR*W98,0)</f>
        <v>461.38892799999996</v>
      </c>
      <c r="BJ98" s="462">
        <f>IF(AT98&lt;&gt;0,WC*W98,0)</f>
        <v>166.56639999999999</v>
      </c>
      <c r="BK98" s="462">
        <f>IF(OR(AND(AT98&lt;&gt;0,AJ98&lt;&gt;"PF",AN98&lt;&gt;"NE",AG98&lt;&gt;"A"),AND(AL98="E",OR(AT98=1,AT98=3))),Sick*W98,0)</f>
        <v>0</v>
      </c>
      <c r="BL98" s="462">
        <f t="shared" si="22"/>
        <v>17951.693760000002</v>
      </c>
      <c r="BM98" s="462">
        <f t="shared" si="23"/>
        <v>0</v>
      </c>
      <c r="BN98" s="462">
        <f>IF(AND(AT98=1,AK98="E",AU98&gt;=0.75,AW98=1),HealthBY,IF(AND(AT98=1,AK98="E",AU98&gt;=0.75),HealthBY*P98,IF(AND(AT98=1,AK98="E",AU98&gt;=0.5,AW98=1),PTHealthBY,IF(AND(AT98=1,AK98="E",AU98&gt;=0.5),PTHealthBY*P98,0))))</f>
        <v>11650</v>
      </c>
      <c r="BO98" s="462">
        <f>IF(AND(AT98=3,AK98="E",AV98&gt;=0.75,AW98=1),HealthBY,IF(AND(AT98=3,AK98="E",AV98&gt;=0.75),HealthBY*P98,IF(AND(AT98=3,AK98="E",AV98&gt;=0.5,AW98=1),PTHealthBY,IF(AND(AT98=3,AK98="E",AV98&gt;=0.5),PTHealthBY*P98,0))))</f>
        <v>0</v>
      </c>
      <c r="BP98" s="462">
        <f>IF(AND(AT98&lt;&gt;0,(AX98+BA98)&gt;=MAXSSDIBY),SSDIBY*MAXSSDIBY*P98,IF(AT98&lt;&gt;0,SSDIBY*W98,0))</f>
        <v>5163.5583999999999</v>
      </c>
      <c r="BQ98" s="462">
        <f>IF(AT98&lt;&gt;0,SSHIBY*W98,0)</f>
        <v>1207.6064000000001</v>
      </c>
      <c r="BR98" s="462">
        <f>IF(AND(AT98&lt;&gt;0,AN98&lt;&gt;"NE"),VLOOKUP(AN98,Retirement_Rates,4,FALSE)*W98,0)</f>
        <v>9944.0140800000008</v>
      </c>
      <c r="BS98" s="462">
        <f>IF(AND(AT98&lt;&gt;0,AJ98&lt;&gt;"PF"),LifeBY*W98,0)</f>
        <v>600.47187199999996</v>
      </c>
      <c r="BT98" s="462">
        <f>IF(AND(AT98&lt;&gt;0,AM98="Y"),UIBY*W98,0)</f>
        <v>0</v>
      </c>
      <c r="BU98" s="462">
        <f>IF(AND(AT98&lt;&gt;0,N98&lt;&gt;"NR"),DHRBY*W98,0)</f>
        <v>461.38892799999996</v>
      </c>
      <c r="BV98" s="462">
        <f>IF(AT98&lt;&gt;0,WCBY*W98,0)</f>
        <v>141.58143999999999</v>
      </c>
      <c r="BW98" s="462">
        <f>IF(OR(AND(AT98&lt;&gt;0,AJ98&lt;&gt;"PF",AN98&lt;&gt;"NE",AG98&lt;&gt;"A"),AND(AL98="E",OR(AT98=1,AT98=3))),SickBY*W98,0)</f>
        <v>0</v>
      </c>
      <c r="BX98" s="462">
        <f t="shared" si="24"/>
        <v>17518.621120000003</v>
      </c>
      <c r="BY98" s="462">
        <f t="shared" si="25"/>
        <v>0</v>
      </c>
      <c r="BZ98" s="462">
        <f t="shared" si="26"/>
        <v>0</v>
      </c>
      <c r="CA98" s="462">
        <f t="shared" si="27"/>
        <v>0</v>
      </c>
      <c r="CB98" s="462">
        <f t="shared" si="28"/>
        <v>0</v>
      </c>
      <c r="CC98" s="462">
        <f>IF(AT98&lt;&gt;0,SSHICHG*Y98,0)</f>
        <v>0</v>
      </c>
      <c r="CD98" s="462">
        <f>IF(AND(AT98&lt;&gt;0,AN98&lt;&gt;"NE"),VLOOKUP(AN98,Retirement_Rates,5,FALSE)*Y98,0)</f>
        <v>0</v>
      </c>
      <c r="CE98" s="462">
        <f>IF(AND(AT98&lt;&gt;0,AJ98&lt;&gt;"PF"),LifeCHG*Y98,0)</f>
        <v>0</v>
      </c>
      <c r="CF98" s="462">
        <f>IF(AND(AT98&lt;&gt;0,AM98="Y"),UICHG*Y98,0)</f>
        <v>-408.08767999999998</v>
      </c>
      <c r="CG98" s="462">
        <f>IF(AND(AT98&lt;&gt;0,N98&lt;&gt;"NR"),DHRCHG*Y98,0)</f>
        <v>0</v>
      </c>
      <c r="CH98" s="462">
        <f>IF(AT98&lt;&gt;0,WCCHG*Y98,0)</f>
        <v>-24.984960000000012</v>
      </c>
      <c r="CI98" s="462">
        <f>IF(OR(AND(AT98&lt;&gt;0,AJ98&lt;&gt;"PF",AN98&lt;&gt;"NE",AG98&lt;&gt;"A"),AND(AL98="E",OR(AT98=1,AT98=3))),SickCHG*Y98,0)</f>
        <v>0</v>
      </c>
      <c r="CJ98" s="462">
        <f t="shared" si="29"/>
        <v>-433.07263999999998</v>
      </c>
      <c r="CK98" s="462" t="str">
        <f t="shared" si="30"/>
        <v/>
      </c>
      <c r="CL98" s="462" t="str">
        <f t="shared" si="31"/>
        <v/>
      </c>
      <c r="CM98" s="462" t="str">
        <f t="shared" si="32"/>
        <v/>
      </c>
      <c r="CN98" s="462" t="str">
        <f t="shared" si="33"/>
        <v>0450-38</v>
      </c>
    </row>
    <row r="99" spans="1:92" ht="15" thickBot="1" x14ac:dyDescent="0.35">
      <c r="A99" s="376" t="s">
        <v>161</v>
      </c>
      <c r="B99" s="376" t="s">
        <v>162</v>
      </c>
      <c r="C99" s="376" t="s">
        <v>396</v>
      </c>
      <c r="D99" s="376" t="s">
        <v>263</v>
      </c>
      <c r="E99" s="376" t="s">
        <v>314</v>
      </c>
      <c r="F99" s="382" t="s">
        <v>406</v>
      </c>
      <c r="G99" s="376" t="s">
        <v>167</v>
      </c>
      <c r="H99" s="378"/>
      <c r="I99" s="378"/>
      <c r="J99" s="376" t="s">
        <v>168</v>
      </c>
      <c r="K99" s="376" t="s">
        <v>321</v>
      </c>
      <c r="L99" s="376" t="s">
        <v>216</v>
      </c>
      <c r="M99" s="376" t="s">
        <v>171</v>
      </c>
      <c r="N99" s="376" t="s">
        <v>172</v>
      </c>
      <c r="O99" s="379">
        <v>1</v>
      </c>
      <c r="P99" s="460">
        <v>0</v>
      </c>
      <c r="Q99" s="460">
        <v>0</v>
      </c>
      <c r="R99" s="380">
        <v>80</v>
      </c>
      <c r="S99" s="460">
        <v>0</v>
      </c>
      <c r="T99" s="380">
        <v>11078.4</v>
      </c>
      <c r="U99" s="380">
        <v>0</v>
      </c>
      <c r="V99" s="380">
        <v>4254.96</v>
      </c>
      <c r="W99" s="380">
        <v>0</v>
      </c>
      <c r="X99" s="380">
        <v>0</v>
      </c>
      <c r="Y99" s="380">
        <v>0</v>
      </c>
      <c r="Z99" s="380">
        <v>0</v>
      </c>
      <c r="AA99" s="376" t="s">
        <v>397</v>
      </c>
      <c r="AB99" s="376" t="s">
        <v>398</v>
      </c>
      <c r="AC99" s="376" t="s">
        <v>399</v>
      </c>
      <c r="AD99" s="376" t="s">
        <v>400</v>
      </c>
      <c r="AE99" s="376" t="s">
        <v>321</v>
      </c>
      <c r="AF99" s="376" t="s">
        <v>311</v>
      </c>
      <c r="AG99" s="376" t="s">
        <v>178</v>
      </c>
      <c r="AH99" s="381">
        <v>34.619999999999997</v>
      </c>
      <c r="AI99" s="381">
        <v>17757.5</v>
      </c>
      <c r="AJ99" s="376" t="s">
        <v>179</v>
      </c>
      <c r="AK99" s="376" t="s">
        <v>180</v>
      </c>
      <c r="AL99" s="376" t="s">
        <v>181</v>
      </c>
      <c r="AM99" s="376" t="s">
        <v>182</v>
      </c>
      <c r="AN99" s="376" t="s">
        <v>68</v>
      </c>
      <c r="AO99" s="379">
        <v>80</v>
      </c>
      <c r="AP99" s="460">
        <v>1</v>
      </c>
      <c r="AQ99" s="460">
        <v>0</v>
      </c>
      <c r="AR99" s="458" t="s">
        <v>183</v>
      </c>
      <c r="AS99" s="462">
        <f t="shared" si="17"/>
        <v>0</v>
      </c>
      <c r="AT99">
        <f t="shared" si="18"/>
        <v>0</v>
      </c>
      <c r="AU99" s="462" t="str">
        <f>IF(AT99=0,"",IF(AND(AT99=1,M99="F",SUMIF(C2:C170,C99,AS2:AS170)&lt;=1),SUMIF(C2:C170,C99,AS2:AS170),IF(AND(AT99=1,M99="F",SUMIF(C2:C170,C99,AS2:AS170)&gt;1),1,"")))</f>
        <v/>
      </c>
      <c r="AV99" s="462" t="str">
        <f>IF(AT99=0,"",IF(AND(AT99=3,M99="F",SUMIF(C2:C170,C99,AS2:AS170)&lt;=1),SUMIF(C2:C170,C99,AS2:AS170),IF(AND(AT99=3,M99="F",SUMIF(C2:C170,C99,AS2:AS170)&gt;1),1,"")))</f>
        <v/>
      </c>
      <c r="AW99" s="462">
        <f>SUMIF(C2:C170,C99,O2:O170)</f>
        <v>2</v>
      </c>
      <c r="AX99" s="462">
        <f>IF(AND(M99="F",AS99&lt;&gt;0),SUMIF(C2:C170,C99,W2:W170),0)</f>
        <v>0</v>
      </c>
      <c r="AY99" s="462" t="str">
        <f t="shared" si="19"/>
        <v/>
      </c>
      <c r="AZ99" s="462" t="str">
        <f t="shared" si="20"/>
        <v/>
      </c>
      <c r="BA99" s="462">
        <f t="shared" si="21"/>
        <v>0</v>
      </c>
      <c r="BB99" s="462">
        <f>IF(AND(AT99=1,AK99="E",AU99&gt;=0.75,AW99=1),Health,IF(AND(AT99=1,AK99="E",AU99&gt;=0.75),Health*P99,IF(AND(AT99=1,AK99="E",AU99&gt;=0.5,AW99=1),PTHealth,IF(AND(AT99=1,AK99="E",AU99&gt;=0.5),PTHealth*P99,0))))</f>
        <v>0</v>
      </c>
      <c r="BC99" s="462">
        <f>IF(AND(AT99=3,AK99="E",AV99&gt;=0.75,AW99=1),Health,IF(AND(AT99=3,AK99="E",AV99&gt;=0.75),Health*P99,IF(AND(AT99=3,AK99="E",AV99&gt;=0.5,AW99=1),PTHealth,IF(AND(AT99=3,AK99="E",AV99&gt;=0.5),PTHealth*P99,0))))</f>
        <v>0</v>
      </c>
      <c r="BD99" s="462">
        <f>IF(AND(AT99&lt;&gt;0,AX99&gt;=MAXSSDI),SSDI*MAXSSDI*P99,IF(AT99&lt;&gt;0,SSDI*W99,0))</f>
        <v>0</v>
      </c>
      <c r="BE99" s="462">
        <f>IF(AT99&lt;&gt;0,SSHI*W99,0)</f>
        <v>0</v>
      </c>
      <c r="BF99" s="462">
        <f>IF(AND(AT99&lt;&gt;0,AN99&lt;&gt;"NE"),VLOOKUP(AN99,Retirement_Rates,3,FALSE)*W99,0)</f>
        <v>0</v>
      </c>
      <c r="BG99" s="462">
        <f>IF(AND(AT99&lt;&gt;0,AJ99&lt;&gt;"PF"),Life*W99,0)</f>
        <v>0</v>
      </c>
      <c r="BH99" s="462">
        <f>IF(AND(AT99&lt;&gt;0,AM99="Y"),UI*W99,0)</f>
        <v>0</v>
      </c>
      <c r="BI99" s="462">
        <f>IF(AND(AT99&lt;&gt;0,N99&lt;&gt;"NR"),DHR*W99,0)</f>
        <v>0</v>
      </c>
      <c r="BJ99" s="462">
        <f>IF(AT99&lt;&gt;0,WC*W99,0)</f>
        <v>0</v>
      </c>
      <c r="BK99" s="462">
        <f>IF(OR(AND(AT99&lt;&gt;0,AJ99&lt;&gt;"PF",AN99&lt;&gt;"NE",AG99&lt;&gt;"A"),AND(AL99="E",OR(AT99=1,AT99=3))),Sick*W99,0)</f>
        <v>0</v>
      </c>
      <c r="BL99" s="462">
        <f t="shared" si="22"/>
        <v>0</v>
      </c>
      <c r="BM99" s="462">
        <f t="shared" si="23"/>
        <v>0</v>
      </c>
      <c r="BN99" s="462">
        <f>IF(AND(AT99=1,AK99="E",AU99&gt;=0.75,AW99=1),HealthBY,IF(AND(AT99=1,AK99="E",AU99&gt;=0.75),HealthBY*P99,IF(AND(AT99=1,AK99="E",AU99&gt;=0.5,AW99=1),PTHealthBY,IF(AND(AT99=1,AK99="E",AU99&gt;=0.5),PTHealthBY*P99,0))))</f>
        <v>0</v>
      </c>
      <c r="BO99" s="462">
        <f>IF(AND(AT99=3,AK99="E",AV99&gt;=0.75,AW99=1),HealthBY,IF(AND(AT99=3,AK99="E",AV99&gt;=0.75),HealthBY*P99,IF(AND(AT99=3,AK99="E",AV99&gt;=0.5,AW99=1),PTHealthBY,IF(AND(AT99=3,AK99="E",AV99&gt;=0.5),PTHealthBY*P99,0))))</f>
        <v>0</v>
      </c>
      <c r="BP99" s="462">
        <f>IF(AND(AT99&lt;&gt;0,(AX99+BA99)&gt;=MAXSSDIBY),SSDIBY*MAXSSDIBY*P99,IF(AT99&lt;&gt;0,SSDIBY*W99,0))</f>
        <v>0</v>
      </c>
      <c r="BQ99" s="462">
        <f>IF(AT99&lt;&gt;0,SSHIBY*W99,0)</f>
        <v>0</v>
      </c>
      <c r="BR99" s="462">
        <f>IF(AND(AT99&lt;&gt;0,AN99&lt;&gt;"NE"),VLOOKUP(AN99,Retirement_Rates,4,FALSE)*W99,0)</f>
        <v>0</v>
      </c>
      <c r="BS99" s="462">
        <f>IF(AND(AT99&lt;&gt;0,AJ99&lt;&gt;"PF"),LifeBY*W99,0)</f>
        <v>0</v>
      </c>
      <c r="BT99" s="462">
        <f>IF(AND(AT99&lt;&gt;0,AM99="Y"),UIBY*W99,0)</f>
        <v>0</v>
      </c>
      <c r="BU99" s="462">
        <f>IF(AND(AT99&lt;&gt;0,N99&lt;&gt;"NR"),DHRBY*W99,0)</f>
        <v>0</v>
      </c>
      <c r="BV99" s="462">
        <f>IF(AT99&lt;&gt;0,WCBY*W99,0)</f>
        <v>0</v>
      </c>
      <c r="BW99" s="462">
        <f>IF(OR(AND(AT99&lt;&gt;0,AJ99&lt;&gt;"PF",AN99&lt;&gt;"NE",AG99&lt;&gt;"A"),AND(AL99="E",OR(AT99=1,AT99=3))),SickBY*W99,0)</f>
        <v>0</v>
      </c>
      <c r="BX99" s="462">
        <f t="shared" si="24"/>
        <v>0</v>
      </c>
      <c r="BY99" s="462">
        <f t="shared" si="25"/>
        <v>0</v>
      </c>
      <c r="BZ99" s="462">
        <f t="shared" si="26"/>
        <v>0</v>
      </c>
      <c r="CA99" s="462">
        <f t="shared" si="27"/>
        <v>0</v>
      </c>
      <c r="CB99" s="462">
        <f t="shared" si="28"/>
        <v>0</v>
      </c>
      <c r="CC99" s="462">
        <f>IF(AT99&lt;&gt;0,SSHICHG*Y99,0)</f>
        <v>0</v>
      </c>
      <c r="CD99" s="462">
        <f>IF(AND(AT99&lt;&gt;0,AN99&lt;&gt;"NE"),VLOOKUP(AN99,Retirement_Rates,5,FALSE)*Y99,0)</f>
        <v>0</v>
      </c>
      <c r="CE99" s="462">
        <f>IF(AND(AT99&lt;&gt;0,AJ99&lt;&gt;"PF"),LifeCHG*Y99,0)</f>
        <v>0</v>
      </c>
      <c r="CF99" s="462">
        <f>IF(AND(AT99&lt;&gt;0,AM99="Y"),UICHG*Y99,0)</f>
        <v>0</v>
      </c>
      <c r="CG99" s="462">
        <f>IF(AND(AT99&lt;&gt;0,N99&lt;&gt;"NR"),DHRCHG*Y99,0)</f>
        <v>0</v>
      </c>
      <c r="CH99" s="462">
        <f>IF(AT99&lt;&gt;0,WCCHG*Y99,0)</f>
        <v>0</v>
      </c>
      <c r="CI99" s="462">
        <f>IF(OR(AND(AT99&lt;&gt;0,AJ99&lt;&gt;"PF",AN99&lt;&gt;"NE",AG99&lt;&gt;"A"),AND(AL99="E",OR(AT99=1,AT99=3))),SickCHG*Y99,0)</f>
        <v>0</v>
      </c>
      <c r="CJ99" s="462">
        <f t="shared" si="29"/>
        <v>0</v>
      </c>
      <c r="CK99" s="462" t="str">
        <f t="shared" si="30"/>
        <v/>
      </c>
      <c r="CL99" s="462" t="str">
        <f t="shared" si="31"/>
        <v/>
      </c>
      <c r="CM99" s="462" t="str">
        <f t="shared" si="32"/>
        <v/>
      </c>
      <c r="CN99" s="462" t="str">
        <f t="shared" si="33"/>
        <v>0450-38</v>
      </c>
    </row>
    <row r="100" spans="1:92" ht="15" thickBot="1" x14ac:dyDescent="0.35">
      <c r="A100" s="376" t="s">
        <v>161</v>
      </c>
      <c r="B100" s="376" t="s">
        <v>162</v>
      </c>
      <c r="C100" s="376" t="s">
        <v>578</v>
      </c>
      <c r="D100" s="376" t="s">
        <v>436</v>
      </c>
      <c r="E100" s="376" t="s">
        <v>314</v>
      </c>
      <c r="F100" s="382" t="s">
        <v>406</v>
      </c>
      <c r="G100" s="376" t="s">
        <v>167</v>
      </c>
      <c r="H100" s="378"/>
      <c r="I100" s="378"/>
      <c r="J100" s="376" t="s">
        <v>168</v>
      </c>
      <c r="K100" s="376" t="s">
        <v>437</v>
      </c>
      <c r="L100" s="376" t="s">
        <v>216</v>
      </c>
      <c r="M100" s="376" t="s">
        <v>171</v>
      </c>
      <c r="N100" s="376" t="s">
        <v>172</v>
      </c>
      <c r="O100" s="379">
        <v>1</v>
      </c>
      <c r="P100" s="460">
        <v>1</v>
      </c>
      <c r="Q100" s="460">
        <v>1</v>
      </c>
      <c r="R100" s="380">
        <v>80</v>
      </c>
      <c r="S100" s="460">
        <v>1</v>
      </c>
      <c r="T100" s="380">
        <v>54600</v>
      </c>
      <c r="U100" s="380">
        <v>0</v>
      </c>
      <c r="V100" s="380">
        <v>22616.32</v>
      </c>
      <c r="W100" s="380">
        <v>67600</v>
      </c>
      <c r="X100" s="380">
        <v>26221.17</v>
      </c>
      <c r="Y100" s="380">
        <v>67600</v>
      </c>
      <c r="Z100" s="380">
        <v>25869.65</v>
      </c>
      <c r="AA100" s="376" t="s">
        <v>579</v>
      </c>
      <c r="AB100" s="376" t="s">
        <v>580</v>
      </c>
      <c r="AC100" s="376" t="s">
        <v>581</v>
      </c>
      <c r="AD100" s="376" t="s">
        <v>208</v>
      </c>
      <c r="AE100" s="376" t="s">
        <v>437</v>
      </c>
      <c r="AF100" s="376" t="s">
        <v>311</v>
      </c>
      <c r="AG100" s="376" t="s">
        <v>178</v>
      </c>
      <c r="AH100" s="381">
        <v>32.5</v>
      </c>
      <c r="AI100" s="381">
        <v>27416.5</v>
      </c>
      <c r="AJ100" s="376" t="s">
        <v>179</v>
      </c>
      <c r="AK100" s="376" t="s">
        <v>180</v>
      </c>
      <c r="AL100" s="376" t="s">
        <v>181</v>
      </c>
      <c r="AM100" s="376" t="s">
        <v>182</v>
      </c>
      <c r="AN100" s="376" t="s">
        <v>68</v>
      </c>
      <c r="AO100" s="379">
        <v>80</v>
      </c>
      <c r="AP100" s="460">
        <v>1</v>
      </c>
      <c r="AQ100" s="460">
        <v>1</v>
      </c>
      <c r="AR100" s="458" t="s">
        <v>183</v>
      </c>
      <c r="AS100" s="462">
        <f t="shared" si="17"/>
        <v>1</v>
      </c>
      <c r="AT100">
        <f t="shared" si="18"/>
        <v>1</v>
      </c>
      <c r="AU100" s="462">
        <f>IF(AT100=0,"",IF(AND(AT100=1,M100="F",SUMIF(C2:C170,C100,AS2:AS170)&lt;=1),SUMIF(C2:C170,C100,AS2:AS170),IF(AND(AT100=1,M100="F",SUMIF(C2:C170,C100,AS2:AS170)&gt;1),1,"")))</f>
        <v>1</v>
      </c>
      <c r="AV100" s="462" t="str">
        <f>IF(AT100=0,"",IF(AND(AT100=3,M100="F",SUMIF(C2:C170,C100,AS2:AS170)&lt;=1),SUMIF(C2:C170,C100,AS2:AS170),IF(AND(AT100=3,M100="F",SUMIF(C2:C170,C100,AS2:AS170)&gt;1),1,"")))</f>
        <v/>
      </c>
      <c r="AW100" s="462">
        <f>SUMIF(C2:C170,C100,O2:O170)</f>
        <v>1</v>
      </c>
      <c r="AX100" s="462">
        <f>IF(AND(M100="F",AS100&lt;&gt;0),SUMIF(C2:C170,C100,W2:W170),0)</f>
        <v>67600</v>
      </c>
      <c r="AY100" s="462">
        <f t="shared" si="19"/>
        <v>67600</v>
      </c>
      <c r="AZ100" s="462" t="str">
        <f t="shared" si="20"/>
        <v/>
      </c>
      <c r="BA100" s="462">
        <f t="shared" si="21"/>
        <v>0</v>
      </c>
      <c r="BB100" s="462">
        <f>IF(AND(AT100=1,AK100="E",AU100&gt;=0.75,AW100=1),Health,IF(AND(AT100=1,AK100="E",AU100&gt;=0.75),Health*P100,IF(AND(AT100=1,AK100="E",AU100&gt;=0.5,AW100=1),PTHealth,IF(AND(AT100=1,AK100="E",AU100&gt;=0.5),PTHealth*P100,0))))</f>
        <v>11650</v>
      </c>
      <c r="BC100" s="462">
        <f>IF(AND(AT100=3,AK100="E",AV100&gt;=0.75,AW100=1),Health,IF(AND(AT100=3,AK100="E",AV100&gt;=0.75),Health*P100,IF(AND(AT100=3,AK100="E",AV100&gt;=0.5,AW100=1),PTHealth,IF(AND(AT100=3,AK100="E",AV100&gt;=0.5),PTHealth*P100,0))))</f>
        <v>0</v>
      </c>
      <c r="BD100" s="462">
        <f>IF(AND(AT100&lt;&gt;0,AX100&gt;=MAXSSDI),SSDI*MAXSSDI*P100,IF(AT100&lt;&gt;0,SSDI*W100,0))</f>
        <v>4191.2</v>
      </c>
      <c r="BE100" s="462">
        <f>IF(AT100&lt;&gt;0,SSHI*W100,0)</f>
        <v>980.2</v>
      </c>
      <c r="BF100" s="462">
        <f>IF(AND(AT100&lt;&gt;0,AN100&lt;&gt;"NE"),VLOOKUP(AN100,Retirement_Rates,3,FALSE)*W100,0)</f>
        <v>8071.4400000000005</v>
      </c>
      <c r="BG100" s="462">
        <f>IF(AND(AT100&lt;&gt;0,AJ100&lt;&gt;"PF"),Life*W100,0)</f>
        <v>487.39600000000002</v>
      </c>
      <c r="BH100" s="462">
        <f>IF(AND(AT100&lt;&gt;0,AM100="Y"),UI*W100,0)</f>
        <v>331.24</v>
      </c>
      <c r="BI100" s="462">
        <f>IF(AND(AT100&lt;&gt;0,N100&lt;&gt;"NR"),DHR*W100,0)</f>
        <v>374.50399999999996</v>
      </c>
      <c r="BJ100" s="462">
        <f>IF(AT100&lt;&gt;0,WC*W100,0)</f>
        <v>135.19999999999999</v>
      </c>
      <c r="BK100" s="462">
        <f>IF(OR(AND(AT100&lt;&gt;0,AJ100&lt;&gt;"PF",AN100&lt;&gt;"NE",AG100&lt;&gt;"A"),AND(AL100="E",OR(AT100=1,AT100=3))),Sick*W100,0)</f>
        <v>0</v>
      </c>
      <c r="BL100" s="462">
        <f t="shared" si="22"/>
        <v>14571.180000000002</v>
      </c>
      <c r="BM100" s="462">
        <f t="shared" si="23"/>
        <v>0</v>
      </c>
      <c r="BN100" s="462">
        <f>IF(AND(AT100=1,AK100="E",AU100&gt;=0.75,AW100=1),HealthBY,IF(AND(AT100=1,AK100="E",AU100&gt;=0.75),HealthBY*P100,IF(AND(AT100=1,AK100="E",AU100&gt;=0.5,AW100=1),PTHealthBY,IF(AND(AT100=1,AK100="E",AU100&gt;=0.5),PTHealthBY*P100,0))))</f>
        <v>11650</v>
      </c>
      <c r="BO100" s="462">
        <f>IF(AND(AT100=3,AK100="E",AV100&gt;=0.75,AW100=1),HealthBY,IF(AND(AT100=3,AK100="E",AV100&gt;=0.75),HealthBY*P100,IF(AND(AT100=3,AK100="E",AV100&gt;=0.5,AW100=1),PTHealthBY,IF(AND(AT100=3,AK100="E",AV100&gt;=0.5),PTHealthBY*P100,0))))</f>
        <v>0</v>
      </c>
      <c r="BP100" s="462">
        <f>IF(AND(AT100&lt;&gt;0,(AX100+BA100)&gt;=MAXSSDIBY),SSDIBY*MAXSSDIBY*P100,IF(AT100&lt;&gt;0,SSDIBY*W100,0))</f>
        <v>4191.2</v>
      </c>
      <c r="BQ100" s="462">
        <f>IF(AT100&lt;&gt;0,SSHIBY*W100,0)</f>
        <v>980.2</v>
      </c>
      <c r="BR100" s="462">
        <f>IF(AND(AT100&lt;&gt;0,AN100&lt;&gt;"NE"),VLOOKUP(AN100,Retirement_Rates,4,FALSE)*W100,0)</f>
        <v>8071.4400000000005</v>
      </c>
      <c r="BS100" s="462">
        <f>IF(AND(AT100&lt;&gt;0,AJ100&lt;&gt;"PF"),LifeBY*W100,0)</f>
        <v>487.39600000000002</v>
      </c>
      <c r="BT100" s="462">
        <f>IF(AND(AT100&lt;&gt;0,AM100="Y"),UIBY*W100,0)</f>
        <v>0</v>
      </c>
      <c r="BU100" s="462">
        <f>IF(AND(AT100&lt;&gt;0,N100&lt;&gt;"NR"),DHRBY*W100,0)</f>
        <v>374.50399999999996</v>
      </c>
      <c r="BV100" s="462">
        <f>IF(AT100&lt;&gt;0,WCBY*W100,0)</f>
        <v>114.91999999999999</v>
      </c>
      <c r="BW100" s="462">
        <f>IF(OR(AND(AT100&lt;&gt;0,AJ100&lt;&gt;"PF",AN100&lt;&gt;"NE",AG100&lt;&gt;"A"),AND(AL100="E",OR(AT100=1,AT100=3))),SickBY*W100,0)</f>
        <v>0</v>
      </c>
      <c r="BX100" s="462">
        <f t="shared" si="24"/>
        <v>14219.660000000002</v>
      </c>
      <c r="BY100" s="462">
        <f t="shared" si="25"/>
        <v>0</v>
      </c>
      <c r="BZ100" s="462">
        <f t="shared" si="26"/>
        <v>0</v>
      </c>
      <c r="CA100" s="462">
        <f t="shared" si="27"/>
        <v>0</v>
      </c>
      <c r="CB100" s="462">
        <f t="shared" si="28"/>
        <v>0</v>
      </c>
      <c r="CC100" s="462">
        <f>IF(AT100&lt;&gt;0,SSHICHG*Y100,0)</f>
        <v>0</v>
      </c>
      <c r="CD100" s="462">
        <f>IF(AND(AT100&lt;&gt;0,AN100&lt;&gt;"NE"),VLOOKUP(AN100,Retirement_Rates,5,FALSE)*Y100,0)</f>
        <v>0</v>
      </c>
      <c r="CE100" s="462">
        <f>IF(AND(AT100&lt;&gt;0,AJ100&lt;&gt;"PF"),LifeCHG*Y100,0)</f>
        <v>0</v>
      </c>
      <c r="CF100" s="462">
        <f>IF(AND(AT100&lt;&gt;0,AM100="Y"),UICHG*Y100,0)</f>
        <v>-331.24</v>
      </c>
      <c r="CG100" s="462">
        <f>IF(AND(AT100&lt;&gt;0,N100&lt;&gt;"NR"),DHRCHG*Y100,0)</f>
        <v>0</v>
      </c>
      <c r="CH100" s="462">
        <f>IF(AT100&lt;&gt;0,WCCHG*Y100,0)</f>
        <v>-20.280000000000008</v>
      </c>
      <c r="CI100" s="462">
        <f>IF(OR(AND(AT100&lt;&gt;0,AJ100&lt;&gt;"PF",AN100&lt;&gt;"NE",AG100&lt;&gt;"A"),AND(AL100="E",OR(AT100=1,AT100=3))),SickCHG*Y100,0)</f>
        <v>0</v>
      </c>
      <c r="CJ100" s="462">
        <f t="shared" si="29"/>
        <v>-351.52000000000004</v>
      </c>
      <c r="CK100" s="462" t="str">
        <f t="shared" si="30"/>
        <v/>
      </c>
      <c r="CL100" s="462" t="str">
        <f t="shared" si="31"/>
        <v/>
      </c>
      <c r="CM100" s="462" t="str">
        <f t="shared" si="32"/>
        <v/>
      </c>
      <c r="CN100" s="462" t="str">
        <f t="shared" si="33"/>
        <v>0450-38</v>
      </c>
    </row>
    <row r="101" spans="1:92" ht="15" thickBot="1" x14ac:dyDescent="0.35">
      <c r="A101" s="376" t="s">
        <v>161</v>
      </c>
      <c r="B101" s="376" t="s">
        <v>162</v>
      </c>
      <c r="C101" s="376" t="s">
        <v>271</v>
      </c>
      <c r="D101" s="376" t="s">
        <v>263</v>
      </c>
      <c r="E101" s="376" t="s">
        <v>314</v>
      </c>
      <c r="F101" s="382" t="s">
        <v>406</v>
      </c>
      <c r="G101" s="376" t="s">
        <v>167</v>
      </c>
      <c r="H101" s="378"/>
      <c r="I101" s="378"/>
      <c r="J101" s="376" t="s">
        <v>168</v>
      </c>
      <c r="K101" s="376" t="s">
        <v>272</v>
      </c>
      <c r="L101" s="376" t="s">
        <v>170</v>
      </c>
      <c r="M101" s="376" t="s">
        <v>171</v>
      </c>
      <c r="N101" s="376" t="s">
        <v>172</v>
      </c>
      <c r="O101" s="379">
        <v>1</v>
      </c>
      <c r="P101" s="460">
        <v>1</v>
      </c>
      <c r="Q101" s="460">
        <v>1</v>
      </c>
      <c r="R101" s="380">
        <v>80</v>
      </c>
      <c r="S101" s="460">
        <v>1</v>
      </c>
      <c r="T101" s="380">
        <v>0</v>
      </c>
      <c r="U101" s="380">
        <v>0</v>
      </c>
      <c r="V101" s="380">
        <v>0</v>
      </c>
      <c r="W101" s="380">
        <v>93600</v>
      </c>
      <c r="X101" s="380">
        <v>31825.47</v>
      </c>
      <c r="Y101" s="380">
        <v>93600</v>
      </c>
      <c r="Z101" s="380">
        <v>31338.75</v>
      </c>
      <c r="AA101" s="376" t="s">
        <v>273</v>
      </c>
      <c r="AB101" s="376" t="s">
        <v>274</v>
      </c>
      <c r="AC101" s="376" t="s">
        <v>275</v>
      </c>
      <c r="AD101" s="376" t="s">
        <v>276</v>
      </c>
      <c r="AE101" s="376" t="s">
        <v>272</v>
      </c>
      <c r="AF101" s="376" t="s">
        <v>177</v>
      </c>
      <c r="AG101" s="376" t="s">
        <v>178</v>
      </c>
      <c r="AH101" s="379">
        <v>45</v>
      </c>
      <c r="AI101" s="381">
        <v>2397.5</v>
      </c>
      <c r="AJ101" s="376" t="s">
        <v>179</v>
      </c>
      <c r="AK101" s="376" t="s">
        <v>180</v>
      </c>
      <c r="AL101" s="376" t="s">
        <v>181</v>
      </c>
      <c r="AM101" s="376" t="s">
        <v>182</v>
      </c>
      <c r="AN101" s="376" t="s">
        <v>68</v>
      </c>
      <c r="AO101" s="379">
        <v>80</v>
      </c>
      <c r="AP101" s="460">
        <v>1</v>
      </c>
      <c r="AQ101" s="460">
        <v>1</v>
      </c>
      <c r="AR101" s="458" t="s">
        <v>183</v>
      </c>
      <c r="AS101" s="462">
        <f t="shared" si="17"/>
        <v>1</v>
      </c>
      <c r="AT101">
        <f t="shared" si="18"/>
        <v>1</v>
      </c>
      <c r="AU101" s="462">
        <f>IF(AT101=0,"",IF(AND(AT101=1,M101="F",SUMIF(C2:C170,C101,AS2:AS170)&lt;=1),SUMIF(C2:C170,C101,AS2:AS170),IF(AND(AT101=1,M101="F",SUMIF(C2:C170,C101,AS2:AS170)&gt;1),1,"")))</f>
        <v>1</v>
      </c>
      <c r="AV101" s="462" t="str">
        <f>IF(AT101=0,"",IF(AND(AT101=3,M101="F",SUMIF(C2:C170,C101,AS2:AS170)&lt;=1),SUMIF(C2:C170,C101,AS2:AS170),IF(AND(AT101=3,M101="F",SUMIF(C2:C170,C101,AS2:AS170)&gt;1),1,"")))</f>
        <v/>
      </c>
      <c r="AW101" s="462">
        <f>SUMIF(C2:C170,C101,O2:O170)</f>
        <v>3</v>
      </c>
      <c r="AX101" s="462">
        <f>IF(AND(M101="F",AS101&lt;&gt;0),SUMIF(C2:C170,C101,W2:W170),0)</f>
        <v>93600</v>
      </c>
      <c r="AY101" s="462">
        <f t="shared" si="19"/>
        <v>93600</v>
      </c>
      <c r="AZ101" s="462" t="str">
        <f t="shared" si="20"/>
        <v/>
      </c>
      <c r="BA101" s="462">
        <f t="shared" si="21"/>
        <v>0</v>
      </c>
      <c r="BB101" s="462">
        <f>IF(AND(AT101=1,AK101="E",AU101&gt;=0.75,AW101=1),Health,IF(AND(AT101=1,AK101="E",AU101&gt;=0.75),Health*P101,IF(AND(AT101=1,AK101="E",AU101&gt;=0.5,AW101=1),PTHealth,IF(AND(AT101=1,AK101="E",AU101&gt;=0.5),PTHealth*P101,0))))</f>
        <v>11650</v>
      </c>
      <c r="BC101" s="462">
        <f>IF(AND(AT101=3,AK101="E",AV101&gt;=0.75,AW101=1),Health,IF(AND(AT101=3,AK101="E",AV101&gt;=0.75),Health*P101,IF(AND(AT101=3,AK101="E",AV101&gt;=0.5,AW101=1),PTHealth,IF(AND(AT101=3,AK101="E",AV101&gt;=0.5),PTHealth*P101,0))))</f>
        <v>0</v>
      </c>
      <c r="BD101" s="462">
        <f>IF(AND(AT101&lt;&gt;0,AX101&gt;=MAXSSDI),SSDI*MAXSSDI*P101,IF(AT101&lt;&gt;0,SSDI*W101,0))</f>
        <v>5803.2</v>
      </c>
      <c r="BE101" s="462">
        <f>IF(AT101&lt;&gt;0,SSHI*W101,0)</f>
        <v>1357.2</v>
      </c>
      <c r="BF101" s="462">
        <f>IF(AND(AT101&lt;&gt;0,AN101&lt;&gt;"NE"),VLOOKUP(AN101,Retirement_Rates,3,FALSE)*W101,0)</f>
        <v>11175.84</v>
      </c>
      <c r="BG101" s="462">
        <f>IF(AND(AT101&lt;&gt;0,AJ101&lt;&gt;"PF"),Life*W101,0)</f>
        <v>674.85599999999999</v>
      </c>
      <c r="BH101" s="462">
        <f>IF(AND(AT101&lt;&gt;0,AM101="Y"),UI*W101,0)</f>
        <v>458.64</v>
      </c>
      <c r="BI101" s="462">
        <f>IF(AND(AT101&lt;&gt;0,N101&lt;&gt;"NR"),DHR*W101,0)</f>
        <v>518.54399999999998</v>
      </c>
      <c r="BJ101" s="462">
        <f>IF(AT101&lt;&gt;0,WC*W101,0)</f>
        <v>187.20000000000002</v>
      </c>
      <c r="BK101" s="462">
        <f>IF(OR(AND(AT101&lt;&gt;0,AJ101&lt;&gt;"PF",AN101&lt;&gt;"NE",AG101&lt;&gt;"A"),AND(AL101="E",OR(AT101=1,AT101=3))),Sick*W101,0)</f>
        <v>0</v>
      </c>
      <c r="BL101" s="462">
        <f t="shared" si="22"/>
        <v>20175.48</v>
      </c>
      <c r="BM101" s="462">
        <f t="shared" si="23"/>
        <v>0</v>
      </c>
      <c r="BN101" s="462">
        <f>IF(AND(AT101=1,AK101="E",AU101&gt;=0.75,AW101=1),HealthBY,IF(AND(AT101=1,AK101="E",AU101&gt;=0.75),HealthBY*P101,IF(AND(AT101=1,AK101="E",AU101&gt;=0.5,AW101=1),PTHealthBY,IF(AND(AT101=1,AK101="E",AU101&gt;=0.5),PTHealthBY*P101,0))))</f>
        <v>11650</v>
      </c>
      <c r="BO101" s="462">
        <f>IF(AND(AT101=3,AK101="E",AV101&gt;=0.75,AW101=1),HealthBY,IF(AND(AT101=3,AK101="E",AV101&gt;=0.75),HealthBY*P101,IF(AND(AT101=3,AK101="E",AV101&gt;=0.5,AW101=1),PTHealthBY,IF(AND(AT101=3,AK101="E",AV101&gt;=0.5),PTHealthBY*P101,0))))</f>
        <v>0</v>
      </c>
      <c r="BP101" s="462">
        <f>IF(AND(AT101&lt;&gt;0,(AX101+BA101)&gt;=MAXSSDIBY),SSDIBY*MAXSSDIBY*P101,IF(AT101&lt;&gt;0,SSDIBY*W101,0))</f>
        <v>5803.2</v>
      </c>
      <c r="BQ101" s="462">
        <f>IF(AT101&lt;&gt;0,SSHIBY*W101,0)</f>
        <v>1357.2</v>
      </c>
      <c r="BR101" s="462">
        <f>IF(AND(AT101&lt;&gt;0,AN101&lt;&gt;"NE"),VLOOKUP(AN101,Retirement_Rates,4,FALSE)*W101,0)</f>
        <v>11175.84</v>
      </c>
      <c r="BS101" s="462">
        <f>IF(AND(AT101&lt;&gt;0,AJ101&lt;&gt;"PF"),LifeBY*W101,0)</f>
        <v>674.85599999999999</v>
      </c>
      <c r="BT101" s="462">
        <f>IF(AND(AT101&lt;&gt;0,AM101="Y"),UIBY*W101,0)</f>
        <v>0</v>
      </c>
      <c r="BU101" s="462">
        <f>IF(AND(AT101&lt;&gt;0,N101&lt;&gt;"NR"),DHRBY*W101,0)</f>
        <v>518.54399999999998</v>
      </c>
      <c r="BV101" s="462">
        <f>IF(AT101&lt;&gt;0,WCBY*W101,0)</f>
        <v>159.12</v>
      </c>
      <c r="BW101" s="462">
        <f>IF(OR(AND(AT101&lt;&gt;0,AJ101&lt;&gt;"PF",AN101&lt;&gt;"NE",AG101&lt;&gt;"A"),AND(AL101="E",OR(AT101=1,AT101=3))),SickBY*W101,0)</f>
        <v>0</v>
      </c>
      <c r="BX101" s="462">
        <f t="shared" si="24"/>
        <v>19688.759999999998</v>
      </c>
      <c r="BY101" s="462">
        <f t="shared" si="25"/>
        <v>0</v>
      </c>
      <c r="BZ101" s="462">
        <f t="shared" si="26"/>
        <v>0</v>
      </c>
      <c r="CA101" s="462">
        <f t="shared" si="27"/>
        <v>0</v>
      </c>
      <c r="CB101" s="462">
        <f t="shared" si="28"/>
        <v>0</v>
      </c>
      <c r="CC101" s="462">
        <f>IF(AT101&lt;&gt;0,SSHICHG*Y101,0)</f>
        <v>0</v>
      </c>
      <c r="CD101" s="462">
        <f>IF(AND(AT101&lt;&gt;0,AN101&lt;&gt;"NE"),VLOOKUP(AN101,Retirement_Rates,5,FALSE)*Y101,0)</f>
        <v>0</v>
      </c>
      <c r="CE101" s="462">
        <f>IF(AND(AT101&lt;&gt;0,AJ101&lt;&gt;"PF"),LifeCHG*Y101,0)</f>
        <v>0</v>
      </c>
      <c r="CF101" s="462">
        <f>IF(AND(AT101&lt;&gt;0,AM101="Y"),UICHG*Y101,0)</f>
        <v>-458.64</v>
      </c>
      <c r="CG101" s="462">
        <f>IF(AND(AT101&lt;&gt;0,N101&lt;&gt;"NR"),DHRCHG*Y101,0)</f>
        <v>0</v>
      </c>
      <c r="CH101" s="462">
        <f>IF(AT101&lt;&gt;0,WCCHG*Y101,0)</f>
        <v>-28.080000000000013</v>
      </c>
      <c r="CI101" s="462">
        <f>IF(OR(AND(AT101&lt;&gt;0,AJ101&lt;&gt;"PF",AN101&lt;&gt;"NE",AG101&lt;&gt;"A"),AND(AL101="E",OR(AT101=1,AT101=3))),SickCHG*Y101,0)</f>
        <v>0</v>
      </c>
      <c r="CJ101" s="462">
        <f t="shared" si="29"/>
        <v>-486.72</v>
      </c>
      <c r="CK101" s="462" t="str">
        <f t="shared" si="30"/>
        <v/>
      </c>
      <c r="CL101" s="462" t="str">
        <f t="shared" si="31"/>
        <v/>
      </c>
      <c r="CM101" s="462" t="str">
        <f t="shared" si="32"/>
        <v/>
      </c>
      <c r="CN101" s="462" t="str">
        <f t="shared" si="33"/>
        <v>0450-38</v>
      </c>
    </row>
    <row r="102" spans="1:92" ht="15" thickBot="1" x14ac:dyDescent="0.35">
      <c r="A102" s="376" t="s">
        <v>161</v>
      </c>
      <c r="B102" s="376" t="s">
        <v>162</v>
      </c>
      <c r="C102" s="376" t="s">
        <v>582</v>
      </c>
      <c r="D102" s="376" t="s">
        <v>313</v>
      </c>
      <c r="E102" s="376" t="s">
        <v>314</v>
      </c>
      <c r="F102" s="382" t="s">
        <v>406</v>
      </c>
      <c r="G102" s="376" t="s">
        <v>167</v>
      </c>
      <c r="H102" s="378"/>
      <c r="I102" s="378"/>
      <c r="J102" s="376" t="s">
        <v>168</v>
      </c>
      <c r="K102" s="376" t="s">
        <v>344</v>
      </c>
      <c r="L102" s="376" t="s">
        <v>181</v>
      </c>
      <c r="M102" s="376" t="s">
        <v>171</v>
      </c>
      <c r="N102" s="376" t="s">
        <v>172</v>
      </c>
      <c r="O102" s="379">
        <v>1</v>
      </c>
      <c r="P102" s="460">
        <v>1</v>
      </c>
      <c r="Q102" s="460">
        <v>1</v>
      </c>
      <c r="R102" s="380">
        <v>80</v>
      </c>
      <c r="S102" s="460">
        <v>1</v>
      </c>
      <c r="T102" s="380">
        <v>75451.89</v>
      </c>
      <c r="U102" s="380">
        <v>0</v>
      </c>
      <c r="V102" s="380">
        <v>27232.45</v>
      </c>
      <c r="W102" s="380">
        <v>77937.600000000006</v>
      </c>
      <c r="X102" s="380">
        <v>28449.42</v>
      </c>
      <c r="Y102" s="380">
        <v>77937.600000000006</v>
      </c>
      <c r="Z102" s="380">
        <v>28044.15</v>
      </c>
      <c r="AA102" s="376" t="s">
        <v>583</v>
      </c>
      <c r="AB102" s="376" t="s">
        <v>584</v>
      </c>
      <c r="AC102" s="376" t="s">
        <v>585</v>
      </c>
      <c r="AD102" s="376" t="s">
        <v>228</v>
      </c>
      <c r="AE102" s="376" t="s">
        <v>344</v>
      </c>
      <c r="AF102" s="376" t="s">
        <v>349</v>
      </c>
      <c r="AG102" s="376" t="s">
        <v>178</v>
      </c>
      <c r="AH102" s="381">
        <v>37.47</v>
      </c>
      <c r="AI102" s="381">
        <v>7579.9</v>
      </c>
      <c r="AJ102" s="376" t="s">
        <v>179</v>
      </c>
      <c r="AK102" s="376" t="s">
        <v>180</v>
      </c>
      <c r="AL102" s="376" t="s">
        <v>181</v>
      </c>
      <c r="AM102" s="376" t="s">
        <v>182</v>
      </c>
      <c r="AN102" s="376" t="s">
        <v>68</v>
      </c>
      <c r="AO102" s="379">
        <v>80</v>
      </c>
      <c r="AP102" s="460">
        <v>1</v>
      </c>
      <c r="AQ102" s="460">
        <v>1</v>
      </c>
      <c r="AR102" s="458" t="s">
        <v>183</v>
      </c>
      <c r="AS102" s="462">
        <f t="shared" si="17"/>
        <v>1</v>
      </c>
      <c r="AT102">
        <f t="shared" si="18"/>
        <v>1</v>
      </c>
      <c r="AU102" s="462">
        <f>IF(AT102=0,"",IF(AND(AT102=1,M102="F",SUMIF(C2:C170,C102,AS2:AS170)&lt;=1),SUMIF(C2:C170,C102,AS2:AS170),IF(AND(AT102=1,M102="F",SUMIF(C2:C170,C102,AS2:AS170)&gt;1),1,"")))</f>
        <v>1</v>
      </c>
      <c r="AV102" s="462" t="str">
        <f>IF(AT102=0,"",IF(AND(AT102=3,M102="F",SUMIF(C2:C170,C102,AS2:AS170)&lt;=1),SUMIF(C2:C170,C102,AS2:AS170),IF(AND(AT102=3,M102="F",SUMIF(C2:C170,C102,AS2:AS170)&gt;1),1,"")))</f>
        <v/>
      </c>
      <c r="AW102" s="462">
        <f>SUMIF(C2:C170,C102,O2:O170)</f>
        <v>1</v>
      </c>
      <c r="AX102" s="462">
        <f>IF(AND(M102="F",AS102&lt;&gt;0),SUMIF(C2:C170,C102,W2:W170),0)</f>
        <v>77937.600000000006</v>
      </c>
      <c r="AY102" s="462">
        <f t="shared" si="19"/>
        <v>77937.600000000006</v>
      </c>
      <c r="AZ102" s="462" t="str">
        <f t="shared" si="20"/>
        <v/>
      </c>
      <c r="BA102" s="462">
        <f t="shared" si="21"/>
        <v>0</v>
      </c>
      <c r="BB102" s="462">
        <f>IF(AND(AT102=1,AK102="E",AU102&gt;=0.75,AW102=1),Health,IF(AND(AT102=1,AK102="E",AU102&gt;=0.75),Health*P102,IF(AND(AT102=1,AK102="E",AU102&gt;=0.5,AW102=1),PTHealth,IF(AND(AT102=1,AK102="E",AU102&gt;=0.5),PTHealth*P102,0))))</f>
        <v>11650</v>
      </c>
      <c r="BC102" s="462">
        <f>IF(AND(AT102=3,AK102="E",AV102&gt;=0.75,AW102=1),Health,IF(AND(AT102=3,AK102="E",AV102&gt;=0.75),Health*P102,IF(AND(AT102=3,AK102="E",AV102&gt;=0.5,AW102=1),PTHealth,IF(AND(AT102=3,AK102="E",AV102&gt;=0.5),PTHealth*P102,0))))</f>
        <v>0</v>
      </c>
      <c r="BD102" s="462">
        <f>IF(AND(AT102&lt;&gt;0,AX102&gt;=MAXSSDI),SSDI*MAXSSDI*P102,IF(AT102&lt;&gt;0,SSDI*W102,0))</f>
        <v>4832.1312000000007</v>
      </c>
      <c r="BE102" s="462">
        <f>IF(AT102&lt;&gt;0,SSHI*W102,0)</f>
        <v>1130.0952000000002</v>
      </c>
      <c r="BF102" s="462">
        <f>IF(AND(AT102&lt;&gt;0,AN102&lt;&gt;"NE"),VLOOKUP(AN102,Retirement_Rates,3,FALSE)*W102,0)</f>
        <v>9305.7494400000014</v>
      </c>
      <c r="BG102" s="462">
        <f>IF(AND(AT102&lt;&gt;0,AJ102&lt;&gt;"PF"),Life*W102,0)</f>
        <v>561.93009600000005</v>
      </c>
      <c r="BH102" s="462">
        <f>IF(AND(AT102&lt;&gt;0,AM102="Y"),UI*W102,0)</f>
        <v>381.89424000000002</v>
      </c>
      <c r="BI102" s="462">
        <f>IF(AND(AT102&lt;&gt;0,N102&lt;&gt;"NR"),DHR*W102,0)</f>
        <v>431.77430400000003</v>
      </c>
      <c r="BJ102" s="462">
        <f>IF(AT102&lt;&gt;0,WC*W102,0)</f>
        <v>155.87520000000001</v>
      </c>
      <c r="BK102" s="462">
        <f>IF(OR(AND(AT102&lt;&gt;0,AJ102&lt;&gt;"PF",AN102&lt;&gt;"NE",AG102&lt;&gt;"A"),AND(AL102="E",OR(AT102=1,AT102=3))),Sick*W102,0)</f>
        <v>0</v>
      </c>
      <c r="BL102" s="462">
        <f t="shared" si="22"/>
        <v>16799.449680000002</v>
      </c>
      <c r="BM102" s="462">
        <f t="shared" si="23"/>
        <v>0</v>
      </c>
      <c r="BN102" s="462">
        <f>IF(AND(AT102=1,AK102="E",AU102&gt;=0.75,AW102=1),HealthBY,IF(AND(AT102=1,AK102="E",AU102&gt;=0.75),HealthBY*P102,IF(AND(AT102=1,AK102="E",AU102&gt;=0.5,AW102=1),PTHealthBY,IF(AND(AT102=1,AK102="E",AU102&gt;=0.5),PTHealthBY*P102,0))))</f>
        <v>11650</v>
      </c>
      <c r="BO102" s="462">
        <f>IF(AND(AT102=3,AK102="E",AV102&gt;=0.75,AW102=1),HealthBY,IF(AND(AT102=3,AK102="E",AV102&gt;=0.75),HealthBY*P102,IF(AND(AT102=3,AK102="E",AV102&gt;=0.5,AW102=1),PTHealthBY,IF(AND(AT102=3,AK102="E",AV102&gt;=0.5),PTHealthBY*P102,0))))</f>
        <v>0</v>
      </c>
      <c r="BP102" s="462">
        <f>IF(AND(AT102&lt;&gt;0,(AX102+BA102)&gt;=MAXSSDIBY),SSDIBY*MAXSSDIBY*P102,IF(AT102&lt;&gt;0,SSDIBY*W102,0))</f>
        <v>4832.1312000000007</v>
      </c>
      <c r="BQ102" s="462">
        <f>IF(AT102&lt;&gt;0,SSHIBY*W102,0)</f>
        <v>1130.0952000000002</v>
      </c>
      <c r="BR102" s="462">
        <f>IF(AND(AT102&lt;&gt;0,AN102&lt;&gt;"NE"),VLOOKUP(AN102,Retirement_Rates,4,FALSE)*W102,0)</f>
        <v>9305.7494400000014</v>
      </c>
      <c r="BS102" s="462">
        <f>IF(AND(AT102&lt;&gt;0,AJ102&lt;&gt;"PF"),LifeBY*W102,0)</f>
        <v>561.93009600000005</v>
      </c>
      <c r="BT102" s="462">
        <f>IF(AND(AT102&lt;&gt;0,AM102="Y"),UIBY*W102,0)</f>
        <v>0</v>
      </c>
      <c r="BU102" s="462">
        <f>IF(AND(AT102&lt;&gt;0,N102&lt;&gt;"NR"),DHRBY*W102,0)</f>
        <v>431.77430400000003</v>
      </c>
      <c r="BV102" s="462">
        <f>IF(AT102&lt;&gt;0,WCBY*W102,0)</f>
        <v>132.49392</v>
      </c>
      <c r="BW102" s="462">
        <f>IF(OR(AND(AT102&lt;&gt;0,AJ102&lt;&gt;"PF",AN102&lt;&gt;"NE",AG102&lt;&gt;"A"),AND(AL102="E",OR(AT102=1,AT102=3))),SickBY*W102,0)</f>
        <v>0</v>
      </c>
      <c r="BX102" s="462">
        <f t="shared" si="24"/>
        <v>16394.174160000002</v>
      </c>
      <c r="BY102" s="462">
        <f t="shared" si="25"/>
        <v>0</v>
      </c>
      <c r="BZ102" s="462">
        <f t="shared" si="26"/>
        <v>0</v>
      </c>
      <c r="CA102" s="462">
        <f t="shared" si="27"/>
        <v>0</v>
      </c>
      <c r="CB102" s="462">
        <f t="shared" si="28"/>
        <v>0</v>
      </c>
      <c r="CC102" s="462">
        <f>IF(AT102&lt;&gt;0,SSHICHG*Y102,0)</f>
        <v>0</v>
      </c>
      <c r="CD102" s="462">
        <f>IF(AND(AT102&lt;&gt;0,AN102&lt;&gt;"NE"),VLOOKUP(AN102,Retirement_Rates,5,FALSE)*Y102,0)</f>
        <v>0</v>
      </c>
      <c r="CE102" s="462">
        <f>IF(AND(AT102&lt;&gt;0,AJ102&lt;&gt;"PF"),LifeCHG*Y102,0)</f>
        <v>0</v>
      </c>
      <c r="CF102" s="462">
        <f>IF(AND(AT102&lt;&gt;0,AM102="Y"),UICHG*Y102,0)</f>
        <v>-381.89424000000002</v>
      </c>
      <c r="CG102" s="462">
        <f>IF(AND(AT102&lt;&gt;0,N102&lt;&gt;"NR"),DHRCHG*Y102,0)</f>
        <v>0</v>
      </c>
      <c r="CH102" s="462">
        <f>IF(AT102&lt;&gt;0,WCCHG*Y102,0)</f>
        <v>-23.381280000000011</v>
      </c>
      <c r="CI102" s="462">
        <f>IF(OR(AND(AT102&lt;&gt;0,AJ102&lt;&gt;"PF",AN102&lt;&gt;"NE",AG102&lt;&gt;"A"),AND(AL102="E",OR(AT102=1,AT102=3))),SickCHG*Y102,0)</f>
        <v>0</v>
      </c>
      <c r="CJ102" s="462">
        <f t="shared" si="29"/>
        <v>-405.27552000000003</v>
      </c>
      <c r="CK102" s="462" t="str">
        <f t="shared" si="30"/>
        <v/>
      </c>
      <c r="CL102" s="462" t="str">
        <f t="shared" si="31"/>
        <v/>
      </c>
      <c r="CM102" s="462" t="str">
        <f t="shared" si="32"/>
        <v/>
      </c>
      <c r="CN102" s="462" t="str">
        <f t="shared" si="33"/>
        <v>0450-38</v>
      </c>
    </row>
    <row r="103" spans="1:92" ht="15" thickBot="1" x14ac:dyDescent="0.35">
      <c r="A103" s="376" t="s">
        <v>161</v>
      </c>
      <c r="B103" s="376" t="s">
        <v>162</v>
      </c>
      <c r="C103" s="376" t="s">
        <v>366</v>
      </c>
      <c r="D103" s="376" t="s">
        <v>313</v>
      </c>
      <c r="E103" s="376" t="s">
        <v>314</v>
      </c>
      <c r="F103" s="382" t="s">
        <v>406</v>
      </c>
      <c r="G103" s="376" t="s">
        <v>167</v>
      </c>
      <c r="H103" s="378"/>
      <c r="I103" s="378"/>
      <c r="J103" s="376" t="s">
        <v>168</v>
      </c>
      <c r="K103" s="376" t="s">
        <v>316</v>
      </c>
      <c r="L103" s="376" t="s">
        <v>216</v>
      </c>
      <c r="M103" s="376" t="s">
        <v>171</v>
      </c>
      <c r="N103" s="376" t="s">
        <v>172</v>
      </c>
      <c r="O103" s="379">
        <v>1</v>
      </c>
      <c r="P103" s="460">
        <v>0</v>
      </c>
      <c r="Q103" s="460">
        <v>0</v>
      </c>
      <c r="R103" s="380">
        <v>80</v>
      </c>
      <c r="S103" s="460">
        <v>0</v>
      </c>
      <c r="T103" s="380">
        <v>71498.539999999994</v>
      </c>
      <c r="U103" s="380">
        <v>0</v>
      </c>
      <c r="V103" s="380">
        <v>26891.32</v>
      </c>
      <c r="W103" s="380">
        <v>0</v>
      </c>
      <c r="X103" s="380">
        <v>0</v>
      </c>
      <c r="Y103" s="380">
        <v>0</v>
      </c>
      <c r="Z103" s="380">
        <v>0</v>
      </c>
      <c r="AA103" s="376" t="s">
        <v>367</v>
      </c>
      <c r="AB103" s="376" t="s">
        <v>368</v>
      </c>
      <c r="AC103" s="376" t="s">
        <v>369</v>
      </c>
      <c r="AD103" s="376" t="s">
        <v>370</v>
      </c>
      <c r="AE103" s="376" t="s">
        <v>316</v>
      </c>
      <c r="AF103" s="376" t="s">
        <v>311</v>
      </c>
      <c r="AG103" s="376" t="s">
        <v>178</v>
      </c>
      <c r="AH103" s="381">
        <v>35.85</v>
      </c>
      <c r="AI103" s="381">
        <v>26032.5</v>
      </c>
      <c r="AJ103" s="376" t="s">
        <v>179</v>
      </c>
      <c r="AK103" s="376" t="s">
        <v>180</v>
      </c>
      <c r="AL103" s="376" t="s">
        <v>181</v>
      </c>
      <c r="AM103" s="376" t="s">
        <v>182</v>
      </c>
      <c r="AN103" s="376" t="s">
        <v>68</v>
      </c>
      <c r="AO103" s="379">
        <v>80</v>
      </c>
      <c r="AP103" s="460">
        <v>1</v>
      </c>
      <c r="AQ103" s="460">
        <v>0</v>
      </c>
      <c r="AR103" s="458" t="s">
        <v>183</v>
      </c>
      <c r="AS103" s="462">
        <f t="shared" si="17"/>
        <v>0</v>
      </c>
      <c r="AT103">
        <f t="shared" si="18"/>
        <v>0</v>
      </c>
      <c r="AU103" s="462" t="str">
        <f>IF(AT103=0,"",IF(AND(AT103=1,M103="F",SUMIF(C2:C170,C103,AS2:AS170)&lt;=1),SUMIF(C2:C170,C103,AS2:AS170),IF(AND(AT103=1,M103="F",SUMIF(C2:C170,C103,AS2:AS170)&gt;1),1,"")))</f>
        <v/>
      </c>
      <c r="AV103" s="462" t="str">
        <f>IF(AT103=0,"",IF(AND(AT103=3,M103="F",SUMIF(C2:C170,C103,AS2:AS170)&lt;=1),SUMIF(C2:C170,C103,AS2:AS170),IF(AND(AT103=3,M103="F",SUMIF(C2:C170,C103,AS2:AS170)&gt;1),1,"")))</f>
        <v/>
      </c>
      <c r="AW103" s="462">
        <f>SUMIF(C2:C170,C103,O2:O170)</f>
        <v>2</v>
      </c>
      <c r="AX103" s="462">
        <f>IF(AND(M103="F",AS103&lt;&gt;0),SUMIF(C2:C170,C103,W2:W170),0)</f>
        <v>0</v>
      </c>
      <c r="AY103" s="462" t="str">
        <f t="shared" si="19"/>
        <v/>
      </c>
      <c r="AZ103" s="462" t="str">
        <f t="shared" si="20"/>
        <v/>
      </c>
      <c r="BA103" s="462">
        <f t="shared" si="21"/>
        <v>0</v>
      </c>
      <c r="BB103" s="462">
        <f>IF(AND(AT103=1,AK103="E",AU103&gt;=0.75,AW103=1),Health,IF(AND(AT103=1,AK103="E",AU103&gt;=0.75),Health*P103,IF(AND(AT103=1,AK103="E",AU103&gt;=0.5,AW103=1),PTHealth,IF(AND(AT103=1,AK103="E",AU103&gt;=0.5),PTHealth*P103,0))))</f>
        <v>0</v>
      </c>
      <c r="BC103" s="462">
        <f>IF(AND(AT103=3,AK103="E",AV103&gt;=0.75,AW103=1),Health,IF(AND(AT103=3,AK103="E",AV103&gt;=0.75),Health*P103,IF(AND(AT103=3,AK103="E",AV103&gt;=0.5,AW103=1),PTHealth,IF(AND(AT103=3,AK103="E",AV103&gt;=0.5),PTHealth*P103,0))))</f>
        <v>0</v>
      </c>
      <c r="BD103" s="462">
        <f>IF(AND(AT103&lt;&gt;0,AX103&gt;=MAXSSDI),SSDI*MAXSSDI*P103,IF(AT103&lt;&gt;0,SSDI*W103,0))</f>
        <v>0</v>
      </c>
      <c r="BE103" s="462">
        <f>IF(AT103&lt;&gt;0,SSHI*W103,0)</f>
        <v>0</v>
      </c>
      <c r="BF103" s="462">
        <f>IF(AND(AT103&lt;&gt;0,AN103&lt;&gt;"NE"),VLOOKUP(AN103,Retirement_Rates,3,FALSE)*W103,0)</f>
        <v>0</v>
      </c>
      <c r="BG103" s="462">
        <f>IF(AND(AT103&lt;&gt;0,AJ103&lt;&gt;"PF"),Life*W103,0)</f>
        <v>0</v>
      </c>
      <c r="BH103" s="462">
        <f>IF(AND(AT103&lt;&gt;0,AM103="Y"),UI*W103,0)</f>
        <v>0</v>
      </c>
      <c r="BI103" s="462">
        <f>IF(AND(AT103&lt;&gt;0,N103&lt;&gt;"NR"),DHR*W103,0)</f>
        <v>0</v>
      </c>
      <c r="BJ103" s="462">
        <f>IF(AT103&lt;&gt;0,WC*W103,0)</f>
        <v>0</v>
      </c>
      <c r="BK103" s="462">
        <f>IF(OR(AND(AT103&lt;&gt;0,AJ103&lt;&gt;"PF",AN103&lt;&gt;"NE",AG103&lt;&gt;"A"),AND(AL103="E",OR(AT103=1,AT103=3))),Sick*W103,0)</f>
        <v>0</v>
      </c>
      <c r="BL103" s="462">
        <f t="shared" si="22"/>
        <v>0</v>
      </c>
      <c r="BM103" s="462">
        <f t="shared" si="23"/>
        <v>0</v>
      </c>
      <c r="BN103" s="462">
        <f>IF(AND(AT103=1,AK103="E",AU103&gt;=0.75,AW103=1),HealthBY,IF(AND(AT103=1,AK103="E",AU103&gt;=0.75),HealthBY*P103,IF(AND(AT103=1,AK103="E",AU103&gt;=0.5,AW103=1),PTHealthBY,IF(AND(AT103=1,AK103="E",AU103&gt;=0.5),PTHealthBY*P103,0))))</f>
        <v>0</v>
      </c>
      <c r="BO103" s="462">
        <f>IF(AND(AT103=3,AK103="E",AV103&gt;=0.75,AW103=1),HealthBY,IF(AND(AT103=3,AK103="E",AV103&gt;=0.75),HealthBY*P103,IF(AND(AT103=3,AK103="E",AV103&gt;=0.5,AW103=1),PTHealthBY,IF(AND(AT103=3,AK103="E",AV103&gt;=0.5),PTHealthBY*P103,0))))</f>
        <v>0</v>
      </c>
      <c r="BP103" s="462">
        <f>IF(AND(AT103&lt;&gt;0,(AX103+BA103)&gt;=MAXSSDIBY),SSDIBY*MAXSSDIBY*P103,IF(AT103&lt;&gt;0,SSDIBY*W103,0))</f>
        <v>0</v>
      </c>
      <c r="BQ103" s="462">
        <f>IF(AT103&lt;&gt;0,SSHIBY*W103,0)</f>
        <v>0</v>
      </c>
      <c r="BR103" s="462">
        <f>IF(AND(AT103&lt;&gt;0,AN103&lt;&gt;"NE"),VLOOKUP(AN103,Retirement_Rates,4,FALSE)*W103,0)</f>
        <v>0</v>
      </c>
      <c r="BS103" s="462">
        <f>IF(AND(AT103&lt;&gt;0,AJ103&lt;&gt;"PF"),LifeBY*W103,0)</f>
        <v>0</v>
      </c>
      <c r="BT103" s="462">
        <f>IF(AND(AT103&lt;&gt;0,AM103="Y"),UIBY*W103,0)</f>
        <v>0</v>
      </c>
      <c r="BU103" s="462">
        <f>IF(AND(AT103&lt;&gt;0,N103&lt;&gt;"NR"),DHRBY*W103,0)</f>
        <v>0</v>
      </c>
      <c r="BV103" s="462">
        <f>IF(AT103&lt;&gt;0,WCBY*W103,0)</f>
        <v>0</v>
      </c>
      <c r="BW103" s="462">
        <f>IF(OR(AND(AT103&lt;&gt;0,AJ103&lt;&gt;"PF",AN103&lt;&gt;"NE",AG103&lt;&gt;"A"),AND(AL103="E",OR(AT103=1,AT103=3))),SickBY*W103,0)</f>
        <v>0</v>
      </c>
      <c r="BX103" s="462">
        <f t="shared" si="24"/>
        <v>0</v>
      </c>
      <c r="BY103" s="462">
        <f t="shared" si="25"/>
        <v>0</v>
      </c>
      <c r="BZ103" s="462">
        <f t="shared" si="26"/>
        <v>0</v>
      </c>
      <c r="CA103" s="462">
        <f t="shared" si="27"/>
        <v>0</v>
      </c>
      <c r="CB103" s="462">
        <f t="shared" si="28"/>
        <v>0</v>
      </c>
      <c r="CC103" s="462">
        <f>IF(AT103&lt;&gt;0,SSHICHG*Y103,0)</f>
        <v>0</v>
      </c>
      <c r="CD103" s="462">
        <f>IF(AND(AT103&lt;&gt;0,AN103&lt;&gt;"NE"),VLOOKUP(AN103,Retirement_Rates,5,FALSE)*Y103,0)</f>
        <v>0</v>
      </c>
      <c r="CE103" s="462">
        <f>IF(AND(AT103&lt;&gt;0,AJ103&lt;&gt;"PF"),LifeCHG*Y103,0)</f>
        <v>0</v>
      </c>
      <c r="CF103" s="462">
        <f>IF(AND(AT103&lt;&gt;0,AM103="Y"),UICHG*Y103,0)</f>
        <v>0</v>
      </c>
      <c r="CG103" s="462">
        <f>IF(AND(AT103&lt;&gt;0,N103&lt;&gt;"NR"),DHRCHG*Y103,0)</f>
        <v>0</v>
      </c>
      <c r="CH103" s="462">
        <f>IF(AT103&lt;&gt;0,WCCHG*Y103,0)</f>
        <v>0</v>
      </c>
      <c r="CI103" s="462">
        <f>IF(OR(AND(AT103&lt;&gt;0,AJ103&lt;&gt;"PF",AN103&lt;&gt;"NE",AG103&lt;&gt;"A"),AND(AL103="E",OR(AT103=1,AT103=3))),SickCHG*Y103,0)</f>
        <v>0</v>
      </c>
      <c r="CJ103" s="462">
        <f t="shared" si="29"/>
        <v>0</v>
      </c>
      <c r="CK103" s="462" t="str">
        <f t="shared" si="30"/>
        <v/>
      </c>
      <c r="CL103" s="462" t="str">
        <f t="shared" si="31"/>
        <v/>
      </c>
      <c r="CM103" s="462" t="str">
        <f t="shared" si="32"/>
        <v/>
      </c>
      <c r="CN103" s="462" t="str">
        <f t="shared" si="33"/>
        <v>0450-38</v>
      </c>
    </row>
    <row r="104" spans="1:92" ht="15" thickBot="1" x14ac:dyDescent="0.35">
      <c r="A104" s="376" t="s">
        <v>161</v>
      </c>
      <c r="B104" s="376" t="s">
        <v>162</v>
      </c>
      <c r="C104" s="376" t="s">
        <v>586</v>
      </c>
      <c r="D104" s="376" t="s">
        <v>436</v>
      </c>
      <c r="E104" s="376" t="s">
        <v>314</v>
      </c>
      <c r="F104" s="382" t="s">
        <v>406</v>
      </c>
      <c r="G104" s="376" t="s">
        <v>167</v>
      </c>
      <c r="H104" s="378"/>
      <c r="I104" s="378"/>
      <c r="J104" s="376" t="s">
        <v>168</v>
      </c>
      <c r="K104" s="376" t="s">
        <v>437</v>
      </c>
      <c r="L104" s="376" t="s">
        <v>216</v>
      </c>
      <c r="M104" s="376" t="s">
        <v>171</v>
      </c>
      <c r="N104" s="376" t="s">
        <v>172</v>
      </c>
      <c r="O104" s="379">
        <v>1</v>
      </c>
      <c r="P104" s="460">
        <v>1</v>
      </c>
      <c r="Q104" s="460">
        <v>1</v>
      </c>
      <c r="R104" s="380">
        <v>80</v>
      </c>
      <c r="S104" s="460">
        <v>1</v>
      </c>
      <c r="T104" s="380">
        <v>62113.599999999999</v>
      </c>
      <c r="U104" s="380">
        <v>0</v>
      </c>
      <c r="V104" s="380">
        <v>23682.97</v>
      </c>
      <c r="W104" s="380">
        <v>69638.399999999994</v>
      </c>
      <c r="X104" s="380">
        <v>26660.52</v>
      </c>
      <c r="Y104" s="380">
        <v>69638.399999999994</v>
      </c>
      <c r="Z104" s="380">
        <v>26298.41</v>
      </c>
      <c r="AA104" s="376" t="s">
        <v>587</v>
      </c>
      <c r="AB104" s="376" t="s">
        <v>588</v>
      </c>
      <c r="AC104" s="376" t="s">
        <v>589</v>
      </c>
      <c r="AD104" s="376" t="s">
        <v>334</v>
      </c>
      <c r="AE104" s="376" t="s">
        <v>437</v>
      </c>
      <c r="AF104" s="376" t="s">
        <v>311</v>
      </c>
      <c r="AG104" s="376" t="s">
        <v>178</v>
      </c>
      <c r="AH104" s="381">
        <v>33.479999999999997</v>
      </c>
      <c r="AI104" s="381">
        <v>15612.6</v>
      </c>
      <c r="AJ104" s="376" t="s">
        <v>179</v>
      </c>
      <c r="AK104" s="376" t="s">
        <v>180</v>
      </c>
      <c r="AL104" s="376" t="s">
        <v>181</v>
      </c>
      <c r="AM104" s="376" t="s">
        <v>182</v>
      </c>
      <c r="AN104" s="376" t="s">
        <v>68</v>
      </c>
      <c r="AO104" s="379">
        <v>80</v>
      </c>
      <c r="AP104" s="460">
        <v>1</v>
      </c>
      <c r="AQ104" s="460">
        <v>1</v>
      </c>
      <c r="AR104" s="458" t="s">
        <v>183</v>
      </c>
      <c r="AS104" s="462">
        <f t="shared" si="17"/>
        <v>1</v>
      </c>
      <c r="AT104">
        <f t="shared" si="18"/>
        <v>1</v>
      </c>
      <c r="AU104" s="462">
        <f>IF(AT104=0,"",IF(AND(AT104=1,M104="F",SUMIF(C2:C170,C104,AS2:AS170)&lt;=1),SUMIF(C2:C170,C104,AS2:AS170),IF(AND(AT104=1,M104="F",SUMIF(C2:C170,C104,AS2:AS170)&gt;1),1,"")))</f>
        <v>1</v>
      </c>
      <c r="AV104" s="462" t="str">
        <f>IF(AT104=0,"",IF(AND(AT104=3,M104="F",SUMIF(C2:C170,C104,AS2:AS170)&lt;=1),SUMIF(C2:C170,C104,AS2:AS170),IF(AND(AT104=3,M104="F",SUMIF(C2:C170,C104,AS2:AS170)&gt;1),1,"")))</f>
        <v/>
      </c>
      <c r="AW104" s="462">
        <f>SUMIF(C2:C170,C104,O2:O170)</f>
        <v>1</v>
      </c>
      <c r="AX104" s="462">
        <f>IF(AND(M104="F",AS104&lt;&gt;0),SUMIF(C2:C170,C104,W2:W170),0)</f>
        <v>69638.399999999994</v>
      </c>
      <c r="AY104" s="462">
        <f t="shared" si="19"/>
        <v>69638.399999999994</v>
      </c>
      <c r="AZ104" s="462" t="str">
        <f t="shared" si="20"/>
        <v/>
      </c>
      <c r="BA104" s="462">
        <f t="shared" si="21"/>
        <v>0</v>
      </c>
      <c r="BB104" s="462">
        <f>IF(AND(AT104=1,AK104="E",AU104&gt;=0.75,AW104=1),Health,IF(AND(AT104=1,AK104="E",AU104&gt;=0.75),Health*P104,IF(AND(AT104=1,AK104="E",AU104&gt;=0.5,AW104=1),PTHealth,IF(AND(AT104=1,AK104="E",AU104&gt;=0.5),PTHealth*P104,0))))</f>
        <v>11650</v>
      </c>
      <c r="BC104" s="462">
        <f>IF(AND(AT104=3,AK104="E",AV104&gt;=0.75,AW104=1),Health,IF(AND(AT104=3,AK104="E",AV104&gt;=0.75),Health*P104,IF(AND(AT104=3,AK104="E",AV104&gt;=0.5,AW104=1),PTHealth,IF(AND(AT104=3,AK104="E",AV104&gt;=0.5),PTHealth*P104,0))))</f>
        <v>0</v>
      </c>
      <c r="BD104" s="462">
        <f>IF(AND(AT104&lt;&gt;0,AX104&gt;=MAXSSDI),SSDI*MAXSSDI*P104,IF(AT104&lt;&gt;0,SSDI*W104,0))</f>
        <v>4317.5807999999997</v>
      </c>
      <c r="BE104" s="462">
        <f>IF(AT104&lt;&gt;0,SSHI*W104,0)</f>
        <v>1009.7568</v>
      </c>
      <c r="BF104" s="462">
        <f>IF(AND(AT104&lt;&gt;0,AN104&lt;&gt;"NE"),VLOOKUP(AN104,Retirement_Rates,3,FALSE)*W104,0)</f>
        <v>8314.8249599999999</v>
      </c>
      <c r="BG104" s="462">
        <f>IF(AND(AT104&lt;&gt;0,AJ104&lt;&gt;"PF"),Life*W104,0)</f>
        <v>502.09286399999996</v>
      </c>
      <c r="BH104" s="462">
        <f>IF(AND(AT104&lt;&gt;0,AM104="Y"),UI*W104,0)</f>
        <v>341.22815999999995</v>
      </c>
      <c r="BI104" s="462">
        <f>IF(AND(AT104&lt;&gt;0,N104&lt;&gt;"NR"),DHR*W104,0)</f>
        <v>385.79673599999995</v>
      </c>
      <c r="BJ104" s="462">
        <f>IF(AT104&lt;&gt;0,WC*W104,0)</f>
        <v>139.27679999999998</v>
      </c>
      <c r="BK104" s="462">
        <f>IF(OR(AND(AT104&lt;&gt;0,AJ104&lt;&gt;"PF",AN104&lt;&gt;"NE",AG104&lt;&gt;"A"),AND(AL104="E",OR(AT104=1,AT104=3))),Sick*W104,0)</f>
        <v>0</v>
      </c>
      <c r="BL104" s="462">
        <f t="shared" si="22"/>
        <v>15010.557120000001</v>
      </c>
      <c r="BM104" s="462">
        <f t="shared" si="23"/>
        <v>0</v>
      </c>
      <c r="BN104" s="462">
        <f>IF(AND(AT104=1,AK104="E",AU104&gt;=0.75,AW104=1),HealthBY,IF(AND(AT104=1,AK104="E",AU104&gt;=0.75),HealthBY*P104,IF(AND(AT104=1,AK104="E",AU104&gt;=0.5,AW104=1),PTHealthBY,IF(AND(AT104=1,AK104="E",AU104&gt;=0.5),PTHealthBY*P104,0))))</f>
        <v>11650</v>
      </c>
      <c r="BO104" s="462">
        <f>IF(AND(AT104=3,AK104="E",AV104&gt;=0.75,AW104=1),HealthBY,IF(AND(AT104=3,AK104="E",AV104&gt;=0.75),HealthBY*P104,IF(AND(AT104=3,AK104="E",AV104&gt;=0.5,AW104=1),PTHealthBY,IF(AND(AT104=3,AK104="E",AV104&gt;=0.5),PTHealthBY*P104,0))))</f>
        <v>0</v>
      </c>
      <c r="BP104" s="462">
        <f>IF(AND(AT104&lt;&gt;0,(AX104+BA104)&gt;=MAXSSDIBY),SSDIBY*MAXSSDIBY*P104,IF(AT104&lt;&gt;0,SSDIBY*W104,0))</f>
        <v>4317.5807999999997</v>
      </c>
      <c r="BQ104" s="462">
        <f>IF(AT104&lt;&gt;0,SSHIBY*W104,0)</f>
        <v>1009.7568</v>
      </c>
      <c r="BR104" s="462">
        <f>IF(AND(AT104&lt;&gt;0,AN104&lt;&gt;"NE"),VLOOKUP(AN104,Retirement_Rates,4,FALSE)*W104,0)</f>
        <v>8314.8249599999999</v>
      </c>
      <c r="BS104" s="462">
        <f>IF(AND(AT104&lt;&gt;0,AJ104&lt;&gt;"PF"),LifeBY*W104,0)</f>
        <v>502.09286399999996</v>
      </c>
      <c r="BT104" s="462">
        <f>IF(AND(AT104&lt;&gt;0,AM104="Y"),UIBY*W104,0)</f>
        <v>0</v>
      </c>
      <c r="BU104" s="462">
        <f>IF(AND(AT104&lt;&gt;0,N104&lt;&gt;"NR"),DHRBY*W104,0)</f>
        <v>385.79673599999995</v>
      </c>
      <c r="BV104" s="462">
        <f>IF(AT104&lt;&gt;0,WCBY*W104,0)</f>
        <v>118.38527999999998</v>
      </c>
      <c r="BW104" s="462">
        <f>IF(OR(AND(AT104&lt;&gt;0,AJ104&lt;&gt;"PF",AN104&lt;&gt;"NE",AG104&lt;&gt;"A"),AND(AL104="E",OR(AT104=1,AT104=3))),SickBY*W104,0)</f>
        <v>0</v>
      </c>
      <c r="BX104" s="462">
        <f t="shared" si="24"/>
        <v>14648.437440000002</v>
      </c>
      <c r="BY104" s="462">
        <f t="shared" si="25"/>
        <v>0</v>
      </c>
      <c r="BZ104" s="462">
        <f t="shared" si="26"/>
        <v>0</v>
      </c>
      <c r="CA104" s="462">
        <f t="shared" si="27"/>
        <v>0</v>
      </c>
      <c r="CB104" s="462">
        <f t="shared" si="28"/>
        <v>0</v>
      </c>
      <c r="CC104" s="462">
        <f>IF(AT104&lt;&gt;0,SSHICHG*Y104,0)</f>
        <v>0</v>
      </c>
      <c r="CD104" s="462">
        <f>IF(AND(AT104&lt;&gt;0,AN104&lt;&gt;"NE"),VLOOKUP(AN104,Retirement_Rates,5,FALSE)*Y104,0)</f>
        <v>0</v>
      </c>
      <c r="CE104" s="462">
        <f>IF(AND(AT104&lt;&gt;0,AJ104&lt;&gt;"PF"),LifeCHG*Y104,0)</f>
        <v>0</v>
      </c>
      <c r="CF104" s="462">
        <f>IF(AND(AT104&lt;&gt;0,AM104="Y"),UICHG*Y104,0)</f>
        <v>-341.22815999999995</v>
      </c>
      <c r="CG104" s="462">
        <f>IF(AND(AT104&lt;&gt;0,N104&lt;&gt;"NR"),DHRCHG*Y104,0)</f>
        <v>0</v>
      </c>
      <c r="CH104" s="462">
        <f>IF(AT104&lt;&gt;0,WCCHG*Y104,0)</f>
        <v>-20.891520000000007</v>
      </c>
      <c r="CI104" s="462">
        <f>IF(OR(AND(AT104&lt;&gt;0,AJ104&lt;&gt;"PF",AN104&lt;&gt;"NE",AG104&lt;&gt;"A"),AND(AL104="E",OR(AT104=1,AT104=3))),SickCHG*Y104,0)</f>
        <v>0</v>
      </c>
      <c r="CJ104" s="462">
        <f t="shared" si="29"/>
        <v>-362.11967999999996</v>
      </c>
      <c r="CK104" s="462" t="str">
        <f t="shared" si="30"/>
        <v/>
      </c>
      <c r="CL104" s="462" t="str">
        <f t="shared" si="31"/>
        <v/>
      </c>
      <c r="CM104" s="462" t="str">
        <f t="shared" si="32"/>
        <v/>
      </c>
      <c r="CN104" s="462" t="str">
        <f t="shared" si="33"/>
        <v>0450-38</v>
      </c>
    </row>
    <row r="105" spans="1:92" ht="15" thickBot="1" x14ac:dyDescent="0.35">
      <c r="A105" s="376" t="s">
        <v>161</v>
      </c>
      <c r="B105" s="376" t="s">
        <v>162</v>
      </c>
      <c r="C105" s="376" t="s">
        <v>312</v>
      </c>
      <c r="D105" s="376" t="s">
        <v>313</v>
      </c>
      <c r="E105" s="376" t="s">
        <v>314</v>
      </c>
      <c r="F105" s="382" t="s">
        <v>406</v>
      </c>
      <c r="G105" s="376" t="s">
        <v>167</v>
      </c>
      <c r="H105" s="378"/>
      <c r="I105" s="378"/>
      <c r="J105" s="376" t="s">
        <v>168</v>
      </c>
      <c r="K105" s="376" t="s">
        <v>316</v>
      </c>
      <c r="L105" s="376" t="s">
        <v>216</v>
      </c>
      <c r="M105" s="376" t="s">
        <v>171</v>
      </c>
      <c r="N105" s="376" t="s">
        <v>172</v>
      </c>
      <c r="O105" s="379">
        <v>1</v>
      </c>
      <c r="P105" s="460">
        <v>0</v>
      </c>
      <c r="Q105" s="460">
        <v>0</v>
      </c>
      <c r="R105" s="380">
        <v>80</v>
      </c>
      <c r="S105" s="460">
        <v>0</v>
      </c>
      <c r="T105" s="380">
        <v>59147.58</v>
      </c>
      <c r="U105" s="380">
        <v>0</v>
      </c>
      <c r="V105" s="380">
        <v>23002.93</v>
      </c>
      <c r="W105" s="380">
        <v>0</v>
      </c>
      <c r="X105" s="380">
        <v>0</v>
      </c>
      <c r="Y105" s="380">
        <v>0</v>
      </c>
      <c r="Z105" s="380">
        <v>0</v>
      </c>
      <c r="AA105" s="376" t="s">
        <v>317</v>
      </c>
      <c r="AB105" s="376" t="s">
        <v>318</v>
      </c>
      <c r="AC105" s="376" t="s">
        <v>319</v>
      </c>
      <c r="AD105" s="376" t="s">
        <v>171</v>
      </c>
      <c r="AE105" s="376" t="s">
        <v>316</v>
      </c>
      <c r="AF105" s="376" t="s">
        <v>311</v>
      </c>
      <c r="AG105" s="376" t="s">
        <v>178</v>
      </c>
      <c r="AH105" s="381">
        <v>32.83</v>
      </c>
      <c r="AI105" s="381">
        <v>2003.1</v>
      </c>
      <c r="AJ105" s="376" t="s">
        <v>179</v>
      </c>
      <c r="AK105" s="376" t="s">
        <v>180</v>
      </c>
      <c r="AL105" s="376" t="s">
        <v>181</v>
      </c>
      <c r="AM105" s="376" t="s">
        <v>182</v>
      </c>
      <c r="AN105" s="376" t="s">
        <v>68</v>
      </c>
      <c r="AO105" s="379">
        <v>80</v>
      </c>
      <c r="AP105" s="460">
        <v>1</v>
      </c>
      <c r="AQ105" s="460">
        <v>0</v>
      </c>
      <c r="AR105" s="458" t="s">
        <v>183</v>
      </c>
      <c r="AS105" s="462">
        <f t="shared" si="17"/>
        <v>0</v>
      </c>
      <c r="AT105">
        <f t="shared" si="18"/>
        <v>0</v>
      </c>
      <c r="AU105" s="462" t="str">
        <f>IF(AT105=0,"",IF(AND(AT105=1,M105="F",SUMIF(C2:C170,C105,AS2:AS170)&lt;=1),SUMIF(C2:C170,C105,AS2:AS170),IF(AND(AT105=1,M105="F",SUMIF(C2:C170,C105,AS2:AS170)&gt;1),1,"")))</f>
        <v/>
      </c>
      <c r="AV105" s="462" t="str">
        <f>IF(AT105=0,"",IF(AND(AT105=3,M105="F",SUMIF(C2:C170,C105,AS2:AS170)&lt;=1),SUMIF(C2:C170,C105,AS2:AS170),IF(AND(AT105=3,M105="F",SUMIF(C2:C170,C105,AS2:AS170)&gt;1),1,"")))</f>
        <v/>
      </c>
      <c r="AW105" s="462">
        <f>SUMIF(C2:C170,C105,O2:O170)</f>
        <v>2</v>
      </c>
      <c r="AX105" s="462">
        <f>IF(AND(M105="F",AS105&lt;&gt;0),SUMIF(C2:C170,C105,W2:W170),0)</f>
        <v>0</v>
      </c>
      <c r="AY105" s="462" t="str">
        <f t="shared" si="19"/>
        <v/>
      </c>
      <c r="AZ105" s="462" t="str">
        <f t="shared" si="20"/>
        <v/>
      </c>
      <c r="BA105" s="462">
        <f t="shared" si="21"/>
        <v>0</v>
      </c>
      <c r="BB105" s="462">
        <f>IF(AND(AT105=1,AK105="E",AU105&gt;=0.75,AW105=1),Health,IF(AND(AT105=1,AK105="E",AU105&gt;=0.75),Health*P105,IF(AND(AT105=1,AK105="E",AU105&gt;=0.5,AW105=1),PTHealth,IF(AND(AT105=1,AK105="E",AU105&gt;=0.5),PTHealth*P105,0))))</f>
        <v>0</v>
      </c>
      <c r="BC105" s="462">
        <f>IF(AND(AT105=3,AK105="E",AV105&gt;=0.75,AW105=1),Health,IF(AND(AT105=3,AK105="E",AV105&gt;=0.75),Health*P105,IF(AND(AT105=3,AK105="E",AV105&gt;=0.5,AW105=1),PTHealth,IF(AND(AT105=3,AK105="E",AV105&gt;=0.5),PTHealth*P105,0))))</f>
        <v>0</v>
      </c>
      <c r="BD105" s="462">
        <f>IF(AND(AT105&lt;&gt;0,AX105&gt;=MAXSSDI),SSDI*MAXSSDI*P105,IF(AT105&lt;&gt;0,SSDI*W105,0))</f>
        <v>0</v>
      </c>
      <c r="BE105" s="462">
        <f>IF(AT105&lt;&gt;0,SSHI*W105,0)</f>
        <v>0</v>
      </c>
      <c r="BF105" s="462">
        <f>IF(AND(AT105&lt;&gt;0,AN105&lt;&gt;"NE"),VLOOKUP(AN105,Retirement_Rates,3,FALSE)*W105,0)</f>
        <v>0</v>
      </c>
      <c r="BG105" s="462">
        <f>IF(AND(AT105&lt;&gt;0,AJ105&lt;&gt;"PF"),Life*W105,0)</f>
        <v>0</v>
      </c>
      <c r="BH105" s="462">
        <f>IF(AND(AT105&lt;&gt;0,AM105="Y"),UI*W105,0)</f>
        <v>0</v>
      </c>
      <c r="BI105" s="462">
        <f>IF(AND(AT105&lt;&gt;0,N105&lt;&gt;"NR"),DHR*W105,0)</f>
        <v>0</v>
      </c>
      <c r="BJ105" s="462">
        <f>IF(AT105&lt;&gt;0,WC*W105,0)</f>
        <v>0</v>
      </c>
      <c r="BK105" s="462">
        <f>IF(OR(AND(AT105&lt;&gt;0,AJ105&lt;&gt;"PF",AN105&lt;&gt;"NE",AG105&lt;&gt;"A"),AND(AL105="E",OR(AT105=1,AT105=3))),Sick*W105,0)</f>
        <v>0</v>
      </c>
      <c r="BL105" s="462">
        <f t="shared" si="22"/>
        <v>0</v>
      </c>
      <c r="BM105" s="462">
        <f t="shared" si="23"/>
        <v>0</v>
      </c>
      <c r="BN105" s="462">
        <f>IF(AND(AT105=1,AK105="E",AU105&gt;=0.75,AW105=1),HealthBY,IF(AND(AT105=1,AK105="E",AU105&gt;=0.75),HealthBY*P105,IF(AND(AT105=1,AK105="E",AU105&gt;=0.5,AW105=1),PTHealthBY,IF(AND(AT105=1,AK105="E",AU105&gt;=0.5),PTHealthBY*P105,0))))</f>
        <v>0</v>
      </c>
      <c r="BO105" s="462">
        <f>IF(AND(AT105=3,AK105="E",AV105&gt;=0.75,AW105=1),HealthBY,IF(AND(AT105=3,AK105="E",AV105&gt;=0.75),HealthBY*P105,IF(AND(AT105=3,AK105="E",AV105&gt;=0.5,AW105=1),PTHealthBY,IF(AND(AT105=3,AK105="E",AV105&gt;=0.5),PTHealthBY*P105,0))))</f>
        <v>0</v>
      </c>
      <c r="BP105" s="462">
        <f>IF(AND(AT105&lt;&gt;0,(AX105+BA105)&gt;=MAXSSDIBY),SSDIBY*MAXSSDIBY*P105,IF(AT105&lt;&gt;0,SSDIBY*W105,0))</f>
        <v>0</v>
      </c>
      <c r="BQ105" s="462">
        <f>IF(AT105&lt;&gt;0,SSHIBY*W105,0)</f>
        <v>0</v>
      </c>
      <c r="BR105" s="462">
        <f>IF(AND(AT105&lt;&gt;0,AN105&lt;&gt;"NE"),VLOOKUP(AN105,Retirement_Rates,4,FALSE)*W105,0)</f>
        <v>0</v>
      </c>
      <c r="BS105" s="462">
        <f>IF(AND(AT105&lt;&gt;0,AJ105&lt;&gt;"PF"),LifeBY*W105,0)</f>
        <v>0</v>
      </c>
      <c r="BT105" s="462">
        <f>IF(AND(AT105&lt;&gt;0,AM105="Y"),UIBY*W105,0)</f>
        <v>0</v>
      </c>
      <c r="BU105" s="462">
        <f>IF(AND(AT105&lt;&gt;0,N105&lt;&gt;"NR"),DHRBY*W105,0)</f>
        <v>0</v>
      </c>
      <c r="BV105" s="462">
        <f>IF(AT105&lt;&gt;0,WCBY*W105,0)</f>
        <v>0</v>
      </c>
      <c r="BW105" s="462">
        <f>IF(OR(AND(AT105&lt;&gt;0,AJ105&lt;&gt;"PF",AN105&lt;&gt;"NE",AG105&lt;&gt;"A"),AND(AL105="E",OR(AT105=1,AT105=3))),SickBY*W105,0)</f>
        <v>0</v>
      </c>
      <c r="BX105" s="462">
        <f t="shared" si="24"/>
        <v>0</v>
      </c>
      <c r="BY105" s="462">
        <f t="shared" si="25"/>
        <v>0</v>
      </c>
      <c r="BZ105" s="462">
        <f t="shared" si="26"/>
        <v>0</v>
      </c>
      <c r="CA105" s="462">
        <f t="shared" si="27"/>
        <v>0</v>
      </c>
      <c r="CB105" s="462">
        <f t="shared" si="28"/>
        <v>0</v>
      </c>
      <c r="CC105" s="462">
        <f>IF(AT105&lt;&gt;0,SSHICHG*Y105,0)</f>
        <v>0</v>
      </c>
      <c r="CD105" s="462">
        <f>IF(AND(AT105&lt;&gt;0,AN105&lt;&gt;"NE"),VLOOKUP(AN105,Retirement_Rates,5,FALSE)*Y105,0)</f>
        <v>0</v>
      </c>
      <c r="CE105" s="462">
        <f>IF(AND(AT105&lt;&gt;0,AJ105&lt;&gt;"PF"),LifeCHG*Y105,0)</f>
        <v>0</v>
      </c>
      <c r="CF105" s="462">
        <f>IF(AND(AT105&lt;&gt;0,AM105="Y"),UICHG*Y105,0)</f>
        <v>0</v>
      </c>
      <c r="CG105" s="462">
        <f>IF(AND(AT105&lt;&gt;0,N105&lt;&gt;"NR"),DHRCHG*Y105,0)</f>
        <v>0</v>
      </c>
      <c r="CH105" s="462">
        <f>IF(AT105&lt;&gt;0,WCCHG*Y105,0)</f>
        <v>0</v>
      </c>
      <c r="CI105" s="462">
        <f>IF(OR(AND(AT105&lt;&gt;0,AJ105&lt;&gt;"PF",AN105&lt;&gt;"NE",AG105&lt;&gt;"A"),AND(AL105="E",OR(AT105=1,AT105=3))),SickCHG*Y105,0)</f>
        <v>0</v>
      </c>
      <c r="CJ105" s="462">
        <f t="shared" si="29"/>
        <v>0</v>
      </c>
      <c r="CK105" s="462" t="str">
        <f t="shared" si="30"/>
        <v/>
      </c>
      <c r="CL105" s="462" t="str">
        <f t="shared" si="31"/>
        <v/>
      </c>
      <c r="CM105" s="462" t="str">
        <f t="shared" si="32"/>
        <v/>
      </c>
      <c r="CN105" s="462" t="str">
        <f t="shared" si="33"/>
        <v>0450-38</v>
      </c>
    </row>
    <row r="106" spans="1:92" ht="15" thickBot="1" x14ac:dyDescent="0.35">
      <c r="A106" s="376" t="s">
        <v>161</v>
      </c>
      <c r="B106" s="376" t="s">
        <v>162</v>
      </c>
      <c r="C106" s="376" t="s">
        <v>590</v>
      </c>
      <c r="D106" s="376" t="s">
        <v>591</v>
      </c>
      <c r="E106" s="376" t="s">
        <v>314</v>
      </c>
      <c r="F106" s="382" t="s">
        <v>406</v>
      </c>
      <c r="G106" s="376" t="s">
        <v>167</v>
      </c>
      <c r="H106" s="378"/>
      <c r="I106" s="378"/>
      <c r="J106" s="376" t="s">
        <v>168</v>
      </c>
      <c r="K106" s="376" t="s">
        <v>592</v>
      </c>
      <c r="L106" s="376" t="s">
        <v>181</v>
      </c>
      <c r="M106" s="376" t="s">
        <v>171</v>
      </c>
      <c r="N106" s="376" t="s">
        <v>172</v>
      </c>
      <c r="O106" s="379">
        <v>1</v>
      </c>
      <c r="P106" s="460">
        <v>1</v>
      </c>
      <c r="Q106" s="460">
        <v>1</v>
      </c>
      <c r="R106" s="380">
        <v>80</v>
      </c>
      <c r="S106" s="460">
        <v>1</v>
      </c>
      <c r="T106" s="380">
        <v>78599.17</v>
      </c>
      <c r="U106" s="380">
        <v>0</v>
      </c>
      <c r="V106" s="380">
        <v>28640.15</v>
      </c>
      <c r="W106" s="380">
        <v>81536</v>
      </c>
      <c r="X106" s="380">
        <v>29225.05</v>
      </c>
      <c r="Y106" s="380">
        <v>81536</v>
      </c>
      <c r="Z106" s="380">
        <v>28801.07</v>
      </c>
      <c r="AA106" s="376" t="s">
        <v>593</v>
      </c>
      <c r="AB106" s="376" t="s">
        <v>594</v>
      </c>
      <c r="AC106" s="376" t="s">
        <v>595</v>
      </c>
      <c r="AD106" s="376" t="s">
        <v>270</v>
      </c>
      <c r="AE106" s="376" t="s">
        <v>592</v>
      </c>
      <c r="AF106" s="376" t="s">
        <v>349</v>
      </c>
      <c r="AG106" s="376" t="s">
        <v>178</v>
      </c>
      <c r="AH106" s="381">
        <v>39.200000000000003</v>
      </c>
      <c r="AI106" s="381">
        <v>31874.1</v>
      </c>
      <c r="AJ106" s="376" t="s">
        <v>179</v>
      </c>
      <c r="AK106" s="376" t="s">
        <v>180</v>
      </c>
      <c r="AL106" s="376" t="s">
        <v>181</v>
      </c>
      <c r="AM106" s="376" t="s">
        <v>182</v>
      </c>
      <c r="AN106" s="376" t="s">
        <v>68</v>
      </c>
      <c r="AO106" s="379">
        <v>80</v>
      </c>
      <c r="AP106" s="460">
        <v>1</v>
      </c>
      <c r="AQ106" s="460">
        <v>1</v>
      </c>
      <c r="AR106" s="458" t="s">
        <v>183</v>
      </c>
      <c r="AS106" s="462">
        <f t="shared" si="17"/>
        <v>1</v>
      </c>
      <c r="AT106">
        <f t="shared" si="18"/>
        <v>1</v>
      </c>
      <c r="AU106" s="462">
        <f>IF(AT106=0,"",IF(AND(AT106=1,M106="F",SUMIF(C2:C170,C106,AS2:AS170)&lt;=1),SUMIF(C2:C170,C106,AS2:AS170),IF(AND(AT106=1,M106="F",SUMIF(C2:C170,C106,AS2:AS170)&gt;1),1,"")))</f>
        <v>1</v>
      </c>
      <c r="AV106" s="462" t="str">
        <f>IF(AT106=0,"",IF(AND(AT106=3,M106="F",SUMIF(C2:C170,C106,AS2:AS170)&lt;=1),SUMIF(C2:C170,C106,AS2:AS170),IF(AND(AT106=3,M106="F",SUMIF(C2:C170,C106,AS2:AS170)&gt;1),1,"")))</f>
        <v/>
      </c>
      <c r="AW106" s="462">
        <f>SUMIF(C2:C170,C106,O2:O170)</f>
        <v>1</v>
      </c>
      <c r="AX106" s="462">
        <f>IF(AND(M106="F",AS106&lt;&gt;0),SUMIF(C2:C170,C106,W2:W170),0)</f>
        <v>81536</v>
      </c>
      <c r="AY106" s="462">
        <f t="shared" si="19"/>
        <v>81536</v>
      </c>
      <c r="AZ106" s="462" t="str">
        <f t="shared" si="20"/>
        <v/>
      </c>
      <c r="BA106" s="462">
        <f t="shared" si="21"/>
        <v>0</v>
      </c>
      <c r="BB106" s="462">
        <f>IF(AND(AT106=1,AK106="E",AU106&gt;=0.75,AW106=1),Health,IF(AND(AT106=1,AK106="E",AU106&gt;=0.75),Health*P106,IF(AND(AT106=1,AK106="E",AU106&gt;=0.5,AW106=1),PTHealth,IF(AND(AT106=1,AK106="E",AU106&gt;=0.5),PTHealth*P106,0))))</f>
        <v>11650</v>
      </c>
      <c r="BC106" s="462">
        <f>IF(AND(AT106=3,AK106="E",AV106&gt;=0.75,AW106=1),Health,IF(AND(AT106=3,AK106="E",AV106&gt;=0.75),Health*P106,IF(AND(AT106=3,AK106="E",AV106&gt;=0.5,AW106=1),PTHealth,IF(AND(AT106=3,AK106="E",AV106&gt;=0.5),PTHealth*P106,0))))</f>
        <v>0</v>
      </c>
      <c r="BD106" s="462">
        <f>IF(AND(AT106&lt;&gt;0,AX106&gt;=MAXSSDI),SSDI*MAXSSDI*P106,IF(AT106&lt;&gt;0,SSDI*W106,0))</f>
        <v>5055.232</v>
      </c>
      <c r="BE106" s="462">
        <f>IF(AT106&lt;&gt;0,SSHI*W106,0)</f>
        <v>1182.2720000000002</v>
      </c>
      <c r="BF106" s="462">
        <f>IF(AND(AT106&lt;&gt;0,AN106&lt;&gt;"NE"),VLOOKUP(AN106,Retirement_Rates,3,FALSE)*W106,0)</f>
        <v>9735.3984</v>
      </c>
      <c r="BG106" s="462">
        <f>IF(AND(AT106&lt;&gt;0,AJ106&lt;&gt;"PF"),Life*W106,0)</f>
        <v>587.87455999999997</v>
      </c>
      <c r="BH106" s="462">
        <f>IF(AND(AT106&lt;&gt;0,AM106="Y"),UI*W106,0)</f>
        <v>399.52639999999997</v>
      </c>
      <c r="BI106" s="462">
        <f>IF(AND(AT106&lt;&gt;0,N106&lt;&gt;"NR"),DHR*W106,0)</f>
        <v>451.70943999999997</v>
      </c>
      <c r="BJ106" s="462">
        <f>IF(AT106&lt;&gt;0,WC*W106,0)</f>
        <v>163.072</v>
      </c>
      <c r="BK106" s="462">
        <f>IF(OR(AND(AT106&lt;&gt;0,AJ106&lt;&gt;"PF",AN106&lt;&gt;"NE",AG106&lt;&gt;"A"),AND(AL106="E",OR(AT106=1,AT106=3))),Sick*W106,0)</f>
        <v>0</v>
      </c>
      <c r="BL106" s="462">
        <f t="shared" si="22"/>
        <v>17575.084799999997</v>
      </c>
      <c r="BM106" s="462">
        <f t="shared" si="23"/>
        <v>0</v>
      </c>
      <c r="BN106" s="462">
        <f>IF(AND(AT106=1,AK106="E",AU106&gt;=0.75,AW106=1),HealthBY,IF(AND(AT106=1,AK106="E",AU106&gt;=0.75),HealthBY*P106,IF(AND(AT106=1,AK106="E",AU106&gt;=0.5,AW106=1),PTHealthBY,IF(AND(AT106=1,AK106="E",AU106&gt;=0.5),PTHealthBY*P106,0))))</f>
        <v>11650</v>
      </c>
      <c r="BO106" s="462">
        <f>IF(AND(AT106=3,AK106="E",AV106&gt;=0.75,AW106=1),HealthBY,IF(AND(AT106=3,AK106="E",AV106&gt;=0.75),HealthBY*P106,IF(AND(AT106=3,AK106="E",AV106&gt;=0.5,AW106=1),PTHealthBY,IF(AND(AT106=3,AK106="E",AV106&gt;=0.5),PTHealthBY*P106,0))))</f>
        <v>0</v>
      </c>
      <c r="BP106" s="462">
        <f>IF(AND(AT106&lt;&gt;0,(AX106+BA106)&gt;=MAXSSDIBY),SSDIBY*MAXSSDIBY*P106,IF(AT106&lt;&gt;0,SSDIBY*W106,0))</f>
        <v>5055.232</v>
      </c>
      <c r="BQ106" s="462">
        <f>IF(AT106&lt;&gt;0,SSHIBY*W106,0)</f>
        <v>1182.2720000000002</v>
      </c>
      <c r="BR106" s="462">
        <f>IF(AND(AT106&lt;&gt;0,AN106&lt;&gt;"NE"),VLOOKUP(AN106,Retirement_Rates,4,FALSE)*W106,0)</f>
        <v>9735.3984</v>
      </c>
      <c r="BS106" s="462">
        <f>IF(AND(AT106&lt;&gt;0,AJ106&lt;&gt;"PF"),LifeBY*W106,0)</f>
        <v>587.87455999999997</v>
      </c>
      <c r="BT106" s="462">
        <f>IF(AND(AT106&lt;&gt;0,AM106="Y"),UIBY*W106,0)</f>
        <v>0</v>
      </c>
      <c r="BU106" s="462">
        <f>IF(AND(AT106&lt;&gt;0,N106&lt;&gt;"NR"),DHRBY*W106,0)</f>
        <v>451.70943999999997</v>
      </c>
      <c r="BV106" s="462">
        <f>IF(AT106&lt;&gt;0,WCBY*W106,0)</f>
        <v>138.6112</v>
      </c>
      <c r="BW106" s="462">
        <f>IF(OR(AND(AT106&lt;&gt;0,AJ106&lt;&gt;"PF",AN106&lt;&gt;"NE",AG106&lt;&gt;"A"),AND(AL106="E",OR(AT106=1,AT106=3))),SickBY*W106,0)</f>
        <v>0</v>
      </c>
      <c r="BX106" s="462">
        <f t="shared" si="24"/>
        <v>17151.097599999997</v>
      </c>
      <c r="BY106" s="462">
        <f t="shared" si="25"/>
        <v>0</v>
      </c>
      <c r="BZ106" s="462">
        <f t="shared" si="26"/>
        <v>0</v>
      </c>
      <c r="CA106" s="462">
        <f t="shared" si="27"/>
        <v>0</v>
      </c>
      <c r="CB106" s="462">
        <f t="shared" si="28"/>
        <v>0</v>
      </c>
      <c r="CC106" s="462">
        <f>IF(AT106&lt;&gt;0,SSHICHG*Y106,0)</f>
        <v>0</v>
      </c>
      <c r="CD106" s="462">
        <f>IF(AND(AT106&lt;&gt;0,AN106&lt;&gt;"NE"),VLOOKUP(AN106,Retirement_Rates,5,FALSE)*Y106,0)</f>
        <v>0</v>
      </c>
      <c r="CE106" s="462">
        <f>IF(AND(AT106&lt;&gt;0,AJ106&lt;&gt;"PF"),LifeCHG*Y106,0)</f>
        <v>0</v>
      </c>
      <c r="CF106" s="462">
        <f>IF(AND(AT106&lt;&gt;0,AM106="Y"),UICHG*Y106,0)</f>
        <v>-399.52639999999997</v>
      </c>
      <c r="CG106" s="462">
        <f>IF(AND(AT106&lt;&gt;0,N106&lt;&gt;"NR"),DHRCHG*Y106,0)</f>
        <v>0</v>
      </c>
      <c r="CH106" s="462">
        <f>IF(AT106&lt;&gt;0,WCCHG*Y106,0)</f>
        <v>-24.46080000000001</v>
      </c>
      <c r="CI106" s="462">
        <f>IF(OR(AND(AT106&lt;&gt;0,AJ106&lt;&gt;"PF",AN106&lt;&gt;"NE",AG106&lt;&gt;"A"),AND(AL106="E",OR(AT106=1,AT106=3))),SickCHG*Y106,0)</f>
        <v>0</v>
      </c>
      <c r="CJ106" s="462">
        <f t="shared" si="29"/>
        <v>-423.98719999999997</v>
      </c>
      <c r="CK106" s="462" t="str">
        <f t="shared" si="30"/>
        <v/>
      </c>
      <c r="CL106" s="462" t="str">
        <f t="shared" si="31"/>
        <v/>
      </c>
      <c r="CM106" s="462" t="str">
        <f t="shared" si="32"/>
        <v/>
      </c>
      <c r="CN106" s="462" t="str">
        <f t="shared" si="33"/>
        <v>0450-38</v>
      </c>
    </row>
    <row r="107" spans="1:92" ht="15" thickBot="1" x14ac:dyDescent="0.35">
      <c r="A107" s="376" t="s">
        <v>161</v>
      </c>
      <c r="B107" s="376" t="s">
        <v>162</v>
      </c>
      <c r="C107" s="376" t="s">
        <v>596</v>
      </c>
      <c r="D107" s="376" t="s">
        <v>436</v>
      </c>
      <c r="E107" s="376" t="s">
        <v>314</v>
      </c>
      <c r="F107" s="382" t="s">
        <v>406</v>
      </c>
      <c r="G107" s="376" t="s">
        <v>167</v>
      </c>
      <c r="H107" s="378"/>
      <c r="I107" s="378"/>
      <c r="J107" s="376" t="s">
        <v>168</v>
      </c>
      <c r="K107" s="376" t="s">
        <v>437</v>
      </c>
      <c r="L107" s="376" t="s">
        <v>216</v>
      </c>
      <c r="M107" s="376" t="s">
        <v>171</v>
      </c>
      <c r="N107" s="376" t="s">
        <v>172</v>
      </c>
      <c r="O107" s="379">
        <v>1</v>
      </c>
      <c r="P107" s="460">
        <v>1</v>
      </c>
      <c r="Q107" s="460">
        <v>1</v>
      </c>
      <c r="R107" s="380">
        <v>80</v>
      </c>
      <c r="S107" s="460">
        <v>1</v>
      </c>
      <c r="T107" s="380">
        <v>67808.02</v>
      </c>
      <c r="U107" s="380">
        <v>0</v>
      </c>
      <c r="V107" s="380">
        <v>26809.43</v>
      </c>
      <c r="W107" s="380">
        <v>68952</v>
      </c>
      <c r="X107" s="380">
        <v>26512.57</v>
      </c>
      <c r="Y107" s="380">
        <v>68952</v>
      </c>
      <c r="Z107" s="380">
        <v>26154.02</v>
      </c>
      <c r="AA107" s="376" t="s">
        <v>597</v>
      </c>
      <c r="AB107" s="376" t="s">
        <v>598</v>
      </c>
      <c r="AC107" s="376" t="s">
        <v>599</v>
      </c>
      <c r="AD107" s="376" t="s">
        <v>208</v>
      </c>
      <c r="AE107" s="376" t="s">
        <v>437</v>
      </c>
      <c r="AF107" s="376" t="s">
        <v>311</v>
      </c>
      <c r="AG107" s="376" t="s">
        <v>178</v>
      </c>
      <c r="AH107" s="381">
        <v>33.15</v>
      </c>
      <c r="AI107" s="379">
        <v>2160</v>
      </c>
      <c r="AJ107" s="376" t="s">
        <v>179</v>
      </c>
      <c r="AK107" s="376" t="s">
        <v>180</v>
      </c>
      <c r="AL107" s="376" t="s">
        <v>181</v>
      </c>
      <c r="AM107" s="376" t="s">
        <v>182</v>
      </c>
      <c r="AN107" s="376" t="s">
        <v>68</v>
      </c>
      <c r="AO107" s="379">
        <v>80</v>
      </c>
      <c r="AP107" s="460">
        <v>1</v>
      </c>
      <c r="AQ107" s="460">
        <v>1</v>
      </c>
      <c r="AR107" s="458" t="s">
        <v>183</v>
      </c>
      <c r="AS107" s="462">
        <f t="shared" si="17"/>
        <v>1</v>
      </c>
      <c r="AT107">
        <f t="shared" si="18"/>
        <v>1</v>
      </c>
      <c r="AU107" s="462">
        <f>IF(AT107=0,"",IF(AND(AT107=1,M107="F",SUMIF(C2:C170,C107,AS2:AS170)&lt;=1),SUMIF(C2:C170,C107,AS2:AS170),IF(AND(AT107=1,M107="F",SUMIF(C2:C170,C107,AS2:AS170)&gt;1),1,"")))</f>
        <v>1</v>
      </c>
      <c r="AV107" s="462" t="str">
        <f>IF(AT107=0,"",IF(AND(AT107=3,M107="F",SUMIF(C2:C170,C107,AS2:AS170)&lt;=1),SUMIF(C2:C170,C107,AS2:AS170),IF(AND(AT107=3,M107="F",SUMIF(C2:C170,C107,AS2:AS170)&gt;1),1,"")))</f>
        <v/>
      </c>
      <c r="AW107" s="462">
        <f>SUMIF(C2:C170,C107,O2:O170)</f>
        <v>1</v>
      </c>
      <c r="AX107" s="462">
        <f>IF(AND(M107="F",AS107&lt;&gt;0),SUMIF(C2:C170,C107,W2:W170),0)</f>
        <v>68952</v>
      </c>
      <c r="AY107" s="462">
        <f t="shared" si="19"/>
        <v>68952</v>
      </c>
      <c r="AZ107" s="462" t="str">
        <f t="shared" si="20"/>
        <v/>
      </c>
      <c r="BA107" s="462">
        <f t="shared" si="21"/>
        <v>0</v>
      </c>
      <c r="BB107" s="462">
        <f>IF(AND(AT107=1,AK107="E",AU107&gt;=0.75,AW107=1),Health,IF(AND(AT107=1,AK107="E",AU107&gt;=0.75),Health*P107,IF(AND(AT107=1,AK107="E",AU107&gt;=0.5,AW107=1),PTHealth,IF(AND(AT107=1,AK107="E",AU107&gt;=0.5),PTHealth*P107,0))))</f>
        <v>11650</v>
      </c>
      <c r="BC107" s="462">
        <f>IF(AND(AT107=3,AK107="E",AV107&gt;=0.75,AW107=1),Health,IF(AND(AT107=3,AK107="E",AV107&gt;=0.75),Health*P107,IF(AND(AT107=3,AK107="E",AV107&gt;=0.5,AW107=1),PTHealth,IF(AND(AT107=3,AK107="E",AV107&gt;=0.5),PTHealth*P107,0))))</f>
        <v>0</v>
      </c>
      <c r="BD107" s="462">
        <f>IF(AND(AT107&lt;&gt;0,AX107&gt;=MAXSSDI),SSDI*MAXSSDI*P107,IF(AT107&lt;&gt;0,SSDI*W107,0))</f>
        <v>4275.0240000000003</v>
      </c>
      <c r="BE107" s="462">
        <f>IF(AT107&lt;&gt;0,SSHI*W107,0)</f>
        <v>999.80400000000009</v>
      </c>
      <c r="BF107" s="462">
        <f>IF(AND(AT107&lt;&gt;0,AN107&lt;&gt;"NE"),VLOOKUP(AN107,Retirement_Rates,3,FALSE)*W107,0)</f>
        <v>8232.8688000000002</v>
      </c>
      <c r="BG107" s="462">
        <f>IF(AND(AT107&lt;&gt;0,AJ107&lt;&gt;"PF"),Life*W107,0)</f>
        <v>497.14392000000004</v>
      </c>
      <c r="BH107" s="462">
        <f>IF(AND(AT107&lt;&gt;0,AM107="Y"),UI*W107,0)</f>
        <v>337.8648</v>
      </c>
      <c r="BI107" s="462">
        <f>IF(AND(AT107&lt;&gt;0,N107&lt;&gt;"NR"),DHR*W107,0)</f>
        <v>381.99408</v>
      </c>
      <c r="BJ107" s="462">
        <f>IF(AT107&lt;&gt;0,WC*W107,0)</f>
        <v>137.904</v>
      </c>
      <c r="BK107" s="462">
        <f>IF(OR(AND(AT107&lt;&gt;0,AJ107&lt;&gt;"PF",AN107&lt;&gt;"NE",AG107&lt;&gt;"A"),AND(AL107="E",OR(AT107=1,AT107=3))),Sick*W107,0)</f>
        <v>0</v>
      </c>
      <c r="BL107" s="462">
        <f t="shared" si="22"/>
        <v>14862.603600000002</v>
      </c>
      <c r="BM107" s="462">
        <f t="shared" si="23"/>
        <v>0</v>
      </c>
      <c r="BN107" s="462">
        <f>IF(AND(AT107=1,AK107="E",AU107&gt;=0.75,AW107=1),HealthBY,IF(AND(AT107=1,AK107="E",AU107&gt;=0.75),HealthBY*P107,IF(AND(AT107=1,AK107="E",AU107&gt;=0.5,AW107=1),PTHealthBY,IF(AND(AT107=1,AK107="E",AU107&gt;=0.5),PTHealthBY*P107,0))))</f>
        <v>11650</v>
      </c>
      <c r="BO107" s="462">
        <f>IF(AND(AT107=3,AK107="E",AV107&gt;=0.75,AW107=1),HealthBY,IF(AND(AT107=3,AK107="E",AV107&gt;=0.75),HealthBY*P107,IF(AND(AT107=3,AK107="E",AV107&gt;=0.5,AW107=1),PTHealthBY,IF(AND(AT107=3,AK107="E",AV107&gt;=0.5),PTHealthBY*P107,0))))</f>
        <v>0</v>
      </c>
      <c r="BP107" s="462">
        <f>IF(AND(AT107&lt;&gt;0,(AX107+BA107)&gt;=MAXSSDIBY),SSDIBY*MAXSSDIBY*P107,IF(AT107&lt;&gt;0,SSDIBY*W107,0))</f>
        <v>4275.0240000000003</v>
      </c>
      <c r="BQ107" s="462">
        <f>IF(AT107&lt;&gt;0,SSHIBY*W107,0)</f>
        <v>999.80400000000009</v>
      </c>
      <c r="BR107" s="462">
        <f>IF(AND(AT107&lt;&gt;0,AN107&lt;&gt;"NE"),VLOOKUP(AN107,Retirement_Rates,4,FALSE)*W107,0)</f>
        <v>8232.8688000000002</v>
      </c>
      <c r="BS107" s="462">
        <f>IF(AND(AT107&lt;&gt;0,AJ107&lt;&gt;"PF"),LifeBY*W107,0)</f>
        <v>497.14392000000004</v>
      </c>
      <c r="BT107" s="462">
        <f>IF(AND(AT107&lt;&gt;0,AM107="Y"),UIBY*W107,0)</f>
        <v>0</v>
      </c>
      <c r="BU107" s="462">
        <f>IF(AND(AT107&lt;&gt;0,N107&lt;&gt;"NR"),DHRBY*W107,0)</f>
        <v>381.99408</v>
      </c>
      <c r="BV107" s="462">
        <f>IF(AT107&lt;&gt;0,WCBY*W107,0)</f>
        <v>117.21839999999999</v>
      </c>
      <c r="BW107" s="462">
        <f>IF(OR(AND(AT107&lt;&gt;0,AJ107&lt;&gt;"PF",AN107&lt;&gt;"NE",AG107&lt;&gt;"A"),AND(AL107="E",OR(AT107=1,AT107=3))),SickBY*W107,0)</f>
        <v>0</v>
      </c>
      <c r="BX107" s="462">
        <f t="shared" si="24"/>
        <v>14504.053200000002</v>
      </c>
      <c r="BY107" s="462">
        <f t="shared" si="25"/>
        <v>0</v>
      </c>
      <c r="BZ107" s="462">
        <f t="shared" si="26"/>
        <v>0</v>
      </c>
      <c r="CA107" s="462">
        <f t="shared" si="27"/>
        <v>0</v>
      </c>
      <c r="CB107" s="462">
        <f t="shared" si="28"/>
        <v>0</v>
      </c>
      <c r="CC107" s="462">
        <f>IF(AT107&lt;&gt;0,SSHICHG*Y107,0)</f>
        <v>0</v>
      </c>
      <c r="CD107" s="462">
        <f>IF(AND(AT107&lt;&gt;0,AN107&lt;&gt;"NE"),VLOOKUP(AN107,Retirement_Rates,5,FALSE)*Y107,0)</f>
        <v>0</v>
      </c>
      <c r="CE107" s="462">
        <f>IF(AND(AT107&lt;&gt;0,AJ107&lt;&gt;"PF"),LifeCHG*Y107,0)</f>
        <v>0</v>
      </c>
      <c r="CF107" s="462">
        <f>IF(AND(AT107&lt;&gt;0,AM107="Y"),UICHG*Y107,0)</f>
        <v>-337.8648</v>
      </c>
      <c r="CG107" s="462">
        <f>IF(AND(AT107&lt;&gt;0,N107&lt;&gt;"NR"),DHRCHG*Y107,0)</f>
        <v>0</v>
      </c>
      <c r="CH107" s="462">
        <f>IF(AT107&lt;&gt;0,WCCHG*Y107,0)</f>
        <v>-20.685600000000008</v>
      </c>
      <c r="CI107" s="462">
        <f>IF(OR(AND(AT107&lt;&gt;0,AJ107&lt;&gt;"PF",AN107&lt;&gt;"NE",AG107&lt;&gt;"A"),AND(AL107="E",OR(AT107=1,AT107=3))),SickCHG*Y107,0)</f>
        <v>0</v>
      </c>
      <c r="CJ107" s="462">
        <f t="shared" si="29"/>
        <v>-358.55040000000002</v>
      </c>
      <c r="CK107" s="462" t="str">
        <f t="shared" si="30"/>
        <v/>
      </c>
      <c r="CL107" s="462" t="str">
        <f t="shared" si="31"/>
        <v/>
      </c>
      <c r="CM107" s="462" t="str">
        <f t="shared" si="32"/>
        <v/>
      </c>
      <c r="CN107" s="462" t="str">
        <f t="shared" si="33"/>
        <v>0450-38</v>
      </c>
    </row>
    <row r="108" spans="1:92" ht="15" thickBot="1" x14ac:dyDescent="0.35">
      <c r="A108" s="376" t="s">
        <v>161</v>
      </c>
      <c r="B108" s="376" t="s">
        <v>162</v>
      </c>
      <c r="C108" s="376" t="s">
        <v>600</v>
      </c>
      <c r="D108" s="376" t="s">
        <v>436</v>
      </c>
      <c r="E108" s="376" t="s">
        <v>314</v>
      </c>
      <c r="F108" s="382" t="s">
        <v>406</v>
      </c>
      <c r="G108" s="376" t="s">
        <v>167</v>
      </c>
      <c r="H108" s="378"/>
      <c r="I108" s="378"/>
      <c r="J108" s="376" t="s">
        <v>168</v>
      </c>
      <c r="K108" s="376" t="s">
        <v>437</v>
      </c>
      <c r="L108" s="376" t="s">
        <v>216</v>
      </c>
      <c r="M108" s="376" t="s">
        <v>171</v>
      </c>
      <c r="N108" s="376" t="s">
        <v>172</v>
      </c>
      <c r="O108" s="379">
        <v>1</v>
      </c>
      <c r="P108" s="460">
        <v>1</v>
      </c>
      <c r="Q108" s="460">
        <v>1</v>
      </c>
      <c r="R108" s="380">
        <v>80</v>
      </c>
      <c r="S108" s="460">
        <v>1</v>
      </c>
      <c r="T108" s="380">
        <v>69792</v>
      </c>
      <c r="U108" s="380">
        <v>0</v>
      </c>
      <c r="V108" s="380">
        <v>26045.24</v>
      </c>
      <c r="W108" s="380">
        <v>71552</v>
      </c>
      <c r="X108" s="380">
        <v>27072.99</v>
      </c>
      <c r="Y108" s="380">
        <v>71552</v>
      </c>
      <c r="Z108" s="380">
        <v>26700.92</v>
      </c>
      <c r="AA108" s="376" t="s">
        <v>601</v>
      </c>
      <c r="AB108" s="376" t="s">
        <v>602</v>
      </c>
      <c r="AC108" s="376" t="s">
        <v>428</v>
      </c>
      <c r="AD108" s="376" t="s">
        <v>216</v>
      </c>
      <c r="AE108" s="376" t="s">
        <v>437</v>
      </c>
      <c r="AF108" s="376" t="s">
        <v>311</v>
      </c>
      <c r="AG108" s="376" t="s">
        <v>178</v>
      </c>
      <c r="AH108" s="381">
        <v>34.4</v>
      </c>
      <c r="AI108" s="381">
        <v>49371.7</v>
      </c>
      <c r="AJ108" s="376" t="s">
        <v>179</v>
      </c>
      <c r="AK108" s="376" t="s">
        <v>180</v>
      </c>
      <c r="AL108" s="376" t="s">
        <v>181</v>
      </c>
      <c r="AM108" s="376" t="s">
        <v>182</v>
      </c>
      <c r="AN108" s="376" t="s">
        <v>68</v>
      </c>
      <c r="AO108" s="379">
        <v>80</v>
      </c>
      <c r="AP108" s="460">
        <v>1</v>
      </c>
      <c r="AQ108" s="460">
        <v>1</v>
      </c>
      <c r="AR108" s="458" t="s">
        <v>183</v>
      </c>
      <c r="AS108" s="462">
        <f t="shared" si="17"/>
        <v>1</v>
      </c>
      <c r="AT108">
        <f t="shared" si="18"/>
        <v>1</v>
      </c>
      <c r="AU108" s="462">
        <f>IF(AT108=0,"",IF(AND(AT108=1,M108="F",SUMIF(C2:C170,C108,AS2:AS170)&lt;=1),SUMIF(C2:C170,C108,AS2:AS170),IF(AND(AT108=1,M108="F",SUMIF(C2:C170,C108,AS2:AS170)&gt;1),1,"")))</f>
        <v>1</v>
      </c>
      <c r="AV108" s="462" t="str">
        <f>IF(AT108=0,"",IF(AND(AT108=3,M108="F",SUMIF(C2:C170,C108,AS2:AS170)&lt;=1),SUMIF(C2:C170,C108,AS2:AS170),IF(AND(AT108=3,M108="F",SUMIF(C2:C170,C108,AS2:AS170)&gt;1),1,"")))</f>
        <v/>
      </c>
      <c r="AW108" s="462">
        <f>SUMIF(C2:C170,C108,O2:O170)</f>
        <v>1</v>
      </c>
      <c r="AX108" s="462">
        <f>IF(AND(M108="F",AS108&lt;&gt;0),SUMIF(C2:C170,C108,W2:W170),0)</f>
        <v>71552</v>
      </c>
      <c r="AY108" s="462">
        <f t="shared" si="19"/>
        <v>71552</v>
      </c>
      <c r="AZ108" s="462" t="str">
        <f t="shared" si="20"/>
        <v/>
      </c>
      <c r="BA108" s="462">
        <f t="shared" si="21"/>
        <v>0</v>
      </c>
      <c r="BB108" s="462">
        <f>IF(AND(AT108=1,AK108="E",AU108&gt;=0.75,AW108=1),Health,IF(AND(AT108=1,AK108="E",AU108&gt;=0.75),Health*P108,IF(AND(AT108=1,AK108="E",AU108&gt;=0.5,AW108=1),PTHealth,IF(AND(AT108=1,AK108="E",AU108&gt;=0.5),PTHealth*P108,0))))</f>
        <v>11650</v>
      </c>
      <c r="BC108" s="462">
        <f>IF(AND(AT108=3,AK108="E",AV108&gt;=0.75,AW108=1),Health,IF(AND(AT108=3,AK108="E",AV108&gt;=0.75),Health*P108,IF(AND(AT108=3,AK108="E",AV108&gt;=0.5,AW108=1),PTHealth,IF(AND(AT108=3,AK108="E",AV108&gt;=0.5),PTHealth*P108,0))))</f>
        <v>0</v>
      </c>
      <c r="BD108" s="462">
        <f>IF(AND(AT108&lt;&gt;0,AX108&gt;=MAXSSDI),SSDI*MAXSSDI*P108,IF(AT108&lt;&gt;0,SSDI*W108,0))</f>
        <v>4436.2240000000002</v>
      </c>
      <c r="BE108" s="462">
        <f>IF(AT108&lt;&gt;0,SSHI*W108,0)</f>
        <v>1037.5040000000001</v>
      </c>
      <c r="BF108" s="462">
        <f>IF(AND(AT108&lt;&gt;0,AN108&lt;&gt;"NE"),VLOOKUP(AN108,Retirement_Rates,3,FALSE)*W108,0)</f>
        <v>8543.3088000000007</v>
      </c>
      <c r="BG108" s="462">
        <f>IF(AND(AT108&lt;&gt;0,AJ108&lt;&gt;"PF"),Life*W108,0)</f>
        <v>515.88992000000007</v>
      </c>
      <c r="BH108" s="462">
        <f>IF(AND(AT108&lt;&gt;0,AM108="Y"),UI*W108,0)</f>
        <v>350.60480000000001</v>
      </c>
      <c r="BI108" s="462">
        <f>IF(AND(AT108&lt;&gt;0,N108&lt;&gt;"NR"),DHR*W108,0)</f>
        <v>396.39807999999999</v>
      </c>
      <c r="BJ108" s="462">
        <f>IF(AT108&lt;&gt;0,WC*W108,0)</f>
        <v>143.10400000000001</v>
      </c>
      <c r="BK108" s="462">
        <f>IF(OR(AND(AT108&lt;&gt;0,AJ108&lt;&gt;"PF",AN108&lt;&gt;"NE",AG108&lt;&gt;"A"),AND(AL108="E",OR(AT108=1,AT108=3))),Sick*W108,0)</f>
        <v>0</v>
      </c>
      <c r="BL108" s="462">
        <f t="shared" si="22"/>
        <v>15423.033600000001</v>
      </c>
      <c r="BM108" s="462">
        <f t="shared" si="23"/>
        <v>0</v>
      </c>
      <c r="BN108" s="462">
        <f>IF(AND(AT108=1,AK108="E",AU108&gt;=0.75,AW108=1),HealthBY,IF(AND(AT108=1,AK108="E",AU108&gt;=0.75),HealthBY*P108,IF(AND(AT108=1,AK108="E",AU108&gt;=0.5,AW108=1),PTHealthBY,IF(AND(AT108=1,AK108="E",AU108&gt;=0.5),PTHealthBY*P108,0))))</f>
        <v>11650</v>
      </c>
      <c r="BO108" s="462">
        <f>IF(AND(AT108=3,AK108="E",AV108&gt;=0.75,AW108=1),HealthBY,IF(AND(AT108=3,AK108="E",AV108&gt;=0.75),HealthBY*P108,IF(AND(AT108=3,AK108="E",AV108&gt;=0.5,AW108=1),PTHealthBY,IF(AND(AT108=3,AK108="E",AV108&gt;=0.5),PTHealthBY*P108,0))))</f>
        <v>0</v>
      </c>
      <c r="BP108" s="462">
        <f>IF(AND(AT108&lt;&gt;0,(AX108+BA108)&gt;=MAXSSDIBY),SSDIBY*MAXSSDIBY*P108,IF(AT108&lt;&gt;0,SSDIBY*W108,0))</f>
        <v>4436.2240000000002</v>
      </c>
      <c r="BQ108" s="462">
        <f>IF(AT108&lt;&gt;0,SSHIBY*W108,0)</f>
        <v>1037.5040000000001</v>
      </c>
      <c r="BR108" s="462">
        <f>IF(AND(AT108&lt;&gt;0,AN108&lt;&gt;"NE"),VLOOKUP(AN108,Retirement_Rates,4,FALSE)*W108,0)</f>
        <v>8543.3088000000007</v>
      </c>
      <c r="BS108" s="462">
        <f>IF(AND(AT108&lt;&gt;0,AJ108&lt;&gt;"PF"),LifeBY*W108,0)</f>
        <v>515.88992000000007</v>
      </c>
      <c r="BT108" s="462">
        <f>IF(AND(AT108&lt;&gt;0,AM108="Y"),UIBY*W108,0)</f>
        <v>0</v>
      </c>
      <c r="BU108" s="462">
        <f>IF(AND(AT108&lt;&gt;0,N108&lt;&gt;"NR"),DHRBY*W108,0)</f>
        <v>396.39807999999999</v>
      </c>
      <c r="BV108" s="462">
        <f>IF(AT108&lt;&gt;0,WCBY*W108,0)</f>
        <v>121.63839999999999</v>
      </c>
      <c r="BW108" s="462">
        <f>IF(OR(AND(AT108&lt;&gt;0,AJ108&lt;&gt;"PF",AN108&lt;&gt;"NE",AG108&lt;&gt;"A"),AND(AL108="E",OR(AT108=1,AT108=3))),SickBY*W108,0)</f>
        <v>0</v>
      </c>
      <c r="BX108" s="462">
        <f t="shared" si="24"/>
        <v>15050.963200000002</v>
      </c>
      <c r="BY108" s="462">
        <f t="shared" si="25"/>
        <v>0</v>
      </c>
      <c r="BZ108" s="462">
        <f t="shared" si="26"/>
        <v>0</v>
      </c>
      <c r="CA108" s="462">
        <f t="shared" si="27"/>
        <v>0</v>
      </c>
      <c r="CB108" s="462">
        <f t="shared" si="28"/>
        <v>0</v>
      </c>
      <c r="CC108" s="462">
        <f>IF(AT108&lt;&gt;0,SSHICHG*Y108,0)</f>
        <v>0</v>
      </c>
      <c r="CD108" s="462">
        <f>IF(AND(AT108&lt;&gt;0,AN108&lt;&gt;"NE"),VLOOKUP(AN108,Retirement_Rates,5,FALSE)*Y108,0)</f>
        <v>0</v>
      </c>
      <c r="CE108" s="462">
        <f>IF(AND(AT108&lt;&gt;0,AJ108&lt;&gt;"PF"),LifeCHG*Y108,0)</f>
        <v>0</v>
      </c>
      <c r="CF108" s="462">
        <f>IF(AND(AT108&lt;&gt;0,AM108="Y"),UICHG*Y108,0)</f>
        <v>-350.60480000000001</v>
      </c>
      <c r="CG108" s="462">
        <f>IF(AND(AT108&lt;&gt;0,N108&lt;&gt;"NR"),DHRCHG*Y108,0)</f>
        <v>0</v>
      </c>
      <c r="CH108" s="462">
        <f>IF(AT108&lt;&gt;0,WCCHG*Y108,0)</f>
        <v>-21.465600000000009</v>
      </c>
      <c r="CI108" s="462">
        <f>IF(OR(AND(AT108&lt;&gt;0,AJ108&lt;&gt;"PF",AN108&lt;&gt;"NE",AG108&lt;&gt;"A"),AND(AL108="E",OR(AT108=1,AT108=3))),SickCHG*Y108,0)</f>
        <v>0</v>
      </c>
      <c r="CJ108" s="462">
        <f t="shared" si="29"/>
        <v>-372.07040000000001</v>
      </c>
      <c r="CK108" s="462" t="str">
        <f t="shared" si="30"/>
        <v/>
      </c>
      <c r="CL108" s="462" t="str">
        <f t="shared" si="31"/>
        <v/>
      </c>
      <c r="CM108" s="462" t="str">
        <f t="shared" si="32"/>
        <v/>
      </c>
      <c r="CN108" s="462" t="str">
        <f t="shared" si="33"/>
        <v>0450-38</v>
      </c>
    </row>
    <row r="109" spans="1:92" ht="15" thickBot="1" x14ac:dyDescent="0.35">
      <c r="A109" s="376" t="s">
        <v>161</v>
      </c>
      <c r="B109" s="376" t="s">
        <v>162</v>
      </c>
      <c r="C109" s="376" t="s">
        <v>603</v>
      </c>
      <c r="D109" s="376" t="s">
        <v>570</v>
      </c>
      <c r="E109" s="376" t="s">
        <v>314</v>
      </c>
      <c r="F109" s="382" t="s">
        <v>406</v>
      </c>
      <c r="G109" s="376" t="s">
        <v>167</v>
      </c>
      <c r="H109" s="378"/>
      <c r="I109" s="378"/>
      <c r="J109" s="376" t="s">
        <v>168</v>
      </c>
      <c r="K109" s="376" t="s">
        <v>571</v>
      </c>
      <c r="L109" s="376" t="s">
        <v>181</v>
      </c>
      <c r="M109" s="376" t="s">
        <v>171</v>
      </c>
      <c r="N109" s="376" t="s">
        <v>172</v>
      </c>
      <c r="O109" s="379">
        <v>1</v>
      </c>
      <c r="P109" s="460">
        <v>1</v>
      </c>
      <c r="Q109" s="460">
        <v>1</v>
      </c>
      <c r="R109" s="380">
        <v>80</v>
      </c>
      <c r="S109" s="460">
        <v>1</v>
      </c>
      <c r="T109" s="380">
        <v>76530.259999999995</v>
      </c>
      <c r="U109" s="380">
        <v>0</v>
      </c>
      <c r="V109" s="380">
        <v>28623.59</v>
      </c>
      <c r="W109" s="380">
        <v>78228.800000000003</v>
      </c>
      <c r="X109" s="380">
        <v>28512.17</v>
      </c>
      <c r="Y109" s="380">
        <v>78228.800000000003</v>
      </c>
      <c r="Z109" s="380">
        <v>28105.38</v>
      </c>
      <c r="AA109" s="376" t="s">
        <v>604</v>
      </c>
      <c r="AB109" s="376" t="s">
        <v>605</v>
      </c>
      <c r="AC109" s="376" t="s">
        <v>215</v>
      </c>
      <c r="AD109" s="376" t="s">
        <v>252</v>
      </c>
      <c r="AE109" s="376" t="s">
        <v>571</v>
      </c>
      <c r="AF109" s="376" t="s">
        <v>349</v>
      </c>
      <c r="AG109" s="376" t="s">
        <v>178</v>
      </c>
      <c r="AH109" s="381">
        <v>37.61</v>
      </c>
      <c r="AI109" s="381">
        <v>85924.3</v>
      </c>
      <c r="AJ109" s="376" t="s">
        <v>179</v>
      </c>
      <c r="AK109" s="376" t="s">
        <v>180</v>
      </c>
      <c r="AL109" s="376" t="s">
        <v>181</v>
      </c>
      <c r="AM109" s="376" t="s">
        <v>182</v>
      </c>
      <c r="AN109" s="376" t="s">
        <v>68</v>
      </c>
      <c r="AO109" s="379">
        <v>80</v>
      </c>
      <c r="AP109" s="460">
        <v>1</v>
      </c>
      <c r="AQ109" s="460">
        <v>1</v>
      </c>
      <c r="AR109" s="458" t="s">
        <v>183</v>
      </c>
      <c r="AS109" s="462">
        <f t="shared" si="17"/>
        <v>1</v>
      </c>
      <c r="AT109">
        <f t="shared" si="18"/>
        <v>1</v>
      </c>
      <c r="AU109" s="462">
        <f>IF(AT109=0,"",IF(AND(AT109=1,M109="F",SUMIF(C2:C170,C109,AS2:AS170)&lt;=1),SUMIF(C2:C170,C109,AS2:AS170),IF(AND(AT109=1,M109="F",SUMIF(C2:C170,C109,AS2:AS170)&gt;1),1,"")))</f>
        <v>1</v>
      </c>
      <c r="AV109" s="462" t="str">
        <f>IF(AT109=0,"",IF(AND(AT109=3,M109="F",SUMIF(C2:C170,C109,AS2:AS170)&lt;=1),SUMIF(C2:C170,C109,AS2:AS170),IF(AND(AT109=3,M109="F",SUMIF(C2:C170,C109,AS2:AS170)&gt;1),1,"")))</f>
        <v/>
      </c>
      <c r="AW109" s="462">
        <f>SUMIF(C2:C170,C109,O2:O170)</f>
        <v>1</v>
      </c>
      <c r="AX109" s="462">
        <f>IF(AND(M109="F",AS109&lt;&gt;0),SUMIF(C2:C170,C109,W2:W170),0)</f>
        <v>78228.800000000003</v>
      </c>
      <c r="AY109" s="462">
        <f t="shared" si="19"/>
        <v>78228.800000000003</v>
      </c>
      <c r="AZ109" s="462" t="str">
        <f t="shared" si="20"/>
        <v/>
      </c>
      <c r="BA109" s="462">
        <f t="shared" si="21"/>
        <v>0</v>
      </c>
      <c r="BB109" s="462">
        <f>IF(AND(AT109=1,AK109="E",AU109&gt;=0.75,AW109=1),Health,IF(AND(AT109=1,AK109="E",AU109&gt;=0.75),Health*P109,IF(AND(AT109=1,AK109="E",AU109&gt;=0.5,AW109=1),PTHealth,IF(AND(AT109=1,AK109="E",AU109&gt;=0.5),PTHealth*P109,0))))</f>
        <v>11650</v>
      </c>
      <c r="BC109" s="462">
        <f>IF(AND(AT109=3,AK109="E",AV109&gt;=0.75,AW109=1),Health,IF(AND(AT109=3,AK109="E",AV109&gt;=0.75),Health*P109,IF(AND(AT109=3,AK109="E",AV109&gt;=0.5,AW109=1),PTHealth,IF(AND(AT109=3,AK109="E",AV109&gt;=0.5),PTHealth*P109,0))))</f>
        <v>0</v>
      </c>
      <c r="BD109" s="462">
        <f>IF(AND(AT109&lt;&gt;0,AX109&gt;=MAXSSDI),SSDI*MAXSSDI*P109,IF(AT109&lt;&gt;0,SSDI*W109,0))</f>
        <v>4850.1855999999998</v>
      </c>
      <c r="BE109" s="462">
        <f>IF(AT109&lt;&gt;0,SSHI*W109,0)</f>
        <v>1134.3176000000001</v>
      </c>
      <c r="BF109" s="462">
        <f>IF(AND(AT109&lt;&gt;0,AN109&lt;&gt;"NE"),VLOOKUP(AN109,Retirement_Rates,3,FALSE)*W109,0)</f>
        <v>9340.51872</v>
      </c>
      <c r="BG109" s="462">
        <f>IF(AND(AT109&lt;&gt;0,AJ109&lt;&gt;"PF"),Life*W109,0)</f>
        <v>564.02964800000007</v>
      </c>
      <c r="BH109" s="462">
        <f>IF(AND(AT109&lt;&gt;0,AM109="Y"),UI*W109,0)</f>
        <v>383.32112000000001</v>
      </c>
      <c r="BI109" s="462">
        <f>IF(AND(AT109&lt;&gt;0,N109&lt;&gt;"NR"),DHR*W109,0)</f>
        <v>433.38755199999997</v>
      </c>
      <c r="BJ109" s="462">
        <f>IF(AT109&lt;&gt;0,WC*W109,0)</f>
        <v>156.45760000000001</v>
      </c>
      <c r="BK109" s="462">
        <f>IF(OR(AND(AT109&lt;&gt;0,AJ109&lt;&gt;"PF",AN109&lt;&gt;"NE",AG109&lt;&gt;"A"),AND(AL109="E",OR(AT109=1,AT109=3))),Sick*W109,0)</f>
        <v>0</v>
      </c>
      <c r="BL109" s="462">
        <f t="shared" si="22"/>
        <v>16862.217840000001</v>
      </c>
      <c r="BM109" s="462">
        <f t="shared" si="23"/>
        <v>0</v>
      </c>
      <c r="BN109" s="462">
        <f>IF(AND(AT109=1,AK109="E",AU109&gt;=0.75,AW109=1),HealthBY,IF(AND(AT109=1,AK109="E",AU109&gt;=0.75),HealthBY*P109,IF(AND(AT109=1,AK109="E",AU109&gt;=0.5,AW109=1),PTHealthBY,IF(AND(AT109=1,AK109="E",AU109&gt;=0.5),PTHealthBY*P109,0))))</f>
        <v>11650</v>
      </c>
      <c r="BO109" s="462">
        <f>IF(AND(AT109=3,AK109="E",AV109&gt;=0.75,AW109=1),HealthBY,IF(AND(AT109=3,AK109="E",AV109&gt;=0.75),HealthBY*P109,IF(AND(AT109=3,AK109="E",AV109&gt;=0.5,AW109=1),PTHealthBY,IF(AND(AT109=3,AK109="E",AV109&gt;=0.5),PTHealthBY*P109,0))))</f>
        <v>0</v>
      </c>
      <c r="BP109" s="462">
        <f>IF(AND(AT109&lt;&gt;0,(AX109+BA109)&gt;=MAXSSDIBY),SSDIBY*MAXSSDIBY*P109,IF(AT109&lt;&gt;0,SSDIBY*W109,0))</f>
        <v>4850.1855999999998</v>
      </c>
      <c r="BQ109" s="462">
        <f>IF(AT109&lt;&gt;0,SSHIBY*W109,0)</f>
        <v>1134.3176000000001</v>
      </c>
      <c r="BR109" s="462">
        <f>IF(AND(AT109&lt;&gt;0,AN109&lt;&gt;"NE"),VLOOKUP(AN109,Retirement_Rates,4,FALSE)*W109,0)</f>
        <v>9340.51872</v>
      </c>
      <c r="BS109" s="462">
        <f>IF(AND(AT109&lt;&gt;0,AJ109&lt;&gt;"PF"),LifeBY*W109,0)</f>
        <v>564.02964800000007</v>
      </c>
      <c r="BT109" s="462">
        <f>IF(AND(AT109&lt;&gt;0,AM109="Y"),UIBY*W109,0)</f>
        <v>0</v>
      </c>
      <c r="BU109" s="462">
        <f>IF(AND(AT109&lt;&gt;0,N109&lt;&gt;"NR"),DHRBY*W109,0)</f>
        <v>433.38755199999997</v>
      </c>
      <c r="BV109" s="462">
        <f>IF(AT109&lt;&gt;0,WCBY*W109,0)</f>
        <v>132.98895999999999</v>
      </c>
      <c r="BW109" s="462">
        <f>IF(OR(AND(AT109&lt;&gt;0,AJ109&lt;&gt;"PF",AN109&lt;&gt;"NE",AG109&lt;&gt;"A"),AND(AL109="E",OR(AT109=1,AT109=3))),SickBY*W109,0)</f>
        <v>0</v>
      </c>
      <c r="BX109" s="462">
        <f t="shared" si="24"/>
        <v>16455.428079999998</v>
      </c>
      <c r="BY109" s="462">
        <f t="shared" si="25"/>
        <v>0</v>
      </c>
      <c r="BZ109" s="462">
        <f t="shared" si="26"/>
        <v>0</v>
      </c>
      <c r="CA109" s="462">
        <f t="shared" si="27"/>
        <v>0</v>
      </c>
      <c r="CB109" s="462">
        <f t="shared" si="28"/>
        <v>0</v>
      </c>
      <c r="CC109" s="462">
        <f>IF(AT109&lt;&gt;0,SSHICHG*Y109,0)</f>
        <v>0</v>
      </c>
      <c r="CD109" s="462">
        <f>IF(AND(AT109&lt;&gt;0,AN109&lt;&gt;"NE"),VLOOKUP(AN109,Retirement_Rates,5,FALSE)*Y109,0)</f>
        <v>0</v>
      </c>
      <c r="CE109" s="462">
        <f>IF(AND(AT109&lt;&gt;0,AJ109&lt;&gt;"PF"),LifeCHG*Y109,0)</f>
        <v>0</v>
      </c>
      <c r="CF109" s="462">
        <f>IF(AND(AT109&lt;&gt;0,AM109="Y"),UICHG*Y109,0)</f>
        <v>-383.32112000000001</v>
      </c>
      <c r="CG109" s="462">
        <f>IF(AND(AT109&lt;&gt;0,N109&lt;&gt;"NR"),DHRCHG*Y109,0)</f>
        <v>0</v>
      </c>
      <c r="CH109" s="462">
        <f>IF(AT109&lt;&gt;0,WCCHG*Y109,0)</f>
        <v>-23.468640000000011</v>
      </c>
      <c r="CI109" s="462">
        <f>IF(OR(AND(AT109&lt;&gt;0,AJ109&lt;&gt;"PF",AN109&lt;&gt;"NE",AG109&lt;&gt;"A"),AND(AL109="E",OR(AT109=1,AT109=3))),SickCHG*Y109,0)</f>
        <v>0</v>
      </c>
      <c r="CJ109" s="462">
        <f t="shared" si="29"/>
        <v>-406.78976</v>
      </c>
      <c r="CK109" s="462" t="str">
        <f t="shared" si="30"/>
        <v/>
      </c>
      <c r="CL109" s="462" t="str">
        <f t="shared" si="31"/>
        <v/>
      </c>
      <c r="CM109" s="462" t="str">
        <f t="shared" si="32"/>
        <v/>
      </c>
      <c r="CN109" s="462" t="str">
        <f t="shared" si="33"/>
        <v>0450-38</v>
      </c>
    </row>
    <row r="110" spans="1:92" ht="15" thickBot="1" x14ac:dyDescent="0.35">
      <c r="A110" s="376" t="s">
        <v>161</v>
      </c>
      <c r="B110" s="376" t="s">
        <v>162</v>
      </c>
      <c r="C110" s="376" t="s">
        <v>606</v>
      </c>
      <c r="D110" s="376" t="s">
        <v>313</v>
      </c>
      <c r="E110" s="376" t="s">
        <v>314</v>
      </c>
      <c r="F110" s="382" t="s">
        <v>406</v>
      </c>
      <c r="G110" s="376" t="s">
        <v>167</v>
      </c>
      <c r="H110" s="378"/>
      <c r="I110" s="378"/>
      <c r="J110" s="376" t="s">
        <v>168</v>
      </c>
      <c r="K110" s="376" t="s">
        <v>316</v>
      </c>
      <c r="L110" s="376" t="s">
        <v>216</v>
      </c>
      <c r="M110" s="376" t="s">
        <v>171</v>
      </c>
      <c r="N110" s="376" t="s">
        <v>172</v>
      </c>
      <c r="O110" s="379">
        <v>1</v>
      </c>
      <c r="P110" s="460">
        <v>1</v>
      </c>
      <c r="Q110" s="460">
        <v>1</v>
      </c>
      <c r="R110" s="380">
        <v>80</v>
      </c>
      <c r="S110" s="460">
        <v>1</v>
      </c>
      <c r="T110" s="380">
        <v>45188.95</v>
      </c>
      <c r="U110" s="380">
        <v>0</v>
      </c>
      <c r="V110" s="380">
        <v>16151.92</v>
      </c>
      <c r="W110" s="380">
        <v>59280</v>
      </c>
      <c r="X110" s="380">
        <v>24427.79</v>
      </c>
      <c r="Y110" s="380">
        <v>59280</v>
      </c>
      <c r="Z110" s="380">
        <v>24119.53</v>
      </c>
      <c r="AA110" s="376" t="s">
        <v>607</v>
      </c>
      <c r="AB110" s="376" t="s">
        <v>348</v>
      </c>
      <c r="AC110" s="376" t="s">
        <v>608</v>
      </c>
      <c r="AD110" s="376" t="s">
        <v>195</v>
      </c>
      <c r="AE110" s="376" t="s">
        <v>316</v>
      </c>
      <c r="AF110" s="376" t="s">
        <v>311</v>
      </c>
      <c r="AG110" s="376" t="s">
        <v>178</v>
      </c>
      <c r="AH110" s="381">
        <v>28.5</v>
      </c>
      <c r="AI110" s="381">
        <v>4444.1000000000004</v>
      </c>
      <c r="AJ110" s="376" t="s">
        <v>179</v>
      </c>
      <c r="AK110" s="376" t="s">
        <v>180</v>
      </c>
      <c r="AL110" s="376" t="s">
        <v>181</v>
      </c>
      <c r="AM110" s="376" t="s">
        <v>182</v>
      </c>
      <c r="AN110" s="376" t="s">
        <v>68</v>
      </c>
      <c r="AO110" s="379">
        <v>80</v>
      </c>
      <c r="AP110" s="460">
        <v>1</v>
      </c>
      <c r="AQ110" s="460">
        <v>1</v>
      </c>
      <c r="AR110" s="458" t="s">
        <v>183</v>
      </c>
      <c r="AS110" s="462">
        <f t="shared" si="17"/>
        <v>1</v>
      </c>
      <c r="AT110">
        <f t="shared" si="18"/>
        <v>1</v>
      </c>
      <c r="AU110" s="462">
        <f>IF(AT110=0,"",IF(AND(AT110=1,M110="F",SUMIF(C2:C170,C110,AS2:AS170)&lt;=1),SUMIF(C2:C170,C110,AS2:AS170),IF(AND(AT110=1,M110="F",SUMIF(C2:C170,C110,AS2:AS170)&gt;1),1,"")))</f>
        <v>1</v>
      </c>
      <c r="AV110" s="462" t="str">
        <f>IF(AT110=0,"",IF(AND(AT110=3,M110="F",SUMIF(C2:C170,C110,AS2:AS170)&lt;=1),SUMIF(C2:C170,C110,AS2:AS170),IF(AND(AT110=3,M110="F",SUMIF(C2:C170,C110,AS2:AS170)&gt;1),1,"")))</f>
        <v/>
      </c>
      <c r="AW110" s="462">
        <f>SUMIF(C2:C170,C110,O2:O170)</f>
        <v>1</v>
      </c>
      <c r="AX110" s="462">
        <f>IF(AND(M110="F",AS110&lt;&gt;0),SUMIF(C2:C170,C110,W2:W170),0)</f>
        <v>59280</v>
      </c>
      <c r="AY110" s="462">
        <f t="shared" si="19"/>
        <v>59280</v>
      </c>
      <c r="AZ110" s="462" t="str">
        <f t="shared" si="20"/>
        <v/>
      </c>
      <c r="BA110" s="462">
        <f t="shared" si="21"/>
        <v>0</v>
      </c>
      <c r="BB110" s="462">
        <f>IF(AND(AT110=1,AK110="E",AU110&gt;=0.75,AW110=1),Health,IF(AND(AT110=1,AK110="E",AU110&gt;=0.75),Health*P110,IF(AND(AT110=1,AK110="E",AU110&gt;=0.5,AW110=1),PTHealth,IF(AND(AT110=1,AK110="E",AU110&gt;=0.5),PTHealth*P110,0))))</f>
        <v>11650</v>
      </c>
      <c r="BC110" s="462">
        <f>IF(AND(AT110=3,AK110="E",AV110&gt;=0.75,AW110=1),Health,IF(AND(AT110=3,AK110="E",AV110&gt;=0.75),Health*P110,IF(AND(AT110=3,AK110="E",AV110&gt;=0.5,AW110=1),PTHealth,IF(AND(AT110=3,AK110="E",AV110&gt;=0.5),PTHealth*P110,0))))</f>
        <v>0</v>
      </c>
      <c r="BD110" s="462">
        <f>IF(AND(AT110&lt;&gt;0,AX110&gt;=MAXSSDI),SSDI*MAXSSDI*P110,IF(AT110&lt;&gt;0,SSDI*W110,0))</f>
        <v>3675.36</v>
      </c>
      <c r="BE110" s="462">
        <f>IF(AT110&lt;&gt;0,SSHI*W110,0)</f>
        <v>859.56000000000006</v>
      </c>
      <c r="BF110" s="462">
        <f>IF(AND(AT110&lt;&gt;0,AN110&lt;&gt;"NE"),VLOOKUP(AN110,Retirement_Rates,3,FALSE)*W110,0)</f>
        <v>7078.0320000000002</v>
      </c>
      <c r="BG110" s="462">
        <f>IF(AND(AT110&lt;&gt;0,AJ110&lt;&gt;"PF"),Life*W110,0)</f>
        <v>427.40880000000004</v>
      </c>
      <c r="BH110" s="462">
        <f>IF(AND(AT110&lt;&gt;0,AM110="Y"),UI*W110,0)</f>
        <v>290.47199999999998</v>
      </c>
      <c r="BI110" s="462">
        <f>IF(AND(AT110&lt;&gt;0,N110&lt;&gt;"NR"),DHR*W110,0)</f>
        <v>328.41120000000001</v>
      </c>
      <c r="BJ110" s="462">
        <f>IF(AT110&lt;&gt;0,WC*W110,0)</f>
        <v>118.56</v>
      </c>
      <c r="BK110" s="462">
        <f>IF(OR(AND(AT110&lt;&gt;0,AJ110&lt;&gt;"PF",AN110&lt;&gt;"NE",AG110&lt;&gt;"A"),AND(AL110="E",OR(AT110=1,AT110=3))),Sick*W110,0)</f>
        <v>0</v>
      </c>
      <c r="BL110" s="462">
        <f t="shared" si="22"/>
        <v>12777.804</v>
      </c>
      <c r="BM110" s="462">
        <f t="shared" si="23"/>
        <v>0</v>
      </c>
      <c r="BN110" s="462">
        <f>IF(AND(AT110=1,AK110="E",AU110&gt;=0.75,AW110=1),HealthBY,IF(AND(AT110=1,AK110="E",AU110&gt;=0.75),HealthBY*P110,IF(AND(AT110=1,AK110="E",AU110&gt;=0.5,AW110=1),PTHealthBY,IF(AND(AT110=1,AK110="E",AU110&gt;=0.5),PTHealthBY*P110,0))))</f>
        <v>11650</v>
      </c>
      <c r="BO110" s="462">
        <f>IF(AND(AT110=3,AK110="E",AV110&gt;=0.75,AW110=1),HealthBY,IF(AND(AT110=3,AK110="E",AV110&gt;=0.75),HealthBY*P110,IF(AND(AT110=3,AK110="E",AV110&gt;=0.5,AW110=1),PTHealthBY,IF(AND(AT110=3,AK110="E",AV110&gt;=0.5),PTHealthBY*P110,0))))</f>
        <v>0</v>
      </c>
      <c r="BP110" s="462">
        <f>IF(AND(AT110&lt;&gt;0,(AX110+BA110)&gt;=MAXSSDIBY),SSDIBY*MAXSSDIBY*P110,IF(AT110&lt;&gt;0,SSDIBY*W110,0))</f>
        <v>3675.36</v>
      </c>
      <c r="BQ110" s="462">
        <f>IF(AT110&lt;&gt;0,SSHIBY*W110,0)</f>
        <v>859.56000000000006</v>
      </c>
      <c r="BR110" s="462">
        <f>IF(AND(AT110&lt;&gt;0,AN110&lt;&gt;"NE"),VLOOKUP(AN110,Retirement_Rates,4,FALSE)*W110,0)</f>
        <v>7078.0320000000002</v>
      </c>
      <c r="BS110" s="462">
        <f>IF(AND(AT110&lt;&gt;0,AJ110&lt;&gt;"PF"),LifeBY*W110,0)</f>
        <v>427.40880000000004</v>
      </c>
      <c r="BT110" s="462">
        <f>IF(AND(AT110&lt;&gt;0,AM110="Y"),UIBY*W110,0)</f>
        <v>0</v>
      </c>
      <c r="BU110" s="462">
        <f>IF(AND(AT110&lt;&gt;0,N110&lt;&gt;"NR"),DHRBY*W110,0)</f>
        <v>328.41120000000001</v>
      </c>
      <c r="BV110" s="462">
        <f>IF(AT110&lt;&gt;0,WCBY*W110,0)</f>
        <v>100.776</v>
      </c>
      <c r="BW110" s="462">
        <f>IF(OR(AND(AT110&lt;&gt;0,AJ110&lt;&gt;"PF",AN110&lt;&gt;"NE",AG110&lt;&gt;"A"),AND(AL110="E",OR(AT110=1,AT110=3))),SickBY*W110,0)</f>
        <v>0</v>
      </c>
      <c r="BX110" s="462">
        <f t="shared" si="24"/>
        <v>12469.548000000001</v>
      </c>
      <c r="BY110" s="462">
        <f t="shared" si="25"/>
        <v>0</v>
      </c>
      <c r="BZ110" s="462">
        <f t="shared" si="26"/>
        <v>0</v>
      </c>
      <c r="CA110" s="462">
        <f t="shared" si="27"/>
        <v>0</v>
      </c>
      <c r="CB110" s="462">
        <f t="shared" si="28"/>
        <v>0</v>
      </c>
      <c r="CC110" s="462">
        <f>IF(AT110&lt;&gt;0,SSHICHG*Y110,0)</f>
        <v>0</v>
      </c>
      <c r="CD110" s="462">
        <f>IF(AND(AT110&lt;&gt;0,AN110&lt;&gt;"NE"),VLOOKUP(AN110,Retirement_Rates,5,FALSE)*Y110,0)</f>
        <v>0</v>
      </c>
      <c r="CE110" s="462">
        <f>IF(AND(AT110&lt;&gt;0,AJ110&lt;&gt;"PF"),LifeCHG*Y110,0)</f>
        <v>0</v>
      </c>
      <c r="CF110" s="462">
        <f>IF(AND(AT110&lt;&gt;0,AM110="Y"),UICHG*Y110,0)</f>
        <v>-290.47199999999998</v>
      </c>
      <c r="CG110" s="462">
        <f>IF(AND(AT110&lt;&gt;0,N110&lt;&gt;"NR"),DHRCHG*Y110,0)</f>
        <v>0</v>
      </c>
      <c r="CH110" s="462">
        <f>IF(AT110&lt;&gt;0,WCCHG*Y110,0)</f>
        <v>-17.78400000000001</v>
      </c>
      <c r="CI110" s="462">
        <f>IF(OR(AND(AT110&lt;&gt;0,AJ110&lt;&gt;"PF",AN110&lt;&gt;"NE",AG110&lt;&gt;"A"),AND(AL110="E",OR(AT110=1,AT110=3))),SickCHG*Y110,0)</f>
        <v>0</v>
      </c>
      <c r="CJ110" s="462">
        <f t="shared" si="29"/>
        <v>-308.25599999999997</v>
      </c>
      <c r="CK110" s="462" t="str">
        <f t="shared" si="30"/>
        <v/>
      </c>
      <c r="CL110" s="462" t="str">
        <f t="shared" si="31"/>
        <v/>
      </c>
      <c r="CM110" s="462" t="str">
        <f t="shared" si="32"/>
        <v/>
      </c>
      <c r="CN110" s="462" t="str">
        <f t="shared" si="33"/>
        <v>0450-38</v>
      </c>
    </row>
    <row r="111" spans="1:92" ht="15" thickBot="1" x14ac:dyDescent="0.35">
      <c r="A111" s="376" t="s">
        <v>161</v>
      </c>
      <c r="B111" s="376" t="s">
        <v>162</v>
      </c>
      <c r="C111" s="376" t="s">
        <v>609</v>
      </c>
      <c r="D111" s="376" t="s">
        <v>436</v>
      </c>
      <c r="E111" s="376" t="s">
        <v>314</v>
      </c>
      <c r="F111" s="382" t="s">
        <v>406</v>
      </c>
      <c r="G111" s="376" t="s">
        <v>167</v>
      </c>
      <c r="H111" s="378"/>
      <c r="I111" s="378"/>
      <c r="J111" s="376" t="s">
        <v>168</v>
      </c>
      <c r="K111" s="376" t="s">
        <v>437</v>
      </c>
      <c r="L111" s="376" t="s">
        <v>216</v>
      </c>
      <c r="M111" s="376" t="s">
        <v>171</v>
      </c>
      <c r="N111" s="376" t="s">
        <v>172</v>
      </c>
      <c r="O111" s="379">
        <v>1</v>
      </c>
      <c r="P111" s="460">
        <v>1</v>
      </c>
      <c r="Q111" s="460">
        <v>1</v>
      </c>
      <c r="R111" s="380">
        <v>80</v>
      </c>
      <c r="S111" s="460">
        <v>1</v>
      </c>
      <c r="T111" s="380">
        <v>76526.100000000006</v>
      </c>
      <c r="U111" s="380">
        <v>0</v>
      </c>
      <c r="V111" s="380">
        <v>28599.48</v>
      </c>
      <c r="W111" s="380">
        <v>69638.399999999994</v>
      </c>
      <c r="X111" s="380">
        <v>26660.52</v>
      </c>
      <c r="Y111" s="380">
        <v>69638.399999999994</v>
      </c>
      <c r="Z111" s="380">
        <v>26298.41</v>
      </c>
      <c r="AA111" s="376" t="s">
        <v>610</v>
      </c>
      <c r="AB111" s="376" t="s">
        <v>611</v>
      </c>
      <c r="AC111" s="376" t="s">
        <v>612</v>
      </c>
      <c r="AD111" s="376" t="s">
        <v>334</v>
      </c>
      <c r="AE111" s="376" t="s">
        <v>437</v>
      </c>
      <c r="AF111" s="376" t="s">
        <v>311</v>
      </c>
      <c r="AG111" s="376" t="s">
        <v>178</v>
      </c>
      <c r="AH111" s="381">
        <v>33.479999999999997</v>
      </c>
      <c r="AI111" s="381">
        <v>7114.3</v>
      </c>
      <c r="AJ111" s="376" t="s">
        <v>179</v>
      </c>
      <c r="AK111" s="376" t="s">
        <v>180</v>
      </c>
      <c r="AL111" s="376" t="s">
        <v>181</v>
      </c>
      <c r="AM111" s="376" t="s">
        <v>182</v>
      </c>
      <c r="AN111" s="376" t="s">
        <v>68</v>
      </c>
      <c r="AO111" s="379">
        <v>80</v>
      </c>
      <c r="AP111" s="460">
        <v>1</v>
      </c>
      <c r="AQ111" s="460">
        <v>1</v>
      </c>
      <c r="AR111" s="458" t="s">
        <v>183</v>
      </c>
      <c r="AS111" s="462">
        <f t="shared" si="17"/>
        <v>1</v>
      </c>
      <c r="AT111">
        <f t="shared" si="18"/>
        <v>1</v>
      </c>
      <c r="AU111" s="462">
        <f>IF(AT111=0,"",IF(AND(AT111=1,M111="F",SUMIF(C2:C170,C111,AS2:AS170)&lt;=1),SUMIF(C2:C170,C111,AS2:AS170),IF(AND(AT111=1,M111="F",SUMIF(C2:C170,C111,AS2:AS170)&gt;1),1,"")))</f>
        <v>1</v>
      </c>
      <c r="AV111" s="462" t="str">
        <f>IF(AT111=0,"",IF(AND(AT111=3,M111="F",SUMIF(C2:C170,C111,AS2:AS170)&lt;=1),SUMIF(C2:C170,C111,AS2:AS170),IF(AND(AT111=3,M111="F",SUMIF(C2:C170,C111,AS2:AS170)&gt;1),1,"")))</f>
        <v/>
      </c>
      <c r="AW111" s="462">
        <f>SUMIF(C2:C170,C111,O2:O170)</f>
        <v>1</v>
      </c>
      <c r="AX111" s="462">
        <f>IF(AND(M111="F",AS111&lt;&gt;0),SUMIF(C2:C170,C111,W2:W170),0)</f>
        <v>69638.399999999994</v>
      </c>
      <c r="AY111" s="462">
        <f t="shared" si="19"/>
        <v>69638.399999999994</v>
      </c>
      <c r="AZ111" s="462" t="str">
        <f t="shared" si="20"/>
        <v/>
      </c>
      <c r="BA111" s="462">
        <f t="shared" si="21"/>
        <v>0</v>
      </c>
      <c r="BB111" s="462">
        <f>IF(AND(AT111=1,AK111="E",AU111&gt;=0.75,AW111=1),Health,IF(AND(AT111=1,AK111="E",AU111&gt;=0.75),Health*P111,IF(AND(AT111=1,AK111="E",AU111&gt;=0.5,AW111=1),PTHealth,IF(AND(AT111=1,AK111="E",AU111&gt;=0.5),PTHealth*P111,0))))</f>
        <v>11650</v>
      </c>
      <c r="BC111" s="462">
        <f>IF(AND(AT111=3,AK111="E",AV111&gt;=0.75,AW111=1),Health,IF(AND(AT111=3,AK111="E",AV111&gt;=0.75),Health*P111,IF(AND(AT111=3,AK111="E",AV111&gt;=0.5,AW111=1),PTHealth,IF(AND(AT111=3,AK111="E",AV111&gt;=0.5),PTHealth*P111,0))))</f>
        <v>0</v>
      </c>
      <c r="BD111" s="462">
        <f>IF(AND(AT111&lt;&gt;0,AX111&gt;=MAXSSDI),SSDI*MAXSSDI*P111,IF(AT111&lt;&gt;0,SSDI*W111,0))</f>
        <v>4317.5807999999997</v>
      </c>
      <c r="BE111" s="462">
        <f>IF(AT111&lt;&gt;0,SSHI*W111,0)</f>
        <v>1009.7568</v>
      </c>
      <c r="BF111" s="462">
        <f>IF(AND(AT111&lt;&gt;0,AN111&lt;&gt;"NE"),VLOOKUP(AN111,Retirement_Rates,3,FALSE)*W111,0)</f>
        <v>8314.8249599999999</v>
      </c>
      <c r="BG111" s="462">
        <f>IF(AND(AT111&lt;&gt;0,AJ111&lt;&gt;"PF"),Life*W111,0)</f>
        <v>502.09286399999996</v>
      </c>
      <c r="BH111" s="462">
        <f>IF(AND(AT111&lt;&gt;0,AM111="Y"),UI*W111,0)</f>
        <v>341.22815999999995</v>
      </c>
      <c r="BI111" s="462">
        <f>IF(AND(AT111&lt;&gt;0,N111&lt;&gt;"NR"),DHR*W111,0)</f>
        <v>385.79673599999995</v>
      </c>
      <c r="BJ111" s="462">
        <f>IF(AT111&lt;&gt;0,WC*W111,0)</f>
        <v>139.27679999999998</v>
      </c>
      <c r="BK111" s="462">
        <f>IF(OR(AND(AT111&lt;&gt;0,AJ111&lt;&gt;"PF",AN111&lt;&gt;"NE",AG111&lt;&gt;"A"),AND(AL111="E",OR(AT111=1,AT111=3))),Sick*W111,0)</f>
        <v>0</v>
      </c>
      <c r="BL111" s="462">
        <f t="shared" si="22"/>
        <v>15010.557120000001</v>
      </c>
      <c r="BM111" s="462">
        <f t="shared" si="23"/>
        <v>0</v>
      </c>
      <c r="BN111" s="462">
        <f>IF(AND(AT111=1,AK111="E",AU111&gt;=0.75,AW111=1),HealthBY,IF(AND(AT111=1,AK111="E",AU111&gt;=0.75),HealthBY*P111,IF(AND(AT111=1,AK111="E",AU111&gt;=0.5,AW111=1),PTHealthBY,IF(AND(AT111=1,AK111="E",AU111&gt;=0.5),PTHealthBY*P111,0))))</f>
        <v>11650</v>
      </c>
      <c r="BO111" s="462">
        <f>IF(AND(AT111=3,AK111="E",AV111&gt;=0.75,AW111=1),HealthBY,IF(AND(AT111=3,AK111="E",AV111&gt;=0.75),HealthBY*P111,IF(AND(AT111=3,AK111="E",AV111&gt;=0.5,AW111=1),PTHealthBY,IF(AND(AT111=3,AK111="E",AV111&gt;=0.5),PTHealthBY*P111,0))))</f>
        <v>0</v>
      </c>
      <c r="BP111" s="462">
        <f>IF(AND(AT111&lt;&gt;0,(AX111+BA111)&gt;=MAXSSDIBY),SSDIBY*MAXSSDIBY*P111,IF(AT111&lt;&gt;0,SSDIBY*W111,0))</f>
        <v>4317.5807999999997</v>
      </c>
      <c r="BQ111" s="462">
        <f>IF(AT111&lt;&gt;0,SSHIBY*W111,0)</f>
        <v>1009.7568</v>
      </c>
      <c r="BR111" s="462">
        <f>IF(AND(AT111&lt;&gt;0,AN111&lt;&gt;"NE"),VLOOKUP(AN111,Retirement_Rates,4,FALSE)*W111,0)</f>
        <v>8314.8249599999999</v>
      </c>
      <c r="BS111" s="462">
        <f>IF(AND(AT111&lt;&gt;0,AJ111&lt;&gt;"PF"),LifeBY*W111,0)</f>
        <v>502.09286399999996</v>
      </c>
      <c r="BT111" s="462">
        <f>IF(AND(AT111&lt;&gt;0,AM111="Y"),UIBY*W111,0)</f>
        <v>0</v>
      </c>
      <c r="BU111" s="462">
        <f>IF(AND(AT111&lt;&gt;0,N111&lt;&gt;"NR"),DHRBY*W111,0)</f>
        <v>385.79673599999995</v>
      </c>
      <c r="BV111" s="462">
        <f>IF(AT111&lt;&gt;0,WCBY*W111,0)</f>
        <v>118.38527999999998</v>
      </c>
      <c r="BW111" s="462">
        <f>IF(OR(AND(AT111&lt;&gt;0,AJ111&lt;&gt;"PF",AN111&lt;&gt;"NE",AG111&lt;&gt;"A"),AND(AL111="E",OR(AT111=1,AT111=3))),SickBY*W111,0)</f>
        <v>0</v>
      </c>
      <c r="BX111" s="462">
        <f t="shared" si="24"/>
        <v>14648.437440000002</v>
      </c>
      <c r="BY111" s="462">
        <f t="shared" si="25"/>
        <v>0</v>
      </c>
      <c r="BZ111" s="462">
        <f t="shared" si="26"/>
        <v>0</v>
      </c>
      <c r="CA111" s="462">
        <f t="shared" si="27"/>
        <v>0</v>
      </c>
      <c r="CB111" s="462">
        <f t="shared" si="28"/>
        <v>0</v>
      </c>
      <c r="CC111" s="462">
        <f>IF(AT111&lt;&gt;0,SSHICHG*Y111,0)</f>
        <v>0</v>
      </c>
      <c r="CD111" s="462">
        <f>IF(AND(AT111&lt;&gt;0,AN111&lt;&gt;"NE"),VLOOKUP(AN111,Retirement_Rates,5,FALSE)*Y111,0)</f>
        <v>0</v>
      </c>
      <c r="CE111" s="462">
        <f>IF(AND(AT111&lt;&gt;0,AJ111&lt;&gt;"PF"),LifeCHG*Y111,0)</f>
        <v>0</v>
      </c>
      <c r="CF111" s="462">
        <f>IF(AND(AT111&lt;&gt;0,AM111="Y"),UICHG*Y111,0)</f>
        <v>-341.22815999999995</v>
      </c>
      <c r="CG111" s="462">
        <f>IF(AND(AT111&lt;&gt;0,N111&lt;&gt;"NR"),DHRCHG*Y111,0)</f>
        <v>0</v>
      </c>
      <c r="CH111" s="462">
        <f>IF(AT111&lt;&gt;0,WCCHG*Y111,0)</f>
        <v>-20.891520000000007</v>
      </c>
      <c r="CI111" s="462">
        <f>IF(OR(AND(AT111&lt;&gt;0,AJ111&lt;&gt;"PF",AN111&lt;&gt;"NE",AG111&lt;&gt;"A"),AND(AL111="E",OR(AT111=1,AT111=3))),SickCHG*Y111,0)</f>
        <v>0</v>
      </c>
      <c r="CJ111" s="462">
        <f t="shared" si="29"/>
        <v>-362.11967999999996</v>
      </c>
      <c r="CK111" s="462" t="str">
        <f t="shared" si="30"/>
        <v/>
      </c>
      <c r="CL111" s="462" t="str">
        <f t="shared" si="31"/>
        <v/>
      </c>
      <c r="CM111" s="462" t="str">
        <f t="shared" si="32"/>
        <v/>
      </c>
      <c r="CN111" s="462" t="str">
        <f t="shared" si="33"/>
        <v>0450-38</v>
      </c>
    </row>
    <row r="112" spans="1:92" ht="15" thickBot="1" x14ac:dyDescent="0.35">
      <c r="A112" s="376" t="s">
        <v>161</v>
      </c>
      <c r="B112" s="376" t="s">
        <v>162</v>
      </c>
      <c r="C112" s="376" t="s">
        <v>613</v>
      </c>
      <c r="D112" s="376" t="s">
        <v>313</v>
      </c>
      <c r="E112" s="376" t="s">
        <v>314</v>
      </c>
      <c r="F112" s="382" t="s">
        <v>406</v>
      </c>
      <c r="G112" s="376" t="s">
        <v>167</v>
      </c>
      <c r="H112" s="378"/>
      <c r="I112" s="378"/>
      <c r="J112" s="376" t="s">
        <v>168</v>
      </c>
      <c r="K112" s="376" t="s">
        <v>316</v>
      </c>
      <c r="L112" s="376" t="s">
        <v>216</v>
      </c>
      <c r="M112" s="376" t="s">
        <v>171</v>
      </c>
      <c r="N112" s="376" t="s">
        <v>172</v>
      </c>
      <c r="O112" s="379">
        <v>1</v>
      </c>
      <c r="P112" s="460">
        <v>1</v>
      </c>
      <c r="Q112" s="460">
        <v>1</v>
      </c>
      <c r="R112" s="380">
        <v>80</v>
      </c>
      <c r="S112" s="460">
        <v>1</v>
      </c>
      <c r="T112" s="380">
        <v>64940.71</v>
      </c>
      <c r="U112" s="380">
        <v>0</v>
      </c>
      <c r="V112" s="380">
        <v>24658.04</v>
      </c>
      <c r="W112" s="380">
        <v>66497.600000000006</v>
      </c>
      <c r="X112" s="380">
        <v>25983.52</v>
      </c>
      <c r="Y112" s="380">
        <v>66497.600000000006</v>
      </c>
      <c r="Z112" s="380">
        <v>25637.74</v>
      </c>
      <c r="AA112" s="376" t="s">
        <v>614</v>
      </c>
      <c r="AB112" s="376" t="s">
        <v>615</v>
      </c>
      <c r="AC112" s="376" t="s">
        <v>616</v>
      </c>
      <c r="AD112" s="376" t="s">
        <v>617</v>
      </c>
      <c r="AE112" s="376" t="s">
        <v>316</v>
      </c>
      <c r="AF112" s="376" t="s">
        <v>311</v>
      </c>
      <c r="AG112" s="376" t="s">
        <v>178</v>
      </c>
      <c r="AH112" s="381">
        <v>31.97</v>
      </c>
      <c r="AI112" s="381">
        <v>11705.1</v>
      </c>
      <c r="AJ112" s="376" t="s">
        <v>179</v>
      </c>
      <c r="AK112" s="376" t="s">
        <v>180</v>
      </c>
      <c r="AL112" s="376" t="s">
        <v>181</v>
      </c>
      <c r="AM112" s="376" t="s">
        <v>182</v>
      </c>
      <c r="AN112" s="376" t="s">
        <v>68</v>
      </c>
      <c r="AO112" s="379">
        <v>80</v>
      </c>
      <c r="AP112" s="460">
        <v>1</v>
      </c>
      <c r="AQ112" s="460">
        <v>1</v>
      </c>
      <c r="AR112" s="458" t="s">
        <v>183</v>
      </c>
      <c r="AS112" s="462">
        <f t="shared" si="17"/>
        <v>1</v>
      </c>
      <c r="AT112">
        <f t="shared" si="18"/>
        <v>1</v>
      </c>
      <c r="AU112" s="462">
        <f>IF(AT112=0,"",IF(AND(AT112=1,M112="F",SUMIF(C2:C170,C112,AS2:AS170)&lt;=1),SUMIF(C2:C170,C112,AS2:AS170),IF(AND(AT112=1,M112="F",SUMIF(C2:C170,C112,AS2:AS170)&gt;1),1,"")))</f>
        <v>1</v>
      </c>
      <c r="AV112" s="462" t="str">
        <f>IF(AT112=0,"",IF(AND(AT112=3,M112="F",SUMIF(C2:C170,C112,AS2:AS170)&lt;=1),SUMIF(C2:C170,C112,AS2:AS170),IF(AND(AT112=3,M112="F",SUMIF(C2:C170,C112,AS2:AS170)&gt;1),1,"")))</f>
        <v/>
      </c>
      <c r="AW112" s="462">
        <f>SUMIF(C2:C170,C112,O2:O170)</f>
        <v>1</v>
      </c>
      <c r="AX112" s="462">
        <f>IF(AND(M112="F",AS112&lt;&gt;0),SUMIF(C2:C170,C112,W2:W170),0)</f>
        <v>66497.600000000006</v>
      </c>
      <c r="AY112" s="462">
        <f t="shared" si="19"/>
        <v>66497.600000000006</v>
      </c>
      <c r="AZ112" s="462" t="str">
        <f t="shared" si="20"/>
        <v/>
      </c>
      <c r="BA112" s="462">
        <f t="shared" si="21"/>
        <v>0</v>
      </c>
      <c r="BB112" s="462">
        <f>IF(AND(AT112=1,AK112="E",AU112&gt;=0.75,AW112=1),Health,IF(AND(AT112=1,AK112="E",AU112&gt;=0.75),Health*P112,IF(AND(AT112=1,AK112="E",AU112&gt;=0.5,AW112=1),PTHealth,IF(AND(AT112=1,AK112="E",AU112&gt;=0.5),PTHealth*P112,0))))</f>
        <v>11650</v>
      </c>
      <c r="BC112" s="462">
        <f>IF(AND(AT112=3,AK112="E",AV112&gt;=0.75,AW112=1),Health,IF(AND(AT112=3,AK112="E",AV112&gt;=0.75),Health*P112,IF(AND(AT112=3,AK112="E",AV112&gt;=0.5,AW112=1),PTHealth,IF(AND(AT112=3,AK112="E",AV112&gt;=0.5),PTHealth*P112,0))))</f>
        <v>0</v>
      </c>
      <c r="BD112" s="462">
        <f>IF(AND(AT112&lt;&gt;0,AX112&gt;=MAXSSDI),SSDI*MAXSSDI*P112,IF(AT112&lt;&gt;0,SSDI*W112,0))</f>
        <v>4122.8512000000001</v>
      </c>
      <c r="BE112" s="462">
        <f>IF(AT112&lt;&gt;0,SSHI*W112,0)</f>
        <v>964.2152000000001</v>
      </c>
      <c r="BF112" s="462">
        <f>IF(AND(AT112&lt;&gt;0,AN112&lt;&gt;"NE"),VLOOKUP(AN112,Retirement_Rates,3,FALSE)*W112,0)</f>
        <v>7939.8134400000008</v>
      </c>
      <c r="BG112" s="462">
        <f>IF(AND(AT112&lt;&gt;0,AJ112&lt;&gt;"PF"),Life*W112,0)</f>
        <v>479.44769600000006</v>
      </c>
      <c r="BH112" s="462">
        <f>IF(AND(AT112&lt;&gt;0,AM112="Y"),UI*W112,0)</f>
        <v>325.83824000000004</v>
      </c>
      <c r="BI112" s="462">
        <f>IF(AND(AT112&lt;&gt;0,N112&lt;&gt;"NR"),DHR*W112,0)</f>
        <v>368.396704</v>
      </c>
      <c r="BJ112" s="462">
        <f>IF(AT112&lt;&gt;0,WC*W112,0)</f>
        <v>132.99520000000001</v>
      </c>
      <c r="BK112" s="462">
        <f>IF(OR(AND(AT112&lt;&gt;0,AJ112&lt;&gt;"PF",AN112&lt;&gt;"NE",AG112&lt;&gt;"A"),AND(AL112="E",OR(AT112=1,AT112=3))),Sick*W112,0)</f>
        <v>0</v>
      </c>
      <c r="BL112" s="462">
        <f t="shared" si="22"/>
        <v>14333.557680000002</v>
      </c>
      <c r="BM112" s="462">
        <f t="shared" si="23"/>
        <v>0</v>
      </c>
      <c r="BN112" s="462">
        <f>IF(AND(AT112=1,AK112="E",AU112&gt;=0.75,AW112=1),HealthBY,IF(AND(AT112=1,AK112="E",AU112&gt;=0.75),HealthBY*P112,IF(AND(AT112=1,AK112="E",AU112&gt;=0.5,AW112=1),PTHealthBY,IF(AND(AT112=1,AK112="E",AU112&gt;=0.5),PTHealthBY*P112,0))))</f>
        <v>11650</v>
      </c>
      <c r="BO112" s="462">
        <f>IF(AND(AT112=3,AK112="E",AV112&gt;=0.75,AW112=1),HealthBY,IF(AND(AT112=3,AK112="E",AV112&gt;=0.75),HealthBY*P112,IF(AND(AT112=3,AK112="E",AV112&gt;=0.5,AW112=1),PTHealthBY,IF(AND(AT112=3,AK112="E",AV112&gt;=0.5),PTHealthBY*P112,0))))</f>
        <v>0</v>
      </c>
      <c r="BP112" s="462">
        <f>IF(AND(AT112&lt;&gt;0,(AX112+BA112)&gt;=MAXSSDIBY),SSDIBY*MAXSSDIBY*P112,IF(AT112&lt;&gt;0,SSDIBY*W112,0))</f>
        <v>4122.8512000000001</v>
      </c>
      <c r="BQ112" s="462">
        <f>IF(AT112&lt;&gt;0,SSHIBY*W112,0)</f>
        <v>964.2152000000001</v>
      </c>
      <c r="BR112" s="462">
        <f>IF(AND(AT112&lt;&gt;0,AN112&lt;&gt;"NE"),VLOOKUP(AN112,Retirement_Rates,4,FALSE)*W112,0)</f>
        <v>7939.8134400000008</v>
      </c>
      <c r="BS112" s="462">
        <f>IF(AND(AT112&lt;&gt;0,AJ112&lt;&gt;"PF"),LifeBY*W112,0)</f>
        <v>479.44769600000006</v>
      </c>
      <c r="BT112" s="462">
        <f>IF(AND(AT112&lt;&gt;0,AM112="Y"),UIBY*W112,0)</f>
        <v>0</v>
      </c>
      <c r="BU112" s="462">
        <f>IF(AND(AT112&lt;&gt;0,N112&lt;&gt;"NR"),DHRBY*W112,0)</f>
        <v>368.396704</v>
      </c>
      <c r="BV112" s="462">
        <f>IF(AT112&lt;&gt;0,WCBY*W112,0)</f>
        <v>113.04592000000001</v>
      </c>
      <c r="BW112" s="462">
        <f>IF(OR(AND(AT112&lt;&gt;0,AJ112&lt;&gt;"PF",AN112&lt;&gt;"NE",AG112&lt;&gt;"A"),AND(AL112="E",OR(AT112=1,AT112=3))),SickBY*W112,0)</f>
        <v>0</v>
      </c>
      <c r="BX112" s="462">
        <f t="shared" si="24"/>
        <v>13987.770160000002</v>
      </c>
      <c r="BY112" s="462">
        <f t="shared" si="25"/>
        <v>0</v>
      </c>
      <c r="BZ112" s="462">
        <f t="shared" si="26"/>
        <v>0</v>
      </c>
      <c r="CA112" s="462">
        <f t="shared" si="27"/>
        <v>0</v>
      </c>
      <c r="CB112" s="462">
        <f t="shared" si="28"/>
        <v>0</v>
      </c>
      <c r="CC112" s="462">
        <f>IF(AT112&lt;&gt;0,SSHICHG*Y112,0)</f>
        <v>0</v>
      </c>
      <c r="CD112" s="462">
        <f>IF(AND(AT112&lt;&gt;0,AN112&lt;&gt;"NE"),VLOOKUP(AN112,Retirement_Rates,5,FALSE)*Y112,0)</f>
        <v>0</v>
      </c>
      <c r="CE112" s="462">
        <f>IF(AND(AT112&lt;&gt;0,AJ112&lt;&gt;"PF"),LifeCHG*Y112,0)</f>
        <v>0</v>
      </c>
      <c r="CF112" s="462">
        <f>IF(AND(AT112&lt;&gt;0,AM112="Y"),UICHG*Y112,0)</f>
        <v>-325.83824000000004</v>
      </c>
      <c r="CG112" s="462">
        <f>IF(AND(AT112&lt;&gt;0,N112&lt;&gt;"NR"),DHRCHG*Y112,0)</f>
        <v>0</v>
      </c>
      <c r="CH112" s="462">
        <f>IF(AT112&lt;&gt;0,WCCHG*Y112,0)</f>
        <v>-19.949280000000012</v>
      </c>
      <c r="CI112" s="462">
        <f>IF(OR(AND(AT112&lt;&gt;0,AJ112&lt;&gt;"PF",AN112&lt;&gt;"NE",AG112&lt;&gt;"A"),AND(AL112="E",OR(AT112=1,AT112=3))),SickCHG*Y112,0)</f>
        <v>0</v>
      </c>
      <c r="CJ112" s="462">
        <f t="shared" si="29"/>
        <v>-345.78752000000003</v>
      </c>
      <c r="CK112" s="462" t="str">
        <f t="shared" si="30"/>
        <v/>
      </c>
      <c r="CL112" s="462" t="str">
        <f t="shared" si="31"/>
        <v/>
      </c>
      <c r="CM112" s="462" t="str">
        <f t="shared" si="32"/>
        <v/>
      </c>
      <c r="CN112" s="462" t="str">
        <f t="shared" si="33"/>
        <v>0450-38</v>
      </c>
    </row>
    <row r="113" spans="1:92" ht="15" thickBot="1" x14ac:dyDescent="0.35">
      <c r="A113" s="376" t="s">
        <v>161</v>
      </c>
      <c r="B113" s="376" t="s">
        <v>162</v>
      </c>
      <c r="C113" s="376" t="s">
        <v>618</v>
      </c>
      <c r="D113" s="376" t="s">
        <v>591</v>
      </c>
      <c r="E113" s="376" t="s">
        <v>314</v>
      </c>
      <c r="F113" s="382" t="s">
        <v>406</v>
      </c>
      <c r="G113" s="376" t="s">
        <v>167</v>
      </c>
      <c r="H113" s="378"/>
      <c r="I113" s="378"/>
      <c r="J113" s="376" t="s">
        <v>168</v>
      </c>
      <c r="K113" s="376" t="s">
        <v>592</v>
      </c>
      <c r="L113" s="376" t="s">
        <v>181</v>
      </c>
      <c r="M113" s="376" t="s">
        <v>171</v>
      </c>
      <c r="N113" s="376" t="s">
        <v>172</v>
      </c>
      <c r="O113" s="379">
        <v>1</v>
      </c>
      <c r="P113" s="460">
        <v>1</v>
      </c>
      <c r="Q113" s="460">
        <v>1</v>
      </c>
      <c r="R113" s="380">
        <v>80</v>
      </c>
      <c r="S113" s="460">
        <v>1</v>
      </c>
      <c r="T113" s="380">
        <v>80380.77</v>
      </c>
      <c r="U113" s="380">
        <v>0</v>
      </c>
      <c r="V113" s="380">
        <v>27714.84</v>
      </c>
      <c r="W113" s="380">
        <v>83387.199999999997</v>
      </c>
      <c r="X113" s="380">
        <v>29624.080000000002</v>
      </c>
      <c r="Y113" s="380">
        <v>83387.199999999997</v>
      </c>
      <c r="Z113" s="380">
        <v>29190.47</v>
      </c>
      <c r="AA113" s="376" t="s">
        <v>619</v>
      </c>
      <c r="AB113" s="376" t="s">
        <v>620</v>
      </c>
      <c r="AC113" s="376" t="s">
        <v>399</v>
      </c>
      <c r="AD113" s="376" t="s">
        <v>334</v>
      </c>
      <c r="AE113" s="376" t="s">
        <v>592</v>
      </c>
      <c r="AF113" s="376" t="s">
        <v>349</v>
      </c>
      <c r="AG113" s="376" t="s">
        <v>178</v>
      </c>
      <c r="AH113" s="381">
        <v>40.090000000000003</v>
      </c>
      <c r="AI113" s="379">
        <v>56637</v>
      </c>
      <c r="AJ113" s="376" t="s">
        <v>179</v>
      </c>
      <c r="AK113" s="376" t="s">
        <v>180</v>
      </c>
      <c r="AL113" s="376" t="s">
        <v>181</v>
      </c>
      <c r="AM113" s="376" t="s">
        <v>182</v>
      </c>
      <c r="AN113" s="376" t="s">
        <v>68</v>
      </c>
      <c r="AO113" s="379">
        <v>80</v>
      </c>
      <c r="AP113" s="460">
        <v>1</v>
      </c>
      <c r="AQ113" s="460">
        <v>1</v>
      </c>
      <c r="AR113" s="458" t="s">
        <v>183</v>
      </c>
      <c r="AS113" s="462">
        <f t="shared" si="17"/>
        <v>1</v>
      </c>
      <c r="AT113">
        <f t="shared" si="18"/>
        <v>1</v>
      </c>
      <c r="AU113" s="462">
        <f>IF(AT113=0,"",IF(AND(AT113=1,M113="F",SUMIF(C2:C170,C113,AS2:AS170)&lt;=1),SUMIF(C2:C170,C113,AS2:AS170),IF(AND(AT113=1,M113="F",SUMIF(C2:C170,C113,AS2:AS170)&gt;1),1,"")))</f>
        <v>1</v>
      </c>
      <c r="AV113" s="462" t="str">
        <f>IF(AT113=0,"",IF(AND(AT113=3,M113="F",SUMIF(C2:C170,C113,AS2:AS170)&lt;=1),SUMIF(C2:C170,C113,AS2:AS170),IF(AND(AT113=3,M113="F",SUMIF(C2:C170,C113,AS2:AS170)&gt;1),1,"")))</f>
        <v/>
      </c>
      <c r="AW113" s="462">
        <f>SUMIF(C2:C170,C113,O2:O170)</f>
        <v>1</v>
      </c>
      <c r="AX113" s="462">
        <f>IF(AND(M113="F",AS113&lt;&gt;0),SUMIF(C2:C170,C113,W2:W170),0)</f>
        <v>83387.199999999997</v>
      </c>
      <c r="AY113" s="462">
        <f t="shared" si="19"/>
        <v>83387.199999999997</v>
      </c>
      <c r="AZ113" s="462" t="str">
        <f t="shared" si="20"/>
        <v/>
      </c>
      <c r="BA113" s="462">
        <f t="shared" si="21"/>
        <v>0</v>
      </c>
      <c r="BB113" s="462">
        <f>IF(AND(AT113=1,AK113="E",AU113&gt;=0.75,AW113=1),Health,IF(AND(AT113=1,AK113="E",AU113&gt;=0.75),Health*P113,IF(AND(AT113=1,AK113="E",AU113&gt;=0.5,AW113=1),PTHealth,IF(AND(AT113=1,AK113="E",AU113&gt;=0.5),PTHealth*P113,0))))</f>
        <v>11650</v>
      </c>
      <c r="BC113" s="462">
        <f>IF(AND(AT113=3,AK113="E",AV113&gt;=0.75,AW113=1),Health,IF(AND(AT113=3,AK113="E",AV113&gt;=0.75),Health*P113,IF(AND(AT113=3,AK113="E",AV113&gt;=0.5,AW113=1),PTHealth,IF(AND(AT113=3,AK113="E",AV113&gt;=0.5),PTHealth*P113,0))))</f>
        <v>0</v>
      </c>
      <c r="BD113" s="462">
        <f>IF(AND(AT113&lt;&gt;0,AX113&gt;=MAXSSDI),SSDI*MAXSSDI*P113,IF(AT113&lt;&gt;0,SSDI*W113,0))</f>
        <v>5170.0064000000002</v>
      </c>
      <c r="BE113" s="462">
        <f>IF(AT113&lt;&gt;0,SSHI*W113,0)</f>
        <v>1209.1143999999999</v>
      </c>
      <c r="BF113" s="462">
        <f>IF(AND(AT113&lt;&gt;0,AN113&lt;&gt;"NE"),VLOOKUP(AN113,Retirement_Rates,3,FALSE)*W113,0)</f>
        <v>9956.4316799999997</v>
      </c>
      <c r="BG113" s="462">
        <f>IF(AND(AT113&lt;&gt;0,AJ113&lt;&gt;"PF"),Life*W113,0)</f>
        <v>601.22171200000003</v>
      </c>
      <c r="BH113" s="462">
        <f>IF(AND(AT113&lt;&gt;0,AM113="Y"),UI*W113,0)</f>
        <v>408.59727999999996</v>
      </c>
      <c r="BI113" s="462">
        <f>IF(AND(AT113&lt;&gt;0,N113&lt;&gt;"NR"),DHR*W113,0)</f>
        <v>461.96508799999998</v>
      </c>
      <c r="BJ113" s="462">
        <f>IF(AT113&lt;&gt;0,WC*W113,0)</f>
        <v>166.77439999999999</v>
      </c>
      <c r="BK113" s="462">
        <f>IF(OR(AND(AT113&lt;&gt;0,AJ113&lt;&gt;"PF",AN113&lt;&gt;"NE",AG113&lt;&gt;"A"),AND(AL113="E",OR(AT113=1,AT113=3))),Sick*W113,0)</f>
        <v>0</v>
      </c>
      <c r="BL113" s="462">
        <f t="shared" si="22"/>
        <v>17974.110959999998</v>
      </c>
      <c r="BM113" s="462">
        <f t="shared" si="23"/>
        <v>0</v>
      </c>
      <c r="BN113" s="462">
        <f>IF(AND(AT113=1,AK113="E",AU113&gt;=0.75,AW113=1),HealthBY,IF(AND(AT113=1,AK113="E",AU113&gt;=0.75),HealthBY*P113,IF(AND(AT113=1,AK113="E",AU113&gt;=0.5,AW113=1),PTHealthBY,IF(AND(AT113=1,AK113="E",AU113&gt;=0.5),PTHealthBY*P113,0))))</f>
        <v>11650</v>
      </c>
      <c r="BO113" s="462">
        <f>IF(AND(AT113=3,AK113="E",AV113&gt;=0.75,AW113=1),HealthBY,IF(AND(AT113=3,AK113="E",AV113&gt;=0.75),HealthBY*P113,IF(AND(AT113=3,AK113="E",AV113&gt;=0.5,AW113=1),PTHealthBY,IF(AND(AT113=3,AK113="E",AV113&gt;=0.5),PTHealthBY*P113,0))))</f>
        <v>0</v>
      </c>
      <c r="BP113" s="462">
        <f>IF(AND(AT113&lt;&gt;0,(AX113+BA113)&gt;=MAXSSDIBY),SSDIBY*MAXSSDIBY*P113,IF(AT113&lt;&gt;0,SSDIBY*W113,0))</f>
        <v>5170.0064000000002</v>
      </c>
      <c r="BQ113" s="462">
        <f>IF(AT113&lt;&gt;0,SSHIBY*W113,0)</f>
        <v>1209.1143999999999</v>
      </c>
      <c r="BR113" s="462">
        <f>IF(AND(AT113&lt;&gt;0,AN113&lt;&gt;"NE"),VLOOKUP(AN113,Retirement_Rates,4,FALSE)*W113,0)</f>
        <v>9956.4316799999997</v>
      </c>
      <c r="BS113" s="462">
        <f>IF(AND(AT113&lt;&gt;0,AJ113&lt;&gt;"PF"),LifeBY*W113,0)</f>
        <v>601.22171200000003</v>
      </c>
      <c r="BT113" s="462">
        <f>IF(AND(AT113&lt;&gt;0,AM113="Y"),UIBY*W113,0)</f>
        <v>0</v>
      </c>
      <c r="BU113" s="462">
        <f>IF(AND(AT113&lt;&gt;0,N113&lt;&gt;"NR"),DHRBY*W113,0)</f>
        <v>461.96508799999998</v>
      </c>
      <c r="BV113" s="462">
        <f>IF(AT113&lt;&gt;0,WCBY*W113,0)</f>
        <v>141.75824</v>
      </c>
      <c r="BW113" s="462">
        <f>IF(OR(AND(AT113&lt;&gt;0,AJ113&lt;&gt;"PF",AN113&lt;&gt;"NE",AG113&lt;&gt;"A"),AND(AL113="E",OR(AT113=1,AT113=3))),SickBY*W113,0)</f>
        <v>0</v>
      </c>
      <c r="BX113" s="462">
        <f t="shared" si="24"/>
        <v>17540.497520000001</v>
      </c>
      <c r="BY113" s="462">
        <f t="shared" si="25"/>
        <v>0</v>
      </c>
      <c r="BZ113" s="462">
        <f t="shared" si="26"/>
        <v>0</v>
      </c>
      <c r="CA113" s="462">
        <f t="shared" si="27"/>
        <v>0</v>
      </c>
      <c r="CB113" s="462">
        <f t="shared" si="28"/>
        <v>0</v>
      </c>
      <c r="CC113" s="462">
        <f>IF(AT113&lt;&gt;0,SSHICHG*Y113,0)</f>
        <v>0</v>
      </c>
      <c r="CD113" s="462">
        <f>IF(AND(AT113&lt;&gt;0,AN113&lt;&gt;"NE"),VLOOKUP(AN113,Retirement_Rates,5,FALSE)*Y113,0)</f>
        <v>0</v>
      </c>
      <c r="CE113" s="462">
        <f>IF(AND(AT113&lt;&gt;0,AJ113&lt;&gt;"PF"),LifeCHG*Y113,0)</f>
        <v>0</v>
      </c>
      <c r="CF113" s="462">
        <f>IF(AND(AT113&lt;&gt;0,AM113="Y"),UICHG*Y113,0)</f>
        <v>-408.59727999999996</v>
      </c>
      <c r="CG113" s="462">
        <f>IF(AND(AT113&lt;&gt;0,N113&lt;&gt;"NR"),DHRCHG*Y113,0)</f>
        <v>0</v>
      </c>
      <c r="CH113" s="462">
        <f>IF(AT113&lt;&gt;0,WCCHG*Y113,0)</f>
        <v>-25.01616000000001</v>
      </c>
      <c r="CI113" s="462">
        <f>IF(OR(AND(AT113&lt;&gt;0,AJ113&lt;&gt;"PF",AN113&lt;&gt;"NE",AG113&lt;&gt;"A"),AND(AL113="E",OR(AT113=1,AT113=3))),SickCHG*Y113,0)</f>
        <v>0</v>
      </c>
      <c r="CJ113" s="462">
        <f t="shared" si="29"/>
        <v>-433.61343999999997</v>
      </c>
      <c r="CK113" s="462" t="str">
        <f t="shared" si="30"/>
        <v/>
      </c>
      <c r="CL113" s="462" t="str">
        <f t="shared" si="31"/>
        <v/>
      </c>
      <c r="CM113" s="462" t="str">
        <f t="shared" si="32"/>
        <v/>
      </c>
      <c r="CN113" s="462" t="str">
        <f t="shared" si="33"/>
        <v>0450-38</v>
      </c>
    </row>
    <row r="114" spans="1:92" ht="15" thickBot="1" x14ac:dyDescent="0.35">
      <c r="A114" s="376" t="s">
        <v>161</v>
      </c>
      <c r="B114" s="376" t="s">
        <v>162</v>
      </c>
      <c r="C114" s="376" t="s">
        <v>191</v>
      </c>
      <c r="D114" s="376" t="s">
        <v>164</v>
      </c>
      <c r="E114" s="376" t="s">
        <v>314</v>
      </c>
      <c r="F114" s="382" t="s">
        <v>406</v>
      </c>
      <c r="G114" s="376" t="s">
        <v>167</v>
      </c>
      <c r="H114" s="378"/>
      <c r="I114" s="378"/>
      <c r="J114" s="376" t="s">
        <v>168</v>
      </c>
      <c r="K114" s="376" t="s">
        <v>169</v>
      </c>
      <c r="L114" s="376" t="s">
        <v>170</v>
      </c>
      <c r="M114" s="376" t="s">
        <v>171</v>
      </c>
      <c r="N114" s="376" t="s">
        <v>172</v>
      </c>
      <c r="O114" s="379">
        <v>1</v>
      </c>
      <c r="P114" s="460">
        <v>1</v>
      </c>
      <c r="Q114" s="460">
        <v>1</v>
      </c>
      <c r="R114" s="380">
        <v>80</v>
      </c>
      <c r="S114" s="460">
        <v>1</v>
      </c>
      <c r="T114" s="380">
        <v>0</v>
      </c>
      <c r="U114" s="380">
        <v>0</v>
      </c>
      <c r="V114" s="380">
        <v>0</v>
      </c>
      <c r="W114" s="380">
        <v>86964.800000000003</v>
      </c>
      <c r="X114" s="380">
        <v>30395.21</v>
      </c>
      <c r="Y114" s="380">
        <v>86964.800000000003</v>
      </c>
      <c r="Z114" s="380">
        <v>29943.01</v>
      </c>
      <c r="AA114" s="376" t="s">
        <v>192</v>
      </c>
      <c r="AB114" s="376" t="s">
        <v>193</v>
      </c>
      <c r="AC114" s="376" t="s">
        <v>194</v>
      </c>
      <c r="AD114" s="376" t="s">
        <v>195</v>
      </c>
      <c r="AE114" s="376" t="s">
        <v>169</v>
      </c>
      <c r="AF114" s="376" t="s">
        <v>177</v>
      </c>
      <c r="AG114" s="376" t="s">
        <v>178</v>
      </c>
      <c r="AH114" s="381">
        <v>41.81</v>
      </c>
      <c r="AI114" s="381">
        <v>26356.799999999999</v>
      </c>
      <c r="AJ114" s="376" t="s">
        <v>179</v>
      </c>
      <c r="AK114" s="376" t="s">
        <v>180</v>
      </c>
      <c r="AL114" s="376" t="s">
        <v>181</v>
      </c>
      <c r="AM114" s="376" t="s">
        <v>182</v>
      </c>
      <c r="AN114" s="376" t="s">
        <v>68</v>
      </c>
      <c r="AO114" s="379">
        <v>80</v>
      </c>
      <c r="AP114" s="460">
        <v>1</v>
      </c>
      <c r="AQ114" s="460">
        <v>1</v>
      </c>
      <c r="AR114" s="458" t="s">
        <v>183</v>
      </c>
      <c r="AS114" s="462">
        <f t="shared" si="17"/>
        <v>1</v>
      </c>
      <c r="AT114">
        <f t="shared" si="18"/>
        <v>1</v>
      </c>
      <c r="AU114" s="462">
        <f>IF(AT114=0,"",IF(AND(AT114=1,M114="F",SUMIF(C2:C170,C114,AS2:AS170)&lt;=1),SUMIF(C2:C170,C114,AS2:AS170),IF(AND(AT114=1,M114="F",SUMIF(C2:C170,C114,AS2:AS170)&gt;1),1,"")))</f>
        <v>1</v>
      </c>
      <c r="AV114" s="462" t="str">
        <f>IF(AT114=0,"",IF(AND(AT114=3,M114="F",SUMIF(C2:C170,C114,AS2:AS170)&lt;=1),SUMIF(C2:C170,C114,AS2:AS170),IF(AND(AT114=3,M114="F",SUMIF(C2:C170,C114,AS2:AS170)&gt;1),1,"")))</f>
        <v/>
      </c>
      <c r="AW114" s="462">
        <f>SUMIF(C2:C170,C114,O2:O170)</f>
        <v>2</v>
      </c>
      <c r="AX114" s="462">
        <f>IF(AND(M114="F",AS114&lt;&gt;0),SUMIF(C2:C170,C114,W2:W170),0)</f>
        <v>86964.800000000003</v>
      </c>
      <c r="AY114" s="462">
        <f t="shared" si="19"/>
        <v>86964.800000000003</v>
      </c>
      <c r="AZ114" s="462" t="str">
        <f t="shared" si="20"/>
        <v/>
      </c>
      <c r="BA114" s="462">
        <f t="shared" si="21"/>
        <v>0</v>
      </c>
      <c r="BB114" s="462">
        <f>IF(AND(AT114=1,AK114="E",AU114&gt;=0.75,AW114=1),Health,IF(AND(AT114=1,AK114="E",AU114&gt;=0.75),Health*P114,IF(AND(AT114=1,AK114="E",AU114&gt;=0.5,AW114=1),PTHealth,IF(AND(AT114=1,AK114="E",AU114&gt;=0.5),PTHealth*P114,0))))</f>
        <v>11650</v>
      </c>
      <c r="BC114" s="462">
        <f>IF(AND(AT114=3,AK114="E",AV114&gt;=0.75,AW114=1),Health,IF(AND(AT114=3,AK114="E",AV114&gt;=0.75),Health*P114,IF(AND(AT114=3,AK114="E",AV114&gt;=0.5,AW114=1),PTHealth,IF(AND(AT114=3,AK114="E",AV114&gt;=0.5),PTHealth*P114,0))))</f>
        <v>0</v>
      </c>
      <c r="BD114" s="462">
        <f>IF(AND(AT114&lt;&gt;0,AX114&gt;=MAXSSDI),SSDI*MAXSSDI*P114,IF(AT114&lt;&gt;0,SSDI*W114,0))</f>
        <v>5391.8176000000003</v>
      </c>
      <c r="BE114" s="462">
        <f>IF(AT114&lt;&gt;0,SSHI*W114,0)</f>
        <v>1260.9896000000001</v>
      </c>
      <c r="BF114" s="462">
        <f>IF(AND(AT114&lt;&gt;0,AN114&lt;&gt;"NE"),VLOOKUP(AN114,Retirement_Rates,3,FALSE)*W114,0)</f>
        <v>10383.59712</v>
      </c>
      <c r="BG114" s="462">
        <f>IF(AND(AT114&lt;&gt;0,AJ114&lt;&gt;"PF"),Life*W114,0)</f>
        <v>627.01620800000001</v>
      </c>
      <c r="BH114" s="462">
        <f>IF(AND(AT114&lt;&gt;0,AM114="Y"),UI*W114,0)</f>
        <v>426.12752</v>
      </c>
      <c r="BI114" s="462">
        <f>IF(AND(AT114&lt;&gt;0,N114&lt;&gt;"NR"),DHR*W114,0)</f>
        <v>481.78499199999999</v>
      </c>
      <c r="BJ114" s="462">
        <f>IF(AT114&lt;&gt;0,WC*W114,0)</f>
        <v>173.92960000000002</v>
      </c>
      <c r="BK114" s="462">
        <f>IF(OR(AND(AT114&lt;&gt;0,AJ114&lt;&gt;"PF",AN114&lt;&gt;"NE",AG114&lt;&gt;"A"),AND(AL114="E",OR(AT114=1,AT114=3))),Sick*W114,0)</f>
        <v>0</v>
      </c>
      <c r="BL114" s="462">
        <f t="shared" si="22"/>
        <v>18745.262640000004</v>
      </c>
      <c r="BM114" s="462">
        <f t="shared" si="23"/>
        <v>0</v>
      </c>
      <c r="BN114" s="462">
        <f>IF(AND(AT114=1,AK114="E",AU114&gt;=0.75,AW114=1),HealthBY,IF(AND(AT114=1,AK114="E",AU114&gt;=0.75),HealthBY*P114,IF(AND(AT114=1,AK114="E",AU114&gt;=0.5,AW114=1),PTHealthBY,IF(AND(AT114=1,AK114="E",AU114&gt;=0.5),PTHealthBY*P114,0))))</f>
        <v>11650</v>
      </c>
      <c r="BO114" s="462">
        <f>IF(AND(AT114=3,AK114="E",AV114&gt;=0.75,AW114=1),HealthBY,IF(AND(AT114=3,AK114="E",AV114&gt;=0.75),HealthBY*P114,IF(AND(AT114=3,AK114="E",AV114&gt;=0.5,AW114=1),PTHealthBY,IF(AND(AT114=3,AK114="E",AV114&gt;=0.5),PTHealthBY*P114,0))))</f>
        <v>0</v>
      </c>
      <c r="BP114" s="462">
        <f>IF(AND(AT114&lt;&gt;0,(AX114+BA114)&gt;=MAXSSDIBY),SSDIBY*MAXSSDIBY*P114,IF(AT114&lt;&gt;0,SSDIBY*W114,0))</f>
        <v>5391.8176000000003</v>
      </c>
      <c r="BQ114" s="462">
        <f>IF(AT114&lt;&gt;0,SSHIBY*W114,0)</f>
        <v>1260.9896000000001</v>
      </c>
      <c r="BR114" s="462">
        <f>IF(AND(AT114&lt;&gt;0,AN114&lt;&gt;"NE"),VLOOKUP(AN114,Retirement_Rates,4,FALSE)*W114,0)</f>
        <v>10383.59712</v>
      </c>
      <c r="BS114" s="462">
        <f>IF(AND(AT114&lt;&gt;0,AJ114&lt;&gt;"PF"),LifeBY*W114,0)</f>
        <v>627.01620800000001</v>
      </c>
      <c r="BT114" s="462">
        <f>IF(AND(AT114&lt;&gt;0,AM114="Y"),UIBY*W114,0)</f>
        <v>0</v>
      </c>
      <c r="BU114" s="462">
        <f>IF(AND(AT114&lt;&gt;0,N114&lt;&gt;"NR"),DHRBY*W114,0)</f>
        <v>481.78499199999999</v>
      </c>
      <c r="BV114" s="462">
        <f>IF(AT114&lt;&gt;0,WCBY*W114,0)</f>
        <v>147.84016</v>
      </c>
      <c r="BW114" s="462">
        <f>IF(OR(AND(AT114&lt;&gt;0,AJ114&lt;&gt;"PF",AN114&lt;&gt;"NE",AG114&lt;&gt;"A"),AND(AL114="E",OR(AT114=1,AT114=3))),SickBY*W114,0)</f>
        <v>0</v>
      </c>
      <c r="BX114" s="462">
        <f t="shared" si="24"/>
        <v>18293.045680000003</v>
      </c>
      <c r="BY114" s="462">
        <f t="shared" si="25"/>
        <v>0</v>
      </c>
      <c r="BZ114" s="462">
        <f t="shared" si="26"/>
        <v>0</v>
      </c>
      <c r="CA114" s="462">
        <f t="shared" si="27"/>
        <v>0</v>
      </c>
      <c r="CB114" s="462">
        <f t="shared" si="28"/>
        <v>0</v>
      </c>
      <c r="CC114" s="462">
        <f>IF(AT114&lt;&gt;0,SSHICHG*Y114,0)</f>
        <v>0</v>
      </c>
      <c r="CD114" s="462">
        <f>IF(AND(AT114&lt;&gt;0,AN114&lt;&gt;"NE"),VLOOKUP(AN114,Retirement_Rates,5,FALSE)*Y114,0)</f>
        <v>0</v>
      </c>
      <c r="CE114" s="462">
        <f>IF(AND(AT114&lt;&gt;0,AJ114&lt;&gt;"PF"),LifeCHG*Y114,0)</f>
        <v>0</v>
      </c>
      <c r="CF114" s="462">
        <f>IF(AND(AT114&lt;&gt;0,AM114="Y"),UICHG*Y114,0)</f>
        <v>-426.12752</v>
      </c>
      <c r="CG114" s="462">
        <f>IF(AND(AT114&lt;&gt;0,N114&lt;&gt;"NR"),DHRCHG*Y114,0)</f>
        <v>0</v>
      </c>
      <c r="CH114" s="462">
        <f>IF(AT114&lt;&gt;0,WCCHG*Y114,0)</f>
        <v>-26.089440000000014</v>
      </c>
      <c r="CI114" s="462">
        <f>IF(OR(AND(AT114&lt;&gt;0,AJ114&lt;&gt;"PF",AN114&lt;&gt;"NE",AG114&lt;&gt;"A"),AND(AL114="E",OR(AT114=1,AT114=3))),SickCHG*Y114,0)</f>
        <v>0</v>
      </c>
      <c r="CJ114" s="462">
        <f t="shared" si="29"/>
        <v>-452.21696000000003</v>
      </c>
      <c r="CK114" s="462" t="str">
        <f t="shared" si="30"/>
        <v/>
      </c>
      <c r="CL114" s="462" t="str">
        <f t="shared" si="31"/>
        <v/>
      </c>
      <c r="CM114" s="462" t="str">
        <f t="shared" si="32"/>
        <v/>
      </c>
      <c r="CN114" s="462" t="str">
        <f t="shared" si="33"/>
        <v>0450-38</v>
      </c>
    </row>
    <row r="115" spans="1:92" ht="15" thickBot="1" x14ac:dyDescent="0.35">
      <c r="A115" s="376" t="s">
        <v>161</v>
      </c>
      <c r="B115" s="376" t="s">
        <v>162</v>
      </c>
      <c r="C115" s="376" t="s">
        <v>621</v>
      </c>
      <c r="D115" s="376" t="s">
        <v>430</v>
      </c>
      <c r="E115" s="376" t="s">
        <v>314</v>
      </c>
      <c r="F115" s="382" t="s">
        <v>406</v>
      </c>
      <c r="G115" s="376" t="s">
        <v>167</v>
      </c>
      <c r="H115" s="378"/>
      <c r="I115" s="378"/>
      <c r="J115" s="376" t="s">
        <v>168</v>
      </c>
      <c r="K115" s="376" t="s">
        <v>512</v>
      </c>
      <c r="L115" s="376" t="s">
        <v>216</v>
      </c>
      <c r="M115" s="376" t="s">
        <v>171</v>
      </c>
      <c r="N115" s="376" t="s">
        <v>172</v>
      </c>
      <c r="O115" s="379">
        <v>1</v>
      </c>
      <c r="P115" s="460">
        <v>1</v>
      </c>
      <c r="Q115" s="460">
        <v>1</v>
      </c>
      <c r="R115" s="380">
        <v>80</v>
      </c>
      <c r="S115" s="460">
        <v>1</v>
      </c>
      <c r="T115" s="380">
        <v>72599.009999999995</v>
      </c>
      <c r="U115" s="380">
        <v>0</v>
      </c>
      <c r="V115" s="380">
        <v>26621.91</v>
      </c>
      <c r="W115" s="380">
        <v>72841.600000000006</v>
      </c>
      <c r="X115" s="380">
        <v>27350.97</v>
      </c>
      <c r="Y115" s="380">
        <v>72841.600000000006</v>
      </c>
      <c r="Z115" s="380">
        <v>26972.2</v>
      </c>
      <c r="AA115" s="376" t="s">
        <v>622</v>
      </c>
      <c r="AB115" s="376" t="s">
        <v>623</v>
      </c>
      <c r="AC115" s="376" t="s">
        <v>502</v>
      </c>
      <c r="AD115" s="376" t="s">
        <v>353</v>
      </c>
      <c r="AE115" s="376" t="s">
        <v>512</v>
      </c>
      <c r="AF115" s="376" t="s">
        <v>311</v>
      </c>
      <c r="AG115" s="376" t="s">
        <v>178</v>
      </c>
      <c r="AH115" s="381">
        <v>35.020000000000003</v>
      </c>
      <c r="AI115" s="381">
        <v>81952.3</v>
      </c>
      <c r="AJ115" s="376" t="s">
        <v>179</v>
      </c>
      <c r="AK115" s="376" t="s">
        <v>180</v>
      </c>
      <c r="AL115" s="376" t="s">
        <v>181</v>
      </c>
      <c r="AM115" s="376" t="s">
        <v>182</v>
      </c>
      <c r="AN115" s="376" t="s">
        <v>68</v>
      </c>
      <c r="AO115" s="379">
        <v>80</v>
      </c>
      <c r="AP115" s="460">
        <v>1</v>
      </c>
      <c r="AQ115" s="460">
        <v>1</v>
      </c>
      <c r="AR115" s="458" t="s">
        <v>183</v>
      </c>
      <c r="AS115" s="462">
        <f t="shared" si="17"/>
        <v>1</v>
      </c>
      <c r="AT115">
        <f t="shared" si="18"/>
        <v>1</v>
      </c>
      <c r="AU115" s="462">
        <f>IF(AT115=0,"",IF(AND(AT115=1,M115="F",SUMIF(C2:C170,C115,AS2:AS170)&lt;=1),SUMIF(C2:C170,C115,AS2:AS170),IF(AND(AT115=1,M115="F",SUMIF(C2:C170,C115,AS2:AS170)&gt;1),1,"")))</f>
        <v>1</v>
      </c>
      <c r="AV115" s="462" t="str">
        <f>IF(AT115=0,"",IF(AND(AT115=3,M115="F",SUMIF(C2:C170,C115,AS2:AS170)&lt;=1),SUMIF(C2:C170,C115,AS2:AS170),IF(AND(AT115=3,M115="F",SUMIF(C2:C170,C115,AS2:AS170)&gt;1),1,"")))</f>
        <v/>
      </c>
      <c r="AW115" s="462">
        <f>SUMIF(C2:C170,C115,O2:O170)</f>
        <v>1</v>
      </c>
      <c r="AX115" s="462">
        <f>IF(AND(M115="F",AS115&lt;&gt;0),SUMIF(C2:C170,C115,W2:W170),0)</f>
        <v>72841.600000000006</v>
      </c>
      <c r="AY115" s="462">
        <f t="shared" si="19"/>
        <v>72841.600000000006</v>
      </c>
      <c r="AZ115" s="462" t="str">
        <f t="shared" si="20"/>
        <v/>
      </c>
      <c r="BA115" s="462">
        <f t="shared" si="21"/>
        <v>0</v>
      </c>
      <c r="BB115" s="462">
        <f>IF(AND(AT115=1,AK115="E",AU115&gt;=0.75,AW115=1),Health,IF(AND(AT115=1,AK115="E",AU115&gt;=0.75),Health*P115,IF(AND(AT115=1,AK115="E",AU115&gt;=0.5,AW115=1),PTHealth,IF(AND(AT115=1,AK115="E",AU115&gt;=0.5),PTHealth*P115,0))))</f>
        <v>11650</v>
      </c>
      <c r="BC115" s="462">
        <f>IF(AND(AT115=3,AK115="E",AV115&gt;=0.75,AW115=1),Health,IF(AND(AT115=3,AK115="E",AV115&gt;=0.75),Health*P115,IF(AND(AT115=3,AK115="E",AV115&gt;=0.5,AW115=1),PTHealth,IF(AND(AT115=3,AK115="E",AV115&gt;=0.5),PTHealth*P115,0))))</f>
        <v>0</v>
      </c>
      <c r="BD115" s="462">
        <f>IF(AND(AT115&lt;&gt;0,AX115&gt;=MAXSSDI),SSDI*MAXSSDI*P115,IF(AT115&lt;&gt;0,SSDI*W115,0))</f>
        <v>4516.1792000000005</v>
      </c>
      <c r="BE115" s="462">
        <f>IF(AT115&lt;&gt;0,SSHI*W115,0)</f>
        <v>1056.2032000000002</v>
      </c>
      <c r="BF115" s="462">
        <f>IF(AND(AT115&lt;&gt;0,AN115&lt;&gt;"NE"),VLOOKUP(AN115,Retirement_Rates,3,FALSE)*W115,0)</f>
        <v>8697.2870400000011</v>
      </c>
      <c r="BG115" s="462">
        <f>IF(AND(AT115&lt;&gt;0,AJ115&lt;&gt;"PF"),Life*W115,0)</f>
        <v>525.18793600000004</v>
      </c>
      <c r="BH115" s="462">
        <f>IF(AND(AT115&lt;&gt;0,AM115="Y"),UI*W115,0)</f>
        <v>356.92384000000004</v>
      </c>
      <c r="BI115" s="462">
        <f>IF(AND(AT115&lt;&gt;0,N115&lt;&gt;"NR"),DHR*W115,0)</f>
        <v>403.542464</v>
      </c>
      <c r="BJ115" s="462">
        <f>IF(AT115&lt;&gt;0,WC*W115,0)</f>
        <v>145.68320000000003</v>
      </c>
      <c r="BK115" s="462">
        <f>IF(OR(AND(AT115&lt;&gt;0,AJ115&lt;&gt;"PF",AN115&lt;&gt;"NE",AG115&lt;&gt;"A"),AND(AL115="E",OR(AT115=1,AT115=3))),Sick*W115,0)</f>
        <v>0</v>
      </c>
      <c r="BL115" s="462">
        <f t="shared" si="22"/>
        <v>15701.006880000001</v>
      </c>
      <c r="BM115" s="462">
        <f t="shared" si="23"/>
        <v>0</v>
      </c>
      <c r="BN115" s="462">
        <f>IF(AND(AT115=1,AK115="E",AU115&gt;=0.75,AW115=1),HealthBY,IF(AND(AT115=1,AK115="E",AU115&gt;=0.75),HealthBY*P115,IF(AND(AT115=1,AK115="E",AU115&gt;=0.5,AW115=1),PTHealthBY,IF(AND(AT115=1,AK115="E",AU115&gt;=0.5),PTHealthBY*P115,0))))</f>
        <v>11650</v>
      </c>
      <c r="BO115" s="462">
        <f>IF(AND(AT115=3,AK115="E",AV115&gt;=0.75,AW115=1),HealthBY,IF(AND(AT115=3,AK115="E",AV115&gt;=0.75),HealthBY*P115,IF(AND(AT115=3,AK115="E",AV115&gt;=0.5,AW115=1),PTHealthBY,IF(AND(AT115=3,AK115="E",AV115&gt;=0.5),PTHealthBY*P115,0))))</f>
        <v>0</v>
      </c>
      <c r="BP115" s="462">
        <f>IF(AND(AT115&lt;&gt;0,(AX115+BA115)&gt;=MAXSSDIBY),SSDIBY*MAXSSDIBY*P115,IF(AT115&lt;&gt;0,SSDIBY*W115,0))</f>
        <v>4516.1792000000005</v>
      </c>
      <c r="BQ115" s="462">
        <f>IF(AT115&lt;&gt;0,SSHIBY*W115,0)</f>
        <v>1056.2032000000002</v>
      </c>
      <c r="BR115" s="462">
        <f>IF(AND(AT115&lt;&gt;0,AN115&lt;&gt;"NE"),VLOOKUP(AN115,Retirement_Rates,4,FALSE)*W115,0)</f>
        <v>8697.2870400000011</v>
      </c>
      <c r="BS115" s="462">
        <f>IF(AND(AT115&lt;&gt;0,AJ115&lt;&gt;"PF"),LifeBY*W115,0)</f>
        <v>525.18793600000004</v>
      </c>
      <c r="BT115" s="462">
        <f>IF(AND(AT115&lt;&gt;0,AM115="Y"),UIBY*W115,0)</f>
        <v>0</v>
      </c>
      <c r="BU115" s="462">
        <f>IF(AND(AT115&lt;&gt;0,N115&lt;&gt;"NR"),DHRBY*W115,0)</f>
        <v>403.542464</v>
      </c>
      <c r="BV115" s="462">
        <f>IF(AT115&lt;&gt;0,WCBY*W115,0)</f>
        <v>123.83072</v>
      </c>
      <c r="BW115" s="462">
        <f>IF(OR(AND(AT115&lt;&gt;0,AJ115&lt;&gt;"PF",AN115&lt;&gt;"NE",AG115&lt;&gt;"A"),AND(AL115="E",OR(AT115=1,AT115=3))),SickBY*W115,0)</f>
        <v>0</v>
      </c>
      <c r="BX115" s="462">
        <f t="shared" si="24"/>
        <v>15322.230560000002</v>
      </c>
      <c r="BY115" s="462">
        <f t="shared" si="25"/>
        <v>0</v>
      </c>
      <c r="BZ115" s="462">
        <f t="shared" si="26"/>
        <v>0</v>
      </c>
      <c r="CA115" s="462">
        <f t="shared" si="27"/>
        <v>0</v>
      </c>
      <c r="CB115" s="462">
        <f t="shared" si="28"/>
        <v>0</v>
      </c>
      <c r="CC115" s="462">
        <f>IF(AT115&lt;&gt;0,SSHICHG*Y115,0)</f>
        <v>0</v>
      </c>
      <c r="CD115" s="462">
        <f>IF(AND(AT115&lt;&gt;0,AN115&lt;&gt;"NE"),VLOOKUP(AN115,Retirement_Rates,5,FALSE)*Y115,0)</f>
        <v>0</v>
      </c>
      <c r="CE115" s="462">
        <f>IF(AND(AT115&lt;&gt;0,AJ115&lt;&gt;"PF"),LifeCHG*Y115,0)</f>
        <v>0</v>
      </c>
      <c r="CF115" s="462">
        <f>IF(AND(AT115&lt;&gt;0,AM115="Y"),UICHG*Y115,0)</f>
        <v>-356.92384000000004</v>
      </c>
      <c r="CG115" s="462">
        <f>IF(AND(AT115&lt;&gt;0,N115&lt;&gt;"NR"),DHRCHG*Y115,0)</f>
        <v>0</v>
      </c>
      <c r="CH115" s="462">
        <f>IF(AT115&lt;&gt;0,WCCHG*Y115,0)</f>
        <v>-21.852480000000011</v>
      </c>
      <c r="CI115" s="462">
        <f>IF(OR(AND(AT115&lt;&gt;0,AJ115&lt;&gt;"PF",AN115&lt;&gt;"NE",AG115&lt;&gt;"A"),AND(AL115="E",OR(AT115=1,AT115=3))),SickCHG*Y115,0)</f>
        <v>0</v>
      </c>
      <c r="CJ115" s="462">
        <f t="shared" si="29"/>
        <v>-378.77632000000006</v>
      </c>
      <c r="CK115" s="462" t="str">
        <f t="shared" si="30"/>
        <v/>
      </c>
      <c r="CL115" s="462" t="str">
        <f t="shared" si="31"/>
        <v/>
      </c>
      <c r="CM115" s="462" t="str">
        <f t="shared" si="32"/>
        <v/>
      </c>
      <c r="CN115" s="462" t="str">
        <f t="shared" si="33"/>
        <v>0450-38</v>
      </c>
    </row>
    <row r="116" spans="1:92" ht="15" thickBot="1" x14ac:dyDescent="0.35">
      <c r="A116" s="376" t="s">
        <v>161</v>
      </c>
      <c r="B116" s="376" t="s">
        <v>162</v>
      </c>
      <c r="C116" s="376" t="s">
        <v>624</v>
      </c>
      <c r="D116" s="376" t="s">
        <v>356</v>
      </c>
      <c r="E116" s="376" t="s">
        <v>314</v>
      </c>
      <c r="F116" s="382" t="s">
        <v>406</v>
      </c>
      <c r="G116" s="376" t="s">
        <v>167</v>
      </c>
      <c r="H116" s="378"/>
      <c r="I116" s="378"/>
      <c r="J116" s="376" t="s">
        <v>168</v>
      </c>
      <c r="K116" s="376" t="s">
        <v>358</v>
      </c>
      <c r="L116" s="376" t="s">
        <v>176</v>
      </c>
      <c r="M116" s="376" t="s">
        <v>171</v>
      </c>
      <c r="N116" s="376" t="s">
        <v>172</v>
      </c>
      <c r="O116" s="379">
        <v>1</v>
      </c>
      <c r="P116" s="460">
        <v>1</v>
      </c>
      <c r="Q116" s="460">
        <v>1</v>
      </c>
      <c r="R116" s="380">
        <v>80</v>
      </c>
      <c r="S116" s="460">
        <v>1</v>
      </c>
      <c r="T116" s="380">
        <v>53455.6</v>
      </c>
      <c r="U116" s="380">
        <v>0</v>
      </c>
      <c r="V116" s="380">
        <v>22910.28</v>
      </c>
      <c r="W116" s="380">
        <v>54683.199999999997</v>
      </c>
      <c r="X116" s="380">
        <v>23436.92</v>
      </c>
      <c r="Y116" s="380">
        <v>54683.199999999997</v>
      </c>
      <c r="Z116" s="380">
        <v>23152.58</v>
      </c>
      <c r="AA116" s="376" t="s">
        <v>625</v>
      </c>
      <c r="AB116" s="376" t="s">
        <v>626</v>
      </c>
      <c r="AC116" s="376" t="s">
        <v>627</v>
      </c>
      <c r="AD116" s="376" t="s">
        <v>228</v>
      </c>
      <c r="AE116" s="376" t="s">
        <v>358</v>
      </c>
      <c r="AF116" s="376" t="s">
        <v>190</v>
      </c>
      <c r="AG116" s="376" t="s">
        <v>178</v>
      </c>
      <c r="AH116" s="381">
        <v>26.29</v>
      </c>
      <c r="AI116" s="381">
        <v>19281.5</v>
      </c>
      <c r="AJ116" s="376" t="s">
        <v>179</v>
      </c>
      <c r="AK116" s="376" t="s">
        <v>180</v>
      </c>
      <c r="AL116" s="376" t="s">
        <v>181</v>
      </c>
      <c r="AM116" s="376" t="s">
        <v>182</v>
      </c>
      <c r="AN116" s="376" t="s">
        <v>68</v>
      </c>
      <c r="AO116" s="379">
        <v>80</v>
      </c>
      <c r="AP116" s="460">
        <v>1</v>
      </c>
      <c r="AQ116" s="460">
        <v>1</v>
      </c>
      <c r="AR116" s="458" t="s">
        <v>183</v>
      </c>
      <c r="AS116" s="462">
        <f t="shared" si="17"/>
        <v>1</v>
      </c>
      <c r="AT116">
        <f t="shared" si="18"/>
        <v>1</v>
      </c>
      <c r="AU116" s="462">
        <f>IF(AT116=0,"",IF(AND(AT116=1,M116="F",SUMIF(C2:C170,C116,AS2:AS170)&lt;=1),SUMIF(C2:C170,C116,AS2:AS170),IF(AND(AT116=1,M116="F",SUMIF(C2:C170,C116,AS2:AS170)&gt;1),1,"")))</f>
        <v>1</v>
      </c>
      <c r="AV116" s="462" t="str">
        <f>IF(AT116=0,"",IF(AND(AT116=3,M116="F",SUMIF(C2:C170,C116,AS2:AS170)&lt;=1),SUMIF(C2:C170,C116,AS2:AS170),IF(AND(AT116=3,M116="F",SUMIF(C2:C170,C116,AS2:AS170)&gt;1),1,"")))</f>
        <v/>
      </c>
      <c r="AW116" s="462">
        <f>SUMIF(C2:C170,C116,O2:O170)</f>
        <v>1</v>
      </c>
      <c r="AX116" s="462">
        <f>IF(AND(M116="F",AS116&lt;&gt;0),SUMIF(C2:C170,C116,W2:W170),0)</f>
        <v>54683.199999999997</v>
      </c>
      <c r="AY116" s="462">
        <f t="shared" si="19"/>
        <v>54683.199999999997</v>
      </c>
      <c r="AZ116" s="462" t="str">
        <f t="shared" si="20"/>
        <v/>
      </c>
      <c r="BA116" s="462">
        <f t="shared" si="21"/>
        <v>0</v>
      </c>
      <c r="BB116" s="462">
        <f>IF(AND(AT116=1,AK116="E",AU116&gt;=0.75,AW116=1),Health,IF(AND(AT116=1,AK116="E",AU116&gt;=0.75),Health*P116,IF(AND(AT116=1,AK116="E",AU116&gt;=0.5,AW116=1),PTHealth,IF(AND(AT116=1,AK116="E",AU116&gt;=0.5),PTHealth*P116,0))))</f>
        <v>11650</v>
      </c>
      <c r="BC116" s="462">
        <f>IF(AND(AT116=3,AK116="E",AV116&gt;=0.75,AW116=1),Health,IF(AND(AT116=3,AK116="E",AV116&gt;=0.75),Health*P116,IF(AND(AT116=3,AK116="E",AV116&gt;=0.5,AW116=1),PTHealth,IF(AND(AT116=3,AK116="E",AV116&gt;=0.5),PTHealth*P116,0))))</f>
        <v>0</v>
      </c>
      <c r="BD116" s="462">
        <f>IF(AND(AT116&lt;&gt;0,AX116&gt;=MAXSSDI),SSDI*MAXSSDI*P116,IF(AT116&lt;&gt;0,SSDI*W116,0))</f>
        <v>3390.3583999999996</v>
      </c>
      <c r="BE116" s="462">
        <f>IF(AT116&lt;&gt;0,SSHI*W116,0)</f>
        <v>792.90639999999996</v>
      </c>
      <c r="BF116" s="462">
        <f>IF(AND(AT116&lt;&gt;0,AN116&lt;&gt;"NE"),VLOOKUP(AN116,Retirement_Rates,3,FALSE)*W116,0)</f>
        <v>6529.1740799999998</v>
      </c>
      <c r="BG116" s="462">
        <f>IF(AND(AT116&lt;&gt;0,AJ116&lt;&gt;"PF"),Life*W116,0)</f>
        <v>394.265872</v>
      </c>
      <c r="BH116" s="462">
        <f>IF(AND(AT116&lt;&gt;0,AM116="Y"),UI*W116,0)</f>
        <v>267.94767999999999</v>
      </c>
      <c r="BI116" s="462">
        <f>IF(AND(AT116&lt;&gt;0,N116&lt;&gt;"NR"),DHR*W116,0)</f>
        <v>302.94492799999995</v>
      </c>
      <c r="BJ116" s="462">
        <f>IF(AT116&lt;&gt;0,WC*W116,0)</f>
        <v>109.3664</v>
      </c>
      <c r="BK116" s="462">
        <f>IF(OR(AND(AT116&lt;&gt;0,AJ116&lt;&gt;"PF",AN116&lt;&gt;"NE",AG116&lt;&gt;"A"),AND(AL116="E",OR(AT116=1,AT116=3))),Sick*W116,0)</f>
        <v>0</v>
      </c>
      <c r="BL116" s="462">
        <f t="shared" si="22"/>
        <v>11786.963760000001</v>
      </c>
      <c r="BM116" s="462">
        <f t="shared" si="23"/>
        <v>0</v>
      </c>
      <c r="BN116" s="462">
        <f>IF(AND(AT116=1,AK116="E",AU116&gt;=0.75,AW116=1),HealthBY,IF(AND(AT116=1,AK116="E",AU116&gt;=0.75),HealthBY*P116,IF(AND(AT116=1,AK116="E",AU116&gt;=0.5,AW116=1),PTHealthBY,IF(AND(AT116=1,AK116="E",AU116&gt;=0.5),PTHealthBY*P116,0))))</f>
        <v>11650</v>
      </c>
      <c r="BO116" s="462">
        <f>IF(AND(AT116=3,AK116="E",AV116&gt;=0.75,AW116=1),HealthBY,IF(AND(AT116=3,AK116="E",AV116&gt;=0.75),HealthBY*P116,IF(AND(AT116=3,AK116="E",AV116&gt;=0.5,AW116=1),PTHealthBY,IF(AND(AT116=3,AK116="E",AV116&gt;=0.5),PTHealthBY*P116,0))))</f>
        <v>0</v>
      </c>
      <c r="BP116" s="462">
        <f>IF(AND(AT116&lt;&gt;0,(AX116+BA116)&gt;=MAXSSDIBY),SSDIBY*MAXSSDIBY*P116,IF(AT116&lt;&gt;0,SSDIBY*W116,0))</f>
        <v>3390.3583999999996</v>
      </c>
      <c r="BQ116" s="462">
        <f>IF(AT116&lt;&gt;0,SSHIBY*W116,0)</f>
        <v>792.90639999999996</v>
      </c>
      <c r="BR116" s="462">
        <f>IF(AND(AT116&lt;&gt;0,AN116&lt;&gt;"NE"),VLOOKUP(AN116,Retirement_Rates,4,FALSE)*W116,0)</f>
        <v>6529.1740799999998</v>
      </c>
      <c r="BS116" s="462">
        <f>IF(AND(AT116&lt;&gt;0,AJ116&lt;&gt;"PF"),LifeBY*W116,0)</f>
        <v>394.265872</v>
      </c>
      <c r="BT116" s="462">
        <f>IF(AND(AT116&lt;&gt;0,AM116="Y"),UIBY*W116,0)</f>
        <v>0</v>
      </c>
      <c r="BU116" s="462">
        <f>IF(AND(AT116&lt;&gt;0,N116&lt;&gt;"NR"),DHRBY*W116,0)</f>
        <v>302.94492799999995</v>
      </c>
      <c r="BV116" s="462">
        <f>IF(AT116&lt;&gt;0,WCBY*W116,0)</f>
        <v>92.961439999999996</v>
      </c>
      <c r="BW116" s="462">
        <f>IF(OR(AND(AT116&lt;&gt;0,AJ116&lt;&gt;"PF",AN116&lt;&gt;"NE",AG116&lt;&gt;"A"),AND(AL116="E",OR(AT116=1,AT116=3))),SickBY*W116,0)</f>
        <v>0</v>
      </c>
      <c r="BX116" s="462">
        <f t="shared" si="24"/>
        <v>11502.61112</v>
      </c>
      <c r="BY116" s="462">
        <f t="shared" si="25"/>
        <v>0</v>
      </c>
      <c r="BZ116" s="462">
        <f t="shared" si="26"/>
        <v>0</v>
      </c>
      <c r="CA116" s="462">
        <f t="shared" si="27"/>
        <v>0</v>
      </c>
      <c r="CB116" s="462">
        <f t="shared" si="28"/>
        <v>0</v>
      </c>
      <c r="CC116" s="462">
        <f>IF(AT116&lt;&gt;0,SSHICHG*Y116,0)</f>
        <v>0</v>
      </c>
      <c r="CD116" s="462">
        <f>IF(AND(AT116&lt;&gt;0,AN116&lt;&gt;"NE"),VLOOKUP(AN116,Retirement_Rates,5,FALSE)*Y116,0)</f>
        <v>0</v>
      </c>
      <c r="CE116" s="462">
        <f>IF(AND(AT116&lt;&gt;0,AJ116&lt;&gt;"PF"),LifeCHG*Y116,0)</f>
        <v>0</v>
      </c>
      <c r="CF116" s="462">
        <f>IF(AND(AT116&lt;&gt;0,AM116="Y"),UICHG*Y116,0)</f>
        <v>-267.94767999999999</v>
      </c>
      <c r="CG116" s="462">
        <f>IF(AND(AT116&lt;&gt;0,N116&lt;&gt;"NR"),DHRCHG*Y116,0)</f>
        <v>0</v>
      </c>
      <c r="CH116" s="462">
        <f>IF(AT116&lt;&gt;0,WCCHG*Y116,0)</f>
        <v>-16.404960000000006</v>
      </c>
      <c r="CI116" s="462">
        <f>IF(OR(AND(AT116&lt;&gt;0,AJ116&lt;&gt;"PF",AN116&lt;&gt;"NE",AG116&lt;&gt;"A"),AND(AL116="E",OR(AT116=1,AT116=3))),SickCHG*Y116,0)</f>
        <v>0</v>
      </c>
      <c r="CJ116" s="462">
        <f t="shared" si="29"/>
        <v>-284.35264000000001</v>
      </c>
      <c r="CK116" s="462" t="str">
        <f t="shared" si="30"/>
        <v/>
      </c>
      <c r="CL116" s="462" t="str">
        <f t="shared" si="31"/>
        <v/>
      </c>
      <c r="CM116" s="462" t="str">
        <f t="shared" si="32"/>
        <v/>
      </c>
      <c r="CN116" s="462" t="str">
        <f t="shared" si="33"/>
        <v>0450-38</v>
      </c>
    </row>
    <row r="117" spans="1:92" ht="15" thickBot="1" x14ac:dyDescent="0.35">
      <c r="A117" s="376" t="s">
        <v>161</v>
      </c>
      <c r="B117" s="376" t="s">
        <v>162</v>
      </c>
      <c r="C117" s="376" t="s">
        <v>343</v>
      </c>
      <c r="D117" s="376" t="s">
        <v>313</v>
      </c>
      <c r="E117" s="376" t="s">
        <v>314</v>
      </c>
      <c r="F117" s="382" t="s">
        <v>406</v>
      </c>
      <c r="G117" s="376" t="s">
        <v>167</v>
      </c>
      <c r="H117" s="378"/>
      <c r="I117" s="378"/>
      <c r="J117" s="376" t="s">
        <v>168</v>
      </c>
      <c r="K117" s="376" t="s">
        <v>344</v>
      </c>
      <c r="L117" s="376" t="s">
        <v>181</v>
      </c>
      <c r="M117" s="376" t="s">
        <v>171</v>
      </c>
      <c r="N117" s="376" t="s">
        <v>172</v>
      </c>
      <c r="O117" s="379">
        <v>1</v>
      </c>
      <c r="P117" s="460">
        <v>0</v>
      </c>
      <c r="Q117" s="460">
        <v>0</v>
      </c>
      <c r="R117" s="380">
        <v>80</v>
      </c>
      <c r="S117" s="460">
        <v>0</v>
      </c>
      <c r="T117" s="380">
        <v>86545.600000000006</v>
      </c>
      <c r="U117" s="380">
        <v>0</v>
      </c>
      <c r="V117" s="380">
        <v>29749.57</v>
      </c>
      <c r="W117" s="380">
        <v>0</v>
      </c>
      <c r="X117" s="380">
        <v>0</v>
      </c>
      <c r="Y117" s="380">
        <v>0</v>
      </c>
      <c r="Z117" s="380">
        <v>0</v>
      </c>
      <c r="AA117" s="376" t="s">
        <v>345</v>
      </c>
      <c r="AB117" s="376" t="s">
        <v>346</v>
      </c>
      <c r="AC117" s="376" t="s">
        <v>347</v>
      </c>
      <c r="AD117" s="376" t="s">
        <v>348</v>
      </c>
      <c r="AE117" s="376" t="s">
        <v>344</v>
      </c>
      <c r="AF117" s="376" t="s">
        <v>349</v>
      </c>
      <c r="AG117" s="376" t="s">
        <v>178</v>
      </c>
      <c r="AH117" s="381">
        <v>41.49</v>
      </c>
      <c r="AI117" s="381">
        <v>26481.5</v>
      </c>
      <c r="AJ117" s="376" t="s">
        <v>179</v>
      </c>
      <c r="AK117" s="376" t="s">
        <v>180</v>
      </c>
      <c r="AL117" s="376" t="s">
        <v>181</v>
      </c>
      <c r="AM117" s="376" t="s">
        <v>182</v>
      </c>
      <c r="AN117" s="376" t="s">
        <v>68</v>
      </c>
      <c r="AO117" s="379">
        <v>80</v>
      </c>
      <c r="AP117" s="460">
        <v>1</v>
      </c>
      <c r="AQ117" s="460">
        <v>0</v>
      </c>
      <c r="AR117" s="458" t="s">
        <v>183</v>
      </c>
      <c r="AS117" s="462">
        <f t="shared" si="17"/>
        <v>0</v>
      </c>
      <c r="AT117">
        <f t="shared" si="18"/>
        <v>0</v>
      </c>
      <c r="AU117" s="462" t="str">
        <f>IF(AT117=0,"",IF(AND(AT117=1,M117="F",SUMIF(C2:C170,C117,AS2:AS170)&lt;=1),SUMIF(C2:C170,C117,AS2:AS170),IF(AND(AT117=1,M117="F",SUMIF(C2:C170,C117,AS2:AS170)&gt;1),1,"")))</f>
        <v/>
      </c>
      <c r="AV117" s="462" t="str">
        <f>IF(AT117=0,"",IF(AND(AT117=3,M117="F",SUMIF(C2:C170,C117,AS2:AS170)&lt;=1),SUMIF(C2:C170,C117,AS2:AS170),IF(AND(AT117=3,M117="F",SUMIF(C2:C170,C117,AS2:AS170)&gt;1),1,"")))</f>
        <v/>
      </c>
      <c r="AW117" s="462">
        <f>SUMIF(C2:C170,C117,O2:O170)</f>
        <v>2</v>
      </c>
      <c r="AX117" s="462">
        <f>IF(AND(M117="F",AS117&lt;&gt;0),SUMIF(C2:C170,C117,W2:W170),0)</f>
        <v>0</v>
      </c>
      <c r="AY117" s="462" t="str">
        <f t="shared" si="19"/>
        <v/>
      </c>
      <c r="AZ117" s="462" t="str">
        <f t="shared" si="20"/>
        <v/>
      </c>
      <c r="BA117" s="462">
        <f t="shared" si="21"/>
        <v>0</v>
      </c>
      <c r="BB117" s="462">
        <f>IF(AND(AT117=1,AK117="E",AU117&gt;=0.75,AW117=1),Health,IF(AND(AT117=1,AK117="E",AU117&gt;=0.75),Health*P117,IF(AND(AT117=1,AK117="E",AU117&gt;=0.5,AW117=1),PTHealth,IF(AND(AT117=1,AK117="E",AU117&gt;=0.5),PTHealth*P117,0))))</f>
        <v>0</v>
      </c>
      <c r="BC117" s="462">
        <f>IF(AND(AT117=3,AK117="E",AV117&gt;=0.75,AW117=1),Health,IF(AND(AT117=3,AK117="E",AV117&gt;=0.75),Health*P117,IF(AND(AT117=3,AK117="E",AV117&gt;=0.5,AW117=1),PTHealth,IF(AND(AT117=3,AK117="E",AV117&gt;=0.5),PTHealth*P117,0))))</f>
        <v>0</v>
      </c>
      <c r="BD117" s="462">
        <f>IF(AND(AT117&lt;&gt;0,AX117&gt;=MAXSSDI),SSDI*MAXSSDI*P117,IF(AT117&lt;&gt;0,SSDI*W117,0))</f>
        <v>0</v>
      </c>
      <c r="BE117" s="462">
        <f>IF(AT117&lt;&gt;0,SSHI*W117,0)</f>
        <v>0</v>
      </c>
      <c r="BF117" s="462">
        <f>IF(AND(AT117&lt;&gt;0,AN117&lt;&gt;"NE"),VLOOKUP(AN117,Retirement_Rates,3,FALSE)*W117,0)</f>
        <v>0</v>
      </c>
      <c r="BG117" s="462">
        <f>IF(AND(AT117&lt;&gt;0,AJ117&lt;&gt;"PF"),Life*W117,0)</f>
        <v>0</v>
      </c>
      <c r="BH117" s="462">
        <f>IF(AND(AT117&lt;&gt;0,AM117="Y"),UI*W117,0)</f>
        <v>0</v>
      </c>
      <c r="BI117" s="462">
        <f>IF(AND(AT117&lt;&gt;0,N117&lt;&gt;"NR"),DHR*W117,0)</f>
        <v>0</v>
      </c>
      <c r="BJ117" s="462">
        <f>IF(AT117&lt;&gt;0,WC*W117,0)</f>
        <v>0</v>
      </c>
      <c r="BK117" s="462">
        <f>IF(OR(AND(AT117&lt;&gt;0,AJ117&lt;&gt;"PF",AN117&lt;&gt;"NE",AG117&lt;&gt;"A"),AND(AL117="E",OR(AT117=1,AT117=3))),Sick*W117,0)</f>
        <v>0</v>
      </c>
      <c r="BL117" s="462">
        <f t="shared" si="22"/>
        <v>0</v>
      </c>
      <c r="BM117" s="462">
        <f t="shared" si="23"/>
        <v>0</v>
      </c>
      <c r="BN117" s="462">
        <f>IF(AND(AT117=1,AK117="E",AU117&gt;=0.75,AW117=1),HealthBY,IF(AND(AT117=1,AK117="E",AU117&gt;=0.75),HealthBY*P117,IF(AND(AT117=1,AK117="E",AU117&gt;=0.5,AW117=1),PTHealthBY,IF(AND(AT117=1,AK117="E",AU117&gt;=0.5),PTHealthBY*P117,0))))</f>
        <v>0</v>
      </c>
      <c r="BO117" s="462">
        <f>IF(AND(AT117=3,AK117="E",AV117&gt;=0.75,AW117=1),HealthBY,IF(AND(AT117=3,AK117="E",AV117&gt;=0.75),HealthBY*P117,IF(AND(AT117=3,AK117="E",AV117&gt;=0.5,AW117=1),PTHealthBY,IF(AND(AT117=3,AK117="E",AV117&gt;=0.5),PTHealthBY*P117,0))))</f>
        <v>0</v>
      </c>
      <c r="BP117" s="462">
        <f>IF(AND(AT117&lt;&gt;0,(AX117+BA117)&gt;=MAXSSDIBY),SSDIBY*MAXSSDIBY*P117,IF(AT117&lt;&gt;0,SSDIBY*W117,0))</f>
        <v>0</v>
      </c>
      <c r="BQ117" s="462">
        <f>IF(AT117&lt;&gt;0,SSHIBY*W117,0)</f>
        <v>0</v>
      </c>
      <c r="BR117" s="462">
        <f>IF(AND(AT117&lt;&gt;0,AN117&lt;&gt;"NE"),VLOOKUP(AN117,Retirement_Rates,4,FALSE)*W117,0)</f>
        <v>0</v>
      </c>
      <c r="BS117" s="462">
        <f>IF(AND(AT117&lt;&gt;0,AJ117&lt;&gt;"PF"),LifeBY*W117,0)</f>
        <v>0</v>
      </c>
      <c r="BT117" s="462">
        <f>IF(AND(AT117&lt;&gt;0,AM117="Y"),UIBY*W117,0)</f>
        <v>0</v>
      </c>
      <c r="BU117" s="462">
        <f>IF(AND(AT117&lt;&gt;0,N117&lt;&gt;"NR"),DHRBY*W117,0)</f>
        <v>0</v>
      </c>
      <c r="BV117" s="462">
        <f>IF(AT117&lt;&gt;0,WCBY*W117,0)</f>
        <v>0</v>
      </c>
      <c r="BW117" s="462">
        <f>IF(OR(AND(AT117&lt;&gt;0,AJ117&lt;&gt;"PF",AN117&lt;&gt;"NE",AG117&lt;&gt;"A"),AND(AL117="E",OR(AT117=1,AT117=3))),SickBY*W117,0)</f>
        <v>0</v>
      </c>
      <c r="BX117" s="462">
        <f t="shared" si="24"/>
        <v>0</v>
      </c>
      <c r="BY117" s="462">
        <f t="shared" si="25"/>
        <v>0</v>
      </c>
      <c r="BZ117" s="462">
        <f t="shared" si="26"/>
        <v>0</v>
      </c>
      <c r="CA117" s="462">
        <f t="shared" si="27"/>
        <v>0</v>
      </c>
      <c r="CB117" s="462">
        <f t="shared" si="28"/>
        <v>0</v>
      </c>
      <c r="CC117" s="462">
        <f>IF(AT117&lt;&gt;0,SSHICHG*Y117,0)</f>
        <v>0</v>
      </c>
      <c r="CD117" s="462">
        <f>IF(AND(AT117&lt;&gt;0,AN117&lt;&gt;"NE"),VLOOKUP(AN117,Retirement_Rates,5,FALSE)*Y117,0)</f>
        <v>0</v>
      </c>
      <c r="CE117" s="462">
        <f>IF(AND(AT117&lt;&gt;0,AJ117&lt;&gt;"PF"),LifeCHG*Y117,0)</f>
        <v>0</v>
      </c>
      <c r="CF117" s="462">
        <f>IF(AND(AT117&lt;&gt;0,AM117="Y"),UICHG*Y117,0)</f>
        <v>0</v>
      </c>
      <c r="CG117" s="462">
        <f>IF(AND(AT117&lt;&gt;0,N117&lt;&gt;"NR"),DHRCHG*Y117,0)</f>
        <v>0</v>
      </c>
      <c r="CH117" s="462">
        <f>IF(AT117&lt;&gt;0,WCCHG*Y117,0)</f>
        <v>0</v>
      </c>
      <c r="CI117" s="462">
        <f>IF(OR(AND(AT117&lt;&gt;0,AJ117&lt;&gt;"PF",AN117&lt;&gt;"NE",AG117&lt;&gt;"A"),AND(AL117="E",OR(AT117=1,AT117=3))),SickCHG*Y117,0)</f>
        <v>0</v>
      </c>
      <c r="CJ117" s="462">
        <f t="shared" si="29"/>
        <v>0</v>
      </c>
      <c r="CK117" s="462" t="str">
        <f t="shared" si="30"/>
        <v/>
      </c>
      <c r="CL117" s="462" t="str">
        <f t="shared" si="31"/>
        <v/>
      </c>
      <c r="CM117" s="462" t="str">
        <f t="shared" si="32"/>
        <v/>
      </c>
      <c r="CN117" s="462" t="str">
        <f t="shared" si="33"/>
        <v>0450-38</v>
      </c>
    </row>
    <row r="118" spans="1:92" ht="15" thickBot="1" x14ac:dyDescent="0.35">
      <c r="A118" s="376" t="s">
        <v>161</v>
      </c>
      <c r="B118" s="376" t="s">
        <v>162</v>
      </c>
      <c r="C118" s="376" t="s">
        <v>371</v>
      </c>
      <c r="D118" s="376" t="s">
        <v>356</v>
      </c>
      <c r="E118" s="376" t="s">
        <v>314</v>
      </c>
      <c r="F118" s="382" t="s">
        <v>406</v>
      </c>
      <c r="G118" s="376" t="s">
        <v>167</v>
      </c>
      <c r="H118" s="378"/>
      <c r="I118" s="378"/>
      <c r="J118" s="376" t="s">
        <v>168</v>
      </c>
      <c r="K118" s="376" t="s">
        <v>372</v>
      </c>
      <c r="L118" s="376" t="s">
        <v>220</v>
      </c>
      <c r="M118" s="376" t="s">
        <v>171</v>
      </c>
      <c r="N118" s="376" t="s">
        <v>172</v>
      </c>
      <c r="O118" s="379">
        <v>1</v>
      </c>
      <c r="P118" s="460">
        <v>1</v>
      </c>
      <c r="Q118" s="460">
        <v>1</v>
      </c>
      <c r="R118" s="380">
        <v>80</v>
      </c>
      <c r="S118" s="460">
        <v>1</v>
      </c>
      <c r="T118" s="380">
        <v>0</v>
      </c>
      <c r="U118" s="380">
        <v>0</v>
      </c>
      <c r="V118" s="380">
        <v>0</v>
      </c>
      <c r="W118" s="380">
        <v>63211.199999999997</v>
      </c>
      <c r="X118" s="380">
        <v>25275.15</v>
      </c>
      <c r="Y118" s="380">
        <v>63211.199999999997</v>
      </c>
      <c r="Z118" s="380">
        <v>24946.45</v>
      </c>
      <c r="AA118" s="376" t="s">
        <v>373</v>
      </c>
      <c r="AB118" s="376" t="s">
        <v>374</v>
      </c>
      <c r="AC118" s="376" t="s">
        <v>375</v>
      </c>
      <c r="AD118" s="376" t="s">
        <v>376</v>
      </c>
      <c r="AE118" s="376" t="s">
        <v>372</v>
      </c>
      <c r="AF118" s="376" t="s">
        <v>224</v>
      </c>
      <c r="AG118" s="376" t="s">
        <v>178</v>
      </c>
      <c r="AH118" s="381">
        <v>30.39</v>
      </c>
      <c r="AI118" s="381">
        <v>11822.6</v>
      </c>
      <c r="AJ118" s="376" t="s">
        <v>179</v>
      </c>
      <c r="AK118" s="376" t="s">
        <v>180</v>
      </c>
      <c r="AL118" s="376" t="s">
        <v>181</v>
      </c>
      <c r="AM118" s="376" t="s">
        <v>182</v>
      </c>
      <c r="AN118" s="376" t="s">
        <v>68</v>
      </c>
      <c r="AO118" s="379">
        <v>80</v>
      </c>
      <c r="AP118" s="460">
        <v>1</v>
      </c>
      <c r="AQ118" s="460">
        <v>1</v>
      </c>
      <c r="AR118" s="458" t="s">
        <v>183</v>
      </c>
      <c r="AS118" s="462">
        <f t="shared" si="17"/>
        <v>1</v>
      </c>
      <c r="AT118">
        <f t="shared" si="18"/>
        <v>1</v>
      </c>
      <c r="AU118" s="462">
        <f>IF(AT118=0,"",IF(AND(AT118=1,M118="F",SUMIF(C2:C170,C118,AS2:AS170)&lt;=1),SUMIF(C2:C170,C118,AS2:AS170),IF(AND(AT118=1,M118="F",SUMIF(C2:C170,C118,AS2:AS170)&gt;1),1,"")))</f>
        <v>1</v>
      </c>
      <c r="AV118" s="462" t="str">
        <f>IF(AT118=0,"",IF(AND(AT118=3,M118="F",SUMIF(C2:C170,C118,AS2:AS170)&lt;=1),SUMIF(C2:C170,C118,AS2:AS170),IF(AND(AT118=3,M118="F",SUMIF(C2:C170,C118,AS2:AS170)&gt;1),1,"")))</f>
        <v/>
      </c>
      <c r="AW118" s="462">
        <f>SUMIF(C2:C170,C118,O2:O170)</f>
        <v>2</v>
      </c>
      <c r="AX118" s="462">
        <f>IF(AND(M118="F",AS118&lt;&gt;0),SUMIF(C2:C170,C118,W2:W170),0)</f>
        <v>63211.199999999997</v>
      </c>
      <c r="AY118" s="462">
        <f t="shared" si="19"/>
        <v>63211.199999999997</v>
      </c>
      <c r="AZ118" s="462" t="str">
        <f t="shared" si="20"/>
        <v/>
      </c>
      <c r="BA118" s="462">
        <f t="shared" si="21"/>
        <v>0</v>
      </c>
      <c r="BB118" s="462">
        <f>IF(AND(AT118=1,AK118="E",AU118&gt;=0.75,AW118=1),Health,IF(AND(AT118=1,AK118="E",AU118&gt;=0.75),Health*P118,IF(AND(AT118=1,AK118="E",AU118&gt;=0.5,AW118=1),PTHealth,IF(AND(AT118=1,AK118="E",AU118&gt;=0.5),PTHealth*P118,0))))</f>
        <v>11650</v>
      </c>
      <c r="BC118" s="462">
        <f>IF(AND(AT118=3,AK118="E",AV118&gt;=0.75,AW118=1),Health,IF(AND(AT118=3,AK118="E",AV118&gt;=0.75),Health*P118,IF(AND(AT118=3,AK118="E",AV118&gt;=0.5,AW118=1),PTHealth,IF(AND(AT118=3,AK118="E",AV118&gt;=0.5),PTHealth*P118,0))))</f>
        <v>0</v>
      </c>
      <c r="BD118" s="462">
        <f>IF(AND(AT118&lt;&gt;0,AX118&gt;=MAXSSDI),SSDI*MAXSSDI*P118,IF(AT118&lt;&gt;0,SSDI*W118,0))</f>
        <v>3919.0944</v>
      </c>
      <c r="BE118" s="462">
        <f>IF(AT118&lt;&gt;0,SSHI*W118,0)</f>
        <v>916.56240000000003</v>
      </c>
      <c r="BF118" s="462">
        <f>IF(AND(AT118&lt;&gt;0,AN118&lt;&gt;"NE"),VLOOKUP(AN118,Retirement_Rates,3,FALSE)*W118,0)</f>
        <v>7547.4172799999997</v>
      </c>
      <c r="BG118" s="462">
        <f>IF(AND(AT118&lt;&gt;0,AJ118&lt;&gt;"PF"),Life*W118,0)</f>
        <v>455.75275199999999</v>
      </c>
      <c r="BH118" s="462">
        <f>IF(AND(AT118&lt;&gt;0,AM118="Y"),UI*W118,0)</f>
        <v>309.73487999999998</v>
      </c>
      <c r="BI118" s="462">
        <f>IF(AND(AT118&lt;&gt;0,N118&lt;&gt;"NR"),DHR*W118,0)</f>
        <v>350.19004799999999</v>
      </c>
      <c r="BJ118" s="462">
        <f>IF(AT118&lt;&gt;0,WC*W118,0)</f>
        <v>126.4224</v>
      </c>
      <c r="BK118" s="462">
        <f>IF(OR(AND(AT118&lt;&gt;0,AJ118&lt;&gt;"PF",AN118&lt;&gt;"NE",AG118&lt;&gt;"A"),AND(AL118="E",OR(AT118=1,AT118=3))),Sick*W118,0)</f>
        <v>0</v>
      </c>
      <c r="BL118" s="462">
        <f t="shared" si="22"/>
        <v>13625.174159999999</v>
      </c>
      <c r="BM118" s="462">
        <f t="shared" si="23"/>
        <v>0</v>
      </c>
      <c r="BN118" s="462">
        <f>IF(AND(AT118=1,AK118="E",AU118&gt;=0.75,AW118=1),HealthBY,IF(AND(AT118=1,AK118="E",AU118&gt;=0.75),HealthBY*P118,IF(AND(AT118=1,AK118="E",AU118&gt;=0.5,AW118=1),PTHealthBY,IF(AND(AT118=1,AK118="E",AU118&gt;=0.5),PTHealthBY*P118,0))))</f>
        <v>11650</v>
      </c>
      <c r="BO118" s="462">
        <f>IF(AND(AT118=3,AK118="E",AV118&gt;=0.75,AW118=1),HealthBY,IF(AND(AT118=3,AK118="E",AV118&gt;=0.75),HealthBY*P118,IF(AND(AT118=3,AK118="E",AV118&gt;=0.5,AW118=1),PTHealthBY,IF(AND(AT118=3,AK118="E",AV118&gt;=0.5),PTHealthBY*P118,0))))</f>
        <v>0</v>
      </c>
      <c r="BP118" s="462">
        <f>IF(AND(AT118&lt;&gt;0,(AX118+BA118)&gt;=MAXSSDIBY),SSDIBY*MAXSSDIBY*P118,IF(AT118&lt;&gt;0,SSDIBY*W118,0))</f>
        <v>3919.0944</v>
      </c>
      <c r="BQ118" s="462">
        <f>IF(AT118&lt;&gt;0,SSHIBY*W118,0)</f>
        <v>916.56240000000003</v>
      </c>
      <c r="BR118" s="462">
        <f>IF(AND(AT118&lt;&gt;0,AN118&lt;&gt;"NE"),VLOOKUP(AN118,Retirement_Rates,4,FALSE)*W118,0)</f>
        <v>7547.4172799999997</v>
      </c>
      <c r="BS118" s="462">
        <f>IF(AND(AT118&lt;&gt;0,AJ118&lt;&gt;"PF"),LifeBY*W118,0)</f>
        <v>455.75275199999999</v>
      </c>
      <c r="BT118" s="462">
        <f>IF(AND(AT118&lt;&gt;0,AM118="Y"),UIBY*W118,0)</f>
        <v>0</v>
      </c>
      <c r="BU118" s="462">
        <f>IF(AND(AT118&lt;&gt;0,N118&lt;&gt;"NR"),DHRBY*W118,0)</f>
        <v>350.19004799999999</v>
      </c>
      <c r="BV118" s="462">
        <f>IF(AT118&lt;&gt;0,WCBY*W118,0)</f>
        <v>107.45903999999999</v>
      </c>
      <c r="BW118" s="462">
        <f>IF(OR(AND(AT118&lt;&gt;0,AJ118&lt;&gt;"PF",AN118&lt;&gt;"NE",AG118&lt;&gt;"A"),AND(AL118="E",OR(AT118=1,AT118=3))),SickBY*W118,0)</f>
        <v>0</v>
      </c>
      <c r="BX118" s="462">
        <f t="shared" si="24"/>
        <v>13296.475919999999</v>
      </c>
      <c r="BY118" s="462">
        <f t="shared" si="25"/>
        <v>0</v>
      </c>
      <c r="BZ118" s="462">
        <f t="shared" si="26"/>
        <v>0</v>
      </c>
      <c r="CA118" s="462">
        <f t="shared" si="27"/>
        <v>0</v>
      </c>
      <c r="CB118" s="462">
        <f t="shared" si="28"/>
        <v>0</v>
      </c>
      <c r="CC118" s="462">
        <f>IF(AT118&lt;&gt;0,SSHICHG*Y118,0)</f>
        <v>0</v>
      </c>
      <c r="CD118" s="462">
        <f>IF(AND(AT118&lt;&gt;0,AN118&lt;&gt;"NE"),VLOOKUP(AN118,Retirement_Rates,5,FALSE)*Y118,0)</f>
        <v>0</v>
      </c>
      <c r="CE118" s="462">
        <f>IF(AND(AT118&lt;&gt;0,AJ118&lt;&gt;"PF"),LifeCHG*Y118,0)</f>
        <v>0</v>
      </c>
      <c r="CF118" s="462">
        <f>IF(AND(AT118&lt;&gt;0,AM118="Y"),UICHG*Y118,0)</f>
        <v>-309.73487999999998</v>
      </c>
      <c r="CG118" s="462">
        <f>IF(AND(AT118&lt;&gt;0,N118&lt;&gt;"NR"),DHRCHG*Y118,0)</f>
        <v>0</v>
      </c>
      <c r="CH118" s="462">
        <f>IF(AT118&lt;&gt;0,WCCHG*Y118,0)</f>
        <v>-18.963360000000009</v>
      </c>
      <c r="CI118" s="462">
        <f>IF(OR(AND(AT118&lt;&gt;0,AJ118&lt;&gt;"PF",AN118&lt;&gt;"NE",AG118&lt;&gt;"A"),AND(AL118="E",OR(AT118=1,AT118=3))),SickCHG*Y118,0)</f>
        <v>0</v>
      </c>
      <c r="CJ118" s="462">
        <f t="shared" si="29"/>
        <v>-328.69824</v>
      </c>
      <c r="CK118" s="462" t="str">
        <f t="shared" si="30"/>
        <v/>
      </c>
      <c r="CL118" s="462" t="str">
        <f t="shared" si="31"/>
        <v/>
      </c>
      <c r="CM118" s="462" t="str">
        <f t="shared" si="32"/>
        <v/>
      </c>
      <c r="CN118" s="462" t="str">
        <f t="shared" si="33"/>
        <v>0450-38</v>
      </c>
    </row>
    <row r="119" spans="1:92" ht="15" thickBot="1" x14ac:dyDescent="0.35">
      <c r="A119" s="376" t="s">
        <v>161</v>
      </c>
      <c r="B119" s="376" t="s">
        <v>162</v>
      </c>
      <c r="C119" s="376" t="s">
        <v>628</v>
      </c>
      <c r="D119" s="376" t="s">
        <v>430</v>
      </c>
      <c r="E119" s="376" t="s">
        <v>314</v>
      </c>
      <c r="F119" s="382" t="s">
        <v>406</v>
      </c>
      <c r="G119" s="376" t="s">
        <v>167</v>
      </c>
      <c r="H119" s="378"/>
      <c r="I119" s="378"/>
      <c r="J119" s="376" t="s">
        <v>168</v>
      </c>
      <c r="K119" s="376" t="s">
        <v>512</v>
      </c>
      <c r="L119" s="376" t="s">
        <v>216</v>
      </c>
      <c r="M119" s="376" t="s">
        <v>171</v>
      </c>
      <c r="N119" s="376" t="s">
        <v>172</v>
      </c>
      <c r="O119" s="379">
        <v>1</v>
      </c>
      <c r="P119" s="460">
        <v>1</v>
      </c>
      <c r="Q119" s="460">
        <v>1</v>
      </c>
      <c r="R119" s="380">
        <v>80</v>
      </c>
      <c r="S119" s="460">
        <v>1</v>
      </c>
      <c r="T119" s="380">
        <v>54758.400000000001</v>
      </c>
      <c r="U119" s="380">
        <v>0</v>
      </c>
      <c r="V119" s="380">
        <v>21649.56</v>
      </c>
      <c r="W119" s="380">
        <v>63856</v>
      </c>
      <c r="X119" s="380">
        <v>25414.14</v>
      </c>
      <c r="Y119" s="380">
        <v>63856</v>
      </c>
      <c r="Z119" s="380">
        <v>25082.09</v>
      </c>
      <c r="AA119" s="376" t="s">
        <v>629</v>
      </c>
      <c r="AB119" s="376" t="s">
        <v>630</v>
      </c>
      <c r="AC119" s="376" t="s">
        <v>338</v>
      </c>
      <c r="AD119" s="376" t="s">
        <v>252</v>
      </c>
      <c r="AE119" s="376" t="s">
        <v>512</v>
      </c>
      <c r="AF119" s="376" t="s">
        <v>311</v>
      </c>
      <c r="AG119" s="376" t="s">
        <v>178</v>
      </c>
      <c r="AH119" s="381">
        <v>30.7</v>
      </c>
      <c r="AI119" s="381">
        <v>7027.8</v>
      </c>
      <c r="AJ119" s="376" t="s">
        <v>179</v>
      </c>
      <c r="AK119" s="376" t="s">
        <v>180</v>
      </c>
      <c r="AL119" s="376" t="s">
        <v>181</v>
      </c>
      <c r="AM119" s="376" t="s">
        <v>182</v>
      </c>
      <c r="AN119" s="376" t="s">
        <v>68</v>
      </c>
      <c r="AO119" s="379">
        <v>80</v>
      </c>
      <c r="AP119" s="460">
        <v>1</v>
      </c>
      <c r="AQ119" s="460">
        <v>1</v>
      </c>
      <c r="AR119" s="458" t="s">
        <v>183</v>
      </c>
      <c r="AS119" s="462">
        <f t="shared" si="17"/>
        <v>1</v>
      </c>
      <c r="AT119">
        <f t="shared" si="18"/>
        <v>1</v>
      </c>
      <c r="AU119" s="462">
        <f>IF(AT119=0,"",IF(AND(AT119=1,M119="F",SUMIF(C2:C170,C119,AS2:AS170)&lt;=1),SUMIF(C2:C170,C119,AS2:AS170),IF(AND(AT119=1,M119="F",SUMIF(C2:C170,C119,AS2:AS170)&gt;1),1,"")))</f>
        <v>1</v>
      </c>
      <c r="AV119" s="462" t="str">
        <f>IF(AT119=0,"",IF(AND(AT119=3,M119="F",SUMIF(C2:C170,C119,AS2:AS170)&lt;=1),SUMIF(C2:C170,C119,AS2:AS170),IF(AND(AT119=3,M119="F",SUMIF(C2:C170,C119,AS2:AS170)&gt;1),1,"")))</f>
        <v/>
      </c>
      <c r="AW119" s="462">
        <f>SUMIF(C2:C170,C119,O2:O170)</f>
        <v>1</v>
      </c>
      <c r="AX119" s="462">
        <f>IF(AND(M119="F",AS119&lt;&gt;0),SUMIF(C2:C170,C119,W2:W170),0)</f>
        <v>63856</v>
      </c>
      <c r="AY119" s="462">
        <f t="shared" si="19"/>
        <v>63856</v>
      </c>
      <c r="AZ119" s="462" t="str">
        <f t="shared" si="20"/>
        <v/>
      </c>
      <c r="BA119" s="462">
        <f t="shared" si="21"/>
        <v>0</v>
      </c>
      <c r="BB119" s="462">
        <f>IF(AND(AT119=1,AK119="E",AU119&gt;=0.75,AW119=1),Health,IF(AND(AT119=1,AK119="E",AU119&gt;=0.75),Health*P119,IF(AND(AT119=1,AK119="E",AU119&gt;=0.5,AW119=1),PTHealth,IF(AND(AT119=1,AK119="E",AU119&gt;=0.5),PTHealth*P119,0))))</f>
        <v>11650</v>
      </c>
      <c r="BC119" s="462">
        <f>IF(AND(AT119=3,AK119="E",AV119&gt;=0.75,AW119=1),Health,IF(AND(AT119=3,AK119="E",AV119&gt;=0.75),Health*P119,IF(AND(AT119=3,AK119="E",AV119&gt;=0.5,AW119=1),PTHealth,IF(AND(AT119=3,AK119="E",AV119&gt;=0.5),PTHealth*P119,0))))</f>
        <v>0</v>
      </c>
      <c r="BD119" s="462">
        <f>IF(AND(AT119&lt;&gt;0,AX119&gt;=MAXSSDI),SSDI*MAXSSDI*P119,IF(AT119&lt;&gt;0,SSDI*W119,0))</f>
        <v>3959.0720000000001</v>
      </c>
      <c r="BE119" s="462">
        <f>IF(AT119&lt;&gt;0,SSHI*W119,0)</f>
        <v>925.91200000000003</v>
      </c>
      <c r="BF119" s="462">
        <f>IF(AND(AT119&lt;&gt;0,AN119&lt;&gt;"NE"),VLOOKUP(AN119,Retirement_Rates,3,FALSE)*W119,0)</f>
        <v>7624.4064000000008</v>
      </c>
      <c r="BG119" s="462">
        <f>IF(AND(AT119&lt;&gt;0,AJ119&lt;&gt;"PF"),Life*W119,0)</f>
        <v>460.40176000000002</v>
      </c>
      <c r="BH119" s="462">
        <f>IF(AND(AT119&lt;&gt;0,AM119="Y"),UI*W119,0)</f>
        <v>312.89439999999996</v>
      </c>
      <c r="BI119" s="462">
        <f>IF(AND(AT119&lt;&gt;0,N119&lt;&gt;"NR"),DHR*W119,0)</f>
        <v>353.76223999999996</v>
      </c>
      <c r="BJ119" s="462">
        <f>IF(AT119&lt;&gt;0,WC*W119,0)</f>
        <v>127.712</v>
      </c>
      <c r="BK119" s="462">
        <f>IF(OR(AND(AT119&lt;&gt;0,AJ119&lt;&gt;"PF",AN119&lt;&gt;"NE",AG119&lt;&gt;"A"),AND(AL119="E",OR(AT119=1,AT119=3))),Sick*W119,0)</f>
        <v>0</v>
      </c>
      <c r="BL119" s="462">
        <f t="shared" si="22"/>
        <v>13764.1608</v>
      </c>
      <c r="BM119" s="462">
        <f t="shared" si="23"/>
        <v>0</v>
      </c>
      <c r="BN119" s="462">
        <f>IF(AND(AT119=1,AK119="E",AU119&gt;=0.75,AW119=1),HealthBY,IF(AND(AT119=1,AK119="E",AU119&gt;=0.75),HealthBY*P119,IF(AND(AT119=1,AK119="E",AU119&gt;=0.5,AW119=1),PTHealthBY,IF(AND(AT119=1,AK119="E",AU119&gt;=0.5),PTHealthBY*P119,0))))</f>
        <v>11650</v>
      </c>
      <c r="BO119" s="462">
        <f>IF(AND(AT119=3,AK119="E",AV119&gt;=0.75,AW119=1),HealthBY,IF(AND(AT119=3,AK119="E",AV119&gt;=0.75),HealthBY*P119,IF(AND(AT119=3,AK119="E",AV119&gt;=0.5,AW119=1),PTHealthBY,IF(AND(AT119=3,AK119="E",AV119&gt;=0.5),PTHealthBY*P119,0))))</f>
        <v>0</v>
      </c>
      <c r="BP119" s="462">
        <f>IF(AND(AT119&lt;&gt;0,(AX119+BA119)&gt;=MAXSSDIBY),SSDIBY*MAXSSDIBY*P119,IF(AT119&lt;&gt;0,SSDIBY*W119,0))</f>
        <v>3959.0720000000001</v>
      </c>
      <c r="BQ119" s="462">
        <f>IF(AT119&lt;&gt;0,SSHIBY*W119,0)</f>
        <v>925.91200000000003</v>
      </c>
      <c r="BR119" s="462">
        <f>IF(AND(AT119&lt;&gt;0,AN119&lt;&gt;"NE"),VLOOKUP(AN119,Retirement_Rates,4,FALSE)*W119,0)</f>
        <v>7624.4064000000008</v>
      </c>
      <c r="BS119" s="462">
        <f>IF(AND(AT119&lt;&gt;0,AJ119&lt;&gt;"PF"),LifeBY*W119,0)</f>
        <v>460.40176000000002</v>
      </c>
      <c r="BT119" s="462">
        <f>IF(AND(AT119&lt;&gt;0,AM119="Y"),UIBY*W119,0)</f>
        <v>0</v>
      </c>
      <c r="BU119" s="462">
        <f>IF(AND(AT119&lt;&gt;0,N119&lt;&gt;"NR"),DHRBY*W119,0)</f>
        <v>353.76223999999996</v>
      </c>
      <c r="BV119" s="462">
        <f>IF(AT119&lt;&gt;0,WCBY*W119,0)</f>
        <v>108.5552</v>
      </c>
      <c r="BW119" s="462">
        <f>IF(OR(AND(AT119&lt;&gt;0,AJ119&lt;&gt;"PF",AN119&lt;&gt;"NE",AG119&lt;&gt;"A"),AND(AL119="E",OR(AT119=1,AT119=3))),SickBY*W119,0)</f>
        <v>0</v>
      </c>
      <c r="BX119" s="462">
        <f t="shared" si="24"/>
        <v>13432.109600000002</v>
      </c>
      <c r="BY119" s="462">
        <f t="shared" si="25"/>
        <v>0</v>
      </c>
      <c r="BZ119" s="462">
        <f t="shared" si="26"/>
        <v>0</v>
      </c>
      <c r="CA119" s="462">
        <f t="shared" si="27"/>
        <v>0</v>
      </c>
      <c r="CB119" s="462">
        <f t="shared" si="28"/>
        <v>0</v>
      </c>
      <c r="CC119" s="462">
        <f>IF(AT119&lt;&gt;0,SSHICHG*Y119,0)</f>
        <v>0</v>
      </c>
      <c r="CD119" s="462">
        <f>IF(AND(AT119&lt;&gt;0,AN119&lt;&gt;"NE"),VLOOKUP(AN119,Retirement_Rates,5,FALSE)*Y119,0)</f>
        <v>0</v>
      </c>
      <c r="CE119" s="462">
        <f>IF(AND(AT119&lt;&gt;0,AJ119&lt;&gt;"PF"),LifeCHG*Y119,0)</f>
        <v>0</v>
      </c>
      <c r="CF119" s="462">
        <f>IF(AND(AT119&lt;&gt;0,AM119="Y"),UICHG*Y119,0)</f>
        <v>-312.89439999999996</v>
      </c>
      <c r="CG119" s="462">
        <f>IF(AND(AT119&lt;&gt;0,N119&lt;&gt;"NR"),DHRCHG*Y119,0)</f>
        <v>0</v>
      </c>
      <c r="CH119" s="462">
        <f>IF(AT119&lt;&gt;0,WCCHG*Y119,0)</f>
        <v>-19.156800000000008</v>
      </c>
      <c r="CI119" s="462">
        <f>IF(OR(AND(AT119&lt;&gt;0,AJ119&lt;&gt;"PF",AN119&lt;&gt;"NE",AG119&lt;&gt;"A"),AND(AL119="E",OR(AT119=1,AT119=3))),SickCHG*Y119,0)</f>
        <v>0</v>
      </c>
      <c r="CJ119" s="462">
        <f t="shared" si="29"/>
        <v>-332.05119999999999</v>
      </c>
      <c r="CK119" s="462" t="str">
        <f t="shared" si="30"/>
        <v/>
      </c>
      <c r="CL119" s="462" t="str">
        <f t="shared" si="31"/>
        <v/>
      </c>
      <c r="CM119" s="462" t="str">
        <f t="shared" si="32"/>
        <v/>
      </c>
      <c r="CN119" s="462" t="str">
        <f t="shared" si="33"/>
        <v>0450-38</v>
      </c>
    </row>
    <row r="120" spans="1:92" ht="15" thickBot="1" x14ac:dyDescent="0.35">
      <c r="A120" s="376" t="s">
        <v>161</v>
      </c>
      <c r="B120" s="376" t="s">
        <v>162</v>
      </c>
      <c r="C120" s="376" t="s">
        <v>631</v>
      </c>
      <c r="D120" s="376" t="s">
        <v>263</v>
      </c>
      <c r="E120" s="376" t="s">
        <v>314</v>
      </c>
      <c r="F120" s="382" t="s">
        <v>406</v>
      </c>
      <c r="G120" s="376" t="s">
        <v>167</v>
      </c>
      <c r="H120" s="378"/>
      <c r="I120" s="378"/>
      <c r="J120" s="376" t="s">
        <v>168</v>
      </c>
      <c r="K120" s="376" t="s">
        <v>632</v>
      </c>
      <c r="L120" s="376" t="s">
        <v>220</v>
      </c>
      <c r="M120" s="376" t="s">
        <v>171</v>
      </c>
      <c r="N120" s="376" t="s">
        <v>633</v>
      </c>
      <c r="O120" s="379">
        <v>0</v>
      </c>
      <c r="P120" s="460">
        <v>1</v>
      </c>
      <c r="Q120" s="460">
        <v>0</v>
      </c>
      <c r="R120" s="380">
        <v>0</v>
      </c>
      <c r="S120" s="460">
        <v>0</v>
      </c>
      <c r="T120" s="380">
        <v>3817.5</v>
      </c>
      <c r="U120" s="380">
        <v>0</v>
      </c>
      <c r="V120" s="380">
        <v>336.06</v>
      </c>
      <c r="W120" s="380">
        <v>3817.5</v>
      </c>
      <c r="X120" s="380">
        <v>336.06</v>
      </c>
      <c r="Y120" s="380">
        <v>3817.5</v>
      </c>
      <c r="Z120" s="380">
        <v>336.06</v>
      </c>
      <c r="AA120" s="378"/>
      <c r="AB120" s="378"/>
      <c r="AC120" s="378"/>
      <c r="AD120" s="378"/>
      <c r="AE120" s="378"/>
      <c r="AF120" s="378"/>
      <c r="AG120" s="378"/>
      <c r="AH120" s="379">
        <v>0</v>
      </c>
      <c r="AI120" s="379">
        <v>0</v>
      </c>
      <c r="AJ120" s="378"/>
      <c r="AK120" s="378"/>
      <c r="AL120" s="376" t="s">
        <v>181</v>
      </c>
      <c r="AM120" s="378"/>
      <c r="AN120" s="378"/>
      <c r="AO120" s="379">
        <v>0</v>
      </c>
      <c r="AP120" s="460">
        <v>0</v>
      </c>
      <c r="AQ120" s="460">
        <v>0</v>
      </c>
      <c r="AR120" s="459"/>
      <c r="AS120" s="462">
        <f t="shared" si="17"/>
        <v>0</v>
      </c>
      <c r="AT120">
        <f t="shared" si="18"/>
        <v>0</v>
      </c>
      <c r="AU120" s="462" t="str">
        <f>IF(AT120=0,"",IF(AND(AT120=1,M120="F",SUMIF(C2:C170,C120,AS2:AS170)&lt;=1),SUMIF(C2:C170,C120,AS2:AS170),IF(AND(AT120=1,M120="F",SUMIF(C2:C170,C120,AS2:AS170)&gt;1),1,"")))</f>
        <v/>
      </c>
      <c r="AV120" s="462" t="str">
        <f>IF(AT120=0,"",IF(AND(AT120=3,M120="F",SUMIF(C2:C170,C120,AS2:AS170)&lt;=1),SUMIF(C2:C170,C120,AS2:AS170),IF(AND(AT120=3,M120="F",SUMIF(C2:C170,C120,AS2:AS170)&gt;1),1,"")))</f>
        <v/>
      </c>
      <c r="AW120" s="462">
        <f>SUMIF(C2:C170,C120,O2:O170)</f>
        <v>0</v>
      </c>
      <c r="AX120" s="462">
        <f>IF(AND(M120="F",AS120&lt;&gt;0),SUMIF(C2:C170,C120,W2:W170),0)</f>
        <v>0</v>
      </c>
      <c r="AY120" s="462" t="str">
        <f t="shared" si="19"/>
        <v/>
      </c>
      <c r="AZ120" s="462" t="str">
        <f t="shared" si="20"/>
        <v/>
      </c>
      <c r="BA120" s="462">
        <f t="shared" si="21"/>
        <v>0</v>
      </c>
      <c r="BB120" s="462">
        <f>IF(AND(AT120=1,AK120="E",AU120&gt;=0.75,AW120=1),Health,IF(AND(AT120=1,AK120="E",AU120&gt;=0.75),Health*P120,IF(AND(AT120=1,AK120="E",AU120&gt;=0.5,AW120=1),PTHealth,IF(AND(AT120=1,AK120="E",AU120&gt;=0.5),PTHealth*P120,0))))</f>
        <v>0</v>
      </c>
      <c r="BC120" s="462">
        <f>IF(AND(AT120=3,AK120="E",AV120&gt;=0.75,AW120=1),Health,IF(AND(AT120=3,AK120="E",AV120&gt;=0.75),Health*P120,IF(AND(AT120=3,AK120="E",AV120&gt;=0.5,AW120=1),PTHealth,IF(AND(AT120=3,AK120="E",AV120&gt;=0.5),PTHealth*P120,0))))</f>
        <v>0</v>
      </c>
      <c r="BD120" s="462">
        <f>IF(AND(AT120&lt;&gt;0,AX120&gt;=MAXSSDI),SSDI*MAXSSDI*P120,IF(AT120&lt;&gt;0,SSDI*W120,0))</f>
        <v>0</v>
      </c>
      <c r="BE120" s="462">
        <f>IF(AT120&lt;&gt;0,SSHI*W120,0)</f>
        <v>0</v>
      </c>
      <c r="BF120" s="462">
        <f>IF(AND(AT120&lt;&gt;0,AN120&lt;&gt;"NE"),VLOOKUP(AN120,Retirement_Rates,3,FALSE)*W120,0)</f>
        <v>0</v>
      </c>
      <c r="BG120" s="462">
        <f>IF(AND(AT120&lt;&gt;0,AJ120&lt;&gt;"PF"),Life*W120,0)</f>
        <v>0</v>
      </c>
      <c r="BH120" s="462">
        <f>IF(AND(AT120&lt;&gt;0,AM120="Y"),UI*W120,0)</f>
        <v>0</v>
      </c>
      <c r="BI120" s="462">
        <f>IF(AND(AT120&lt;&gt;0,N120&lt;&gt;"NR"),DHR*W120,0)</f>
        <v>0</v>
      </c>
      <c r="BJ120" s="462">
        <f>IF(AT120&lt;&gt;0,WC*W120,0)</f>
        <v>0</v>
      </c>
      <c r="BK120" s="462">
        <f>IF(OR(AND(AT120&lt;&gt;0,AJ120&lt;&gt;"PF",AN120&lt;&gt;"NE",AG120&lt;&gt;"A"),AND(AL120="E",OR(AT120=1,AT120=3))),Sick*W120,0)</f>
        <v>0</v>
      </c>
      <c r="BL120" s="462">
        <f t="shared" si="22"/>
        <v>0</v>
      </c>
      <c r="BM120" s="462">
        <f t="shared" si="23"/>
        <v>0</v>
      </c>
      <c r="BN120" s="462">
        <f>IF(AND(AT120=1,AK120="E",AU120&gt;=0.75,AW120=1),HealthBY,IF(AND(AT120=1,AK120="E",AU120&gt;=0.75),HealthBY*P120,IF(AND(AT120=1,AK120="E",AU120&gt;=0.5,AW120=1),PTHealthBY,IF(AND(AT120=1,AK120="E",AU120&gt;=0.5),PTHealthBY*P120,0))))</f>
        <v>0</v>
      </c>
      <c r="BO120" s="462">
        <f>IF(AND(AT120=3,AK120="E",AV120&gt;=0.75,AW120=1),HealthBY,IF(AND(AT120=3,AK120="E",AV120&gt;=0.75),HealthBY*P120,IF(AND(AT120=3,AK120="E",AV120&gt;=0.5,AW120=1),PTHealthBY,IF(AND(AT120=3,AK120="E",AV120&gt;=0.5),PTHealthBY*P120,0))))</f>
        <v>0</v>
      </c>
      <c r="BP120" s="462">
        <f>IF(AND(AT120&lt;&gt;0,(AX120+BA120)&gt;=MAXSSDIBY),SSDIBY*MAXSSDIBY*P120,IF(AT120&lt;&gt;0,SSDIBY*W120,0))</f>
        <v>0</v>
      </c>
      <c r="BQ120" s="462">
        <f>IF(AT120&lt;&gt;0,SSHIBY*W120,0)</f>
        <v>0</v>
      </c>
      <c r="BR120" s="462">
        <f>IF(AND(AT120&lt;&gt;0,AN120&lt;&gt;"NE"),VLOOKUP(AN120,Retirement_Rates,4,FALSE)*W120,0)</f>
        <v>0</v>
      </c>
      <c r="BS120" s="462">
        <f>IF(AND(AT120&lt;&gt;0,AJ120&lt;&gt;"PF"),LifeBY*W120,0)</f>
        <v>0</v>
      </c>
      <c r="BT120" s="462">
        <f>IF(AND(AT120&lt;&gt;0,AM120="Y"),UIBY*W120,0)</f>
        <v>0</v>
      </c>
      <c r="BU120" s="462">
        <f>IF(AND(AT120&lt;&gt;0,N120&lt;&gt;"NR"),DHRBY*W120,0)</f>
        <v>0</v>
      </c>
      <c r="BV120" s="462">
        <f>IF(AT120&lt;&gt;0,WCBY*W120,0)</f>
        <v>0</v>
      </c>
      <c r="BW120" s="462">
        <f>IF(OR(AND(AT120&lt;&gt;0,AJ120&lt;&gt;"PF",AN120&lt;&gt;"NE",AG120&lt;&gt;"A"),AND(AL120="E",OR(AT120=1,AT120=3))),SickBY*W120,0)</f>
        <v>0</v>
      </c>
      <c r="BX120" s="462">
        <f t="shared" si="24"/>
        <v>0</v>
      </c>
      <c r="BY120" s="462">
        <f t="shared" si="25"/>
        <v>0</v>
      </c>
      <c r="BZ120" s="462">
        <f t="shared" si="26"/>
        <v>0</v>
      </c>
      <c r="CA120" s="462">
        <f t="shared" si="27"/>
        <v>0</v>
      </c>
      <c r="CB120" s="462">
        <f t="shared" si="28"/>
        <v>0</v>
      </c>
      <c r="CC120" s="462">
        <f>IF(AT120&lt;&gt;0,SSHICHG*Y120,0)</f>
        <v>0</v>
      </c>
      <c r="CD120" s="462">
        <f>IF(AND(AT120&lt;&gt;0,AN120&lt;&gt;"NE"),VLOOKUP(AN120,Retirement_Rates,5,FALSE)*Y120,0)</f>
        <v>0</v>
      </c>
      <c r="CE120" s="462">
        <f>IF(AND(AT120&lt;&gt;0,AJ120&lt;&gt;"PF"),LifeCHG*Y120,0)</f>
        <v>0</v>
      </c>
      <c r="CF120" s="462">
        <f>IF(AND(AT120&lt;&gt;0,AM120="Y"),UICHG*Y120,0)</f>
        <v>0</v>
      </c>
      <c r="CG120" s="462">
        <f>IF(AND(AT120&lt;&gt;0,N120&lt;&gt;"NR"),DHRCHG*Y120,0)</f>
        <v>0</v>
      </c>
      <c r="CH120" s="462">
        <f>IF(AT120&lt;&gt;0,WCCHG*Y120,0)</f>
        <v>0</v>
      </c>
      <c r="CI120" s="462">
        <f>IF(OR(AND(AT120&lt;&gt;0,AJ120&lt;&gt;"PF",AN120&lt;&gt;"NE",AG120&lt;&gt;"A"),AND(AL120="E",OR(AT120=1,AT120=3))),SickCHG*Y120,0)</f>
        <v>0</v>
      </c>
      <c r="CJ120" s="462">
        <f t="shared" si="29"/>
        <v>0</v>
      </c>
      <c r="CK120" s="462" t="str">
        <f t="shared" si="30"/>
        <v/>
      </c>
      <c r="CL120" s="462">
        <f t="shared" si="31"/>
        <v>3817.5</v>
      </c>
      <c r="CM120" s="462">
        <f t="shared" si="32"/>
        <v>336.06</v>
      </c>
      <c r="CN120" s="462" t="str">
        <f t="shared" si="33"/>
        <v>0450-38</v>
      </c>
    </row>
    <row r="121" spans="1:92" ht="15" thickBot="1" x14ac:dyDescent="0.35">
      <c r="A121" s="376" t="s">
        <v>161</v>
      </c>
      <c r="B121" s="376" t="s">
        <v>162</v>
      </c>
      <c r="C121" s="376" t="s">
        <v>634</v>
      </c>
      <c r="D121" s="376" t="s">
        <v>356</v>
      </c>
      <c r="E121" s="376" t="s">
        <v>314</v>
      </c>
      <c r="F121" s="382" t="s">
        <v>406</v>
      </c>
      <c r="G121" s="376" t="s">
        <v>167</v>
      </c>
      <c r="H121" s="378"/>
      <c r="I121" s="378"/>
      <c r="J121" s="376" t="s">
        <v>168</v>
      </c>
      <c r="K121" s="376" t="s">
        <v>372</v>
      </c>
      <c r="L121" s="376" t="s">
        <v>220</v>
      </c>
      <c r="M121" s="376" t="s">
        <v>171</v>
      </c>
      <c r="N121" s="376" t="s">
        <v>172</v>
      </c>
      <c r="O121" s="379">
        <v>1</v>
      </c>
      <c r="P121" s="460">
        <v>1</v>
      </c>
      <c r="Q121" s="460">
        <v>1</v>
      </c>
      <c r="R121" s="380">
        <v>80</v>
      </c>
      <c r="S121" s="460">
        <v>1</v>
      </c>
      <c r="T121" s="380">
        <v>59414.9</v>
      </c>
      <c r="U121" s="380">
        <v>0</v>
      </c>
      <c r="V121" s="380">
        <v>25092.2</v>
      </c>
      <c r="W121" s="380">
        <v>62129.599999999999</v>
      </c>
      <c r="X121" s="380">
        <v>25041.99</v>
      </c>
      <c r="Y121" s="380">
        <v>62129.599999999999</v>
      </c>
      <c r="Z121" s="380">
        <v>24718.93</v>
      </c>
      <c r="AA121" s="376" t="s">
        <v>635</v>
      </c>
      <c r="AB121" s="376" t="s">
        <v>636</v>
      </c>
      <c r="AC121" s="376" t="s">
        <v>637</v>
      </c>
      <c r="AD121" s="376" t="s">
        <v>334</v>
      </c>
      <c r="AE121" s="376" t="s">
        <v>372</v>
      </c>
      <c r="AF121" s="376" t="s">
        <v>224</v>
      </c>
      <c r="AG121" s="376" t="s">
        <v>178</v>
      </c>
      <c r="AH121" s="381">
        <v>29.87</v>
      </c>
      <c r="AI121" s="381">
        <v>3684.5</v>
      </c>
      <c r="AJ121" s="376" t="s">
        <v>179</v>
      </c>
      <c r="AK121" s="376" t="s">
        <v>180</v>
      </c>
      <c r="AL121" s="376" t="s">
        <v>181</v>
      </c>
      <c r="AM121" s="376" t="s">
        <v>182</v>
      </c>
      <c r="AN121" s="376" t="s">
        <v>68</v>
      </c>
      <c r="AO121" s="379">
        <v>80</v>
      </c>
      <c r="AP121" s="460">
        <v>1</v>
      </c>
      <c r="AQ121" s="460">
        <v>1</v>
      </c>
      <c r="AR121" s="458" t="s">
        <v>183</v>
      </c>
      <c r="AS121" s="462">
        <f t="shared" si="17"/>
        <v>1</v>
      </c>
      <c r="AT121">
        <f t="shared" si="18"/>
        <v>1</v>
      </c>
      <c r="AU121" s="462">
        <f>IF(AT121=0,"",IF(AND(AT121=1,M121="F",SUMIF(C2:C170,C121,AS2:AS170)&lt;=1),SUMIF(C2:C170,C121,AS2:AS170),IF(AND(AT121=1,M121="F",SUMIF(C2:C170,C121,AS2:AS170)&gt;1),1,"")))</f>
        <v>1</v>
      </c>
      <c r="AV121" s="462" t="str">
        <f>IF(AT121=0,"",IF(AND(AT121=3,M121="F",SUMIF(C2:C170,C121,AS2:AS170)&lt;=1),SUMIF(C2:C170,C121,AS2:AS170),IF(AND(AT121=3,M121="F",SUMIF(C2:C170,C121,AS2:AS170)&gt;1),1,"")))</f>
        <v/>
      </c>
      <c r="AW121" s="462">
        <f>SUMIF(C2:C170,C121,O2:O170)</f>
        <v>1</v>
      </c>
      <c r="AX121" s="462">
        <f>IF(AND(M121="F",AS121&lt;&gt;0),SUMIF(C2:C170,C121,W2:W170),0)</f>
        <v>62129.599999999999</v>
      </c>
      <c r="AY121" s="462">
        <f t="shared" si="19"/>
        <v>62129.599999999999</v>
      </c>
      <c r="AZ121" s="462" t="str">
        <f t="shared" si="20"/>
        <v/>
      </c>
      <c r="BA121" s="462">
        <f t="shared" si="21"/>
        <v>0</v>
      </c>
      <c r="BB121" s="462">
        <f>IF(AND(AT121=1,AK121="E",AU121&gt;=0.75,AW121=1),Health,IF(AND(AT121=1,AK121="E",AU121&gt;=0.75),Health*P121,IF(AND(AT121=1,AK121="E",AU121&gt;=0.5,AW121=1),PTHealth,IF(AND(AT121=1,AK121="E",AU121&gt;=0.5),PTHealth*P121,0))))</f>
        <v>11650</v>
      </c>
      <c r="BC121" s="462">
        <f>IF(AND(AT121=3,AK121="E",AV121&gt;=0.75,AW121=1),Health,IF(AND(AT121=3,AK121="E",AV121&gt;=0.75),Health*P121,IF(AND(AT121=3,AK121="E",AV121&gt;=0.5,AW121=1),PTHealth,IF(AND(AT121=3,AK121="E",AV121&gt;=0.5),PTHealth*P121,0))))</f>
        <v>0</v>
      </c>
      <c r="BD121" s="462">
        <f>IF(AND(AT121&lt;&gt;0,AX121&gt;=MAXSSDI),SSDI*MAXSSDI*P121,IF(AT121&lt;&gt;0,SSDI*W121,0))</f>
        <v>3852.0351999999998</v>
      </c>
      <c r="BE121" s="462">
        <f>IF(AT121&lt;&gt;0,SSHI*W121,0)</f>
        <v>900.87919999999997</v>
      </c>
      <c r="BF121" s="462">
        <f>IF(AND(AT121&lt;&gt;0,AN121&lt;&gt;"NE"),VLOOKUP(AN121,Retirement_Rates,3,FALSE)*W121,0)</f>
        <v>7418.2742400000006</v>
      </c>
      <c r="BG121" s="462">
        <f>IF(AND(AT121&lt;&gt;0,AJ121&lt;&gt;"PF"),Life*W121,0)</f>
        <v>447.95441599999998</v>
      </c>
      <c r="BH121" s="462">
        <f>IF(AND(AT121&lt;&gt;0,AM121="Y"),UI*W121,0)</f>
        <v>304.43503999999996</v>
      </c>
      <c r="BI121" s="462">
        <f>IF(AND(AT121&lt;&gt;0,N121&lt;&gt;"NR"),DHR*W121,0)</f>
        <v>344.19798399999996</v>
      </c>
      <c r="BJ121" s="462">
        <f>IF(AT121&lt;&gt;0,WC*W121,0)</f>
        <v>124.25919999999999</v>
      </c>
      <c r="BK121" s="462">
        <f>IF(OR(AND(AT121&lt;&gt;0,AJ121&lt;&gt;"PF",AN121&lt;&gt;"NE",AG121&lt;&gt;"A"),AND(AL121="E",OR(AT121=1,AT121=3))),Sick*W121,0)</f>
        <v>0</v>
      </c>
      <c r="BL121" s="462">
        <f t="shared" si="22"/>
        <v>13392.035280000002</v>
      </c>
      <c r="BM121" s="462">
        <f t="shared" si="23"/>
        <v>0</v>
      </c>
      <c r="BN121" s="462">
        <f>IF(AND(AT121=1,AK121="E",AU121&gt;=0.75,AW121=1),HealthBY,IF(AND(AT121=1,AK121="E",AU121&gt;=0.75),HealthBY*P121,IF(AND(AT121=1,AK121="E",AU121&gt;=0.5,AW121=1),PTHealthBY,IF(AND(AT121=1,AK121="E",AU121&gt;=0.5),PTHealthBY*P121,0))))</f>
        <v>11650</v>
      </c>
      <c r="BO121" s="462">
        <f>IF(AND(AT121=3,AK121="E",AV121&gt;=0.75,AW121=1),HealthBY,IF(AND(AT121=3,AK121="E",AV121&gt;=0.75),HealthBY*P121,IF(AND(AT121=3,AK121="E",AV121&gt;=0.5,AW121=1),PTHealthBY,IF(AND(AT121=3,AK121="E",AV121&gt;=0.5),PTHealthBY*P121,0))))</f>
        <v>0</v>
      </c>
      <c r="BP121" s="462">
        <f>IF(AND(AT121&lt;&gt;0,(AX121+BA121)&gt;=MAXSSDIBY),SSDIBY*MAXSSDIBY*P121,IF(AT121&lt;&gt;0,SSDIBY*W121,0))</f>
        <v>3852.0351999999998</v>
      </c>
      <c r="BQ121" s="462">
        <f>IF(AT121&lt;&gt;0,SSHIBY*W121,0)</f>
        <v>900.87919999999997</v>
      </c>
      <c r="BR121" s="462">
        <f>IF(AND(AT121&lt;&gt;0,AN121&lt;&gt;"NE"),VLOOKUP(AN121,Retirement_Rates,4,FALSE)*W121,0)</f>
        <v>7418.2742400000006</v>
      </c>
      <c r="BS121" s="462">
        <f>IF(AND(AT121&lt;&gt;0,AJ121&lt;&gt;"PF"),LifeBY*W121,0)</f>
        <v>447.95441599999998</v>
      </c>
      <c r="BT121" s="462">
        <f>IF(AND(AT121&lt;&gt;0,AM121="Y"),UIBY*W121,0)</f>
        <v>0</v>
      </c>
      <c r="BU121" s="462">
        <f>IF(AND(AT121&lt;&gt;0,N121&lt;&gt;"NR"),DHRBY*W121,0)</f>
        <v>344.19798399999996</v>
      </c>
      <c r="BV121" s="462">
        <f>IF(AT121&lt;&gt;0,WCBY*W121,0)</f>
        <v>105.62031999999999</v>
      </c>
      <c r="BW121" s="462">
        <f>IF(OR(AND(AT121&lt;&gt;0,AJ121&lt;&gt;"PF",AN121&lt;&gt;"NE",AG121&lt;&gt;"A"),AND(AL121="E",OR(AT121=1,AT121=3))),SickBY*W121,0)</f>
        <v>0</v>
      </c>
      <c r="BX121" s="462">
        <f t="shared" si="24"/>
        <v>13068.961360000001</v>
      </c>
      <c r="BY121" s="462">
        <f t="shared" si="25"/>
        <v>0</v>
      </c>
      <c r="BZ121" s="462">
        <f t="shared" si="26"/>
        <v>0</v>
      </c>
      <c r="CA121" s="462">
        <f t="shared" si="27"/>
        <v>0</v>
      </c>
      <c r="CB121" s="462">
        <f t="shared" si="28"/>
        <v>0</v>
      </c>
      <c r="CC121" s="462">
        <f>IF(AT121&lt;&gt;0,SSHICHG*Y121,0)</f>
        <v>0</v>
      </c>
      <c r="CD121" s="462">
        <f>IF(AND(AT121&lt;&gt;0,AN121&lt;&gt;"NE"),VLOOKUP(AN121,Retirement_Rates,5,FALSE)*Y121,0)</f>
        <v>0</v>
      </c>
      <c r="CE121" s="462">
        <f>IF(AND(AT121&lt;&gt;0,AJ121&lt;&gt;"PF"),LifeCHG*Y121,0)</f>
        <v>0</v>
      </c>
      <c r="CF121" s="462">
        <f>IF(AND(AT121&lt;&gt;0,AM121="Y"),UICHG*Y121,0)</f>
        <v>-304.43503999999996</v>
      </c>
      <c r="CG121" s="462">
        <f>IF(AND(AT121&lt;&gt;0,N121&lt;&gt;"NR"),DHRCHG*Y121,0)</f>
        <v>0</v>
      </c>
      <c r="CH121" s="462">
        <f>IF(AT121&lt;&gt;0,WCCHG*Y121,0)</f>
        <v>-18.638880000000007</v>
      </c>
      <c r="CI121" s="462">
        <f>IF(OR(AND(AT121&lt;&gt;0,AJ121&lt;&gt;"PF",AN121&lt;&gt;"NE",AG121&lt;&gt;"A"),AND(AL121="E",OR(AT121=1,AT121=3))),SickCHG*Y121,0)</f>
        <v>0</v>
      </c>
      <c r="CJ121" s="462">
        <f t="shared" si="29"/>
        <v>-323.07391999999999</v>
      </c>
      <c r="CK121" s="462" t="str">
        <f t="shared" si="30"/>
        <v/>
      </c>
      <c r="CL121" s="462" t="str">
        <f t="shared" si="31"/>
        <v/>
      </c>
      <c r="CM121" s="462" t="str">
        <f t="shared" si="32"/>
        <v/>
      </c>
      <c r="CN121" s="462" t="str">
        <f t="shared" si="33"/>
        <v>0450-38</v>
      </c>
    </row>
    <row r="122" spans="1:92" ht="15" thickBot="1" x14ac:dyDescent="0.35">
      <c r="A122" s="376" t="s">
        <v>161</v>
      </c>
      <c r="B122" s="376" t="s">
        <v>162</v>
      </c>
      <c r="C122" s="376" t="s">
        <v>638</v>
      </c>
      <c r="D122" s="376" t="s">
        <v>570</v>
      </c>
      <c r="E122" s="376" t="s">
        <v>314</v>
      </c>
      <c r="F122" s="382" t="s">
        <v>406</v>
      </c>
      <c r="G122" s="376" t="s">
        <v>167</v>
      </c>
      <c r="H122" s="378"/>
      <c r="I122" s="378"/>
      <c r="J122" s="376" t="s">
        <v>168</v>
      </c>
      <c r="K122" s="376" t="s">
        <v>571</v>
      </c>
      <c r="L122" s="376" t="s">
        <v>181</v>
      </c>
      <c r="M122" s="376" t="s">
        <v>171</v>
      </c>
      <c r="N122" s="376" t="s">
        <v>172</v>
      </c>
      <c r="O122" s="379">
        <v>1</v>
      </c>
      <c r="P122" s="460">
        <v>1</v>
      </c>
      <c r="Q122" s="460">
        <v>1</v>
      </c>
      <c r="R122" s="380">
        <v>80</v>
      </c>
      <c r="S122" s="460">
        <v>1</v>
      </c>
      <c r="T122" s="380">
        <v>79859.19</v>
      </c>
      <c r="U122" s="380">
        <v>0</v>
      </c>
      <c r="V122" s="380">
        <v>27937.14</v>
      </c>
      <c r="W122" s="380">
        <v>79830.399999999994</v>
      </c>
      <c r="X122" s="380">
        <v>28857.41</v>
      </c>
      <c r="Y122" s="380">
        <v>79830.399999999994</v>
      </c>
      <c r="Z122" s="380">
        <v>28442.3</v>
      </c>
      <c r="AA122" s="376" t="s">
        <v>639</v>
      </c>
      <c r="AB122" s="376" t="s">
        <v>198</v>
      </c>
      <c r="AC122" s="376" t="s">
        <v>640</v>
      </c>
      <c r="AD122" s="376" t="s">
        <v>269</v>
      </c>
      <c r="AE122" s="376" t="s">
        <v>571</v>
      </c>
      <c r="AF122" s="376" t="s">
        <v>349</v>
      </c>
      <c r="AG122" s="376" t="s">
        <v>178</v>
      </c>
      <c r="AH122" s="381">
        <v>38.380000000000003</v>
      </c>
      <c r="AI122" s="381">
        <v>17040.900000000001</v>
      </c>
      <c r="AJ122" s="376" t="s">
        <v>179</v>
      </c>
      <c r="AK122" s="376" t="s">
        <v>180</v>
      </c>
      <c r="AL122" s="376" t="s">
        <v>181</v>
      </c>
      <c r="AM122" s="376" t="s">
        <v>182</v>
      </c>
      <c r="AN122" s="376" t="s">
        <v>68</v>
      </c>
      <c r="AO122" s="379">
        <v>80</v>
      </c>
      <c r="AP122" s="460">
        <v>1</v>
      </c>
      <c r="AQ122" s="460">
        <v>1</v>
      </c>
      <c r="AR122" s="458" t="s">
        <v>183</v>
      </c>
      <c r="AS122" s="462">
        <f t="shared" si="17"/>
        <v>1</v>
      </c>
      <c r="AT122">
        <f t="shared" si="18"/>
        <v>1</v>
      </c>
      <c r="AU122" s="462">
        <f>IF(AT122=0,"",IF(AND(AT122=1,M122="F",SUMIF(C2:C170,C122,AS2:AS170)&lt;=1),SUMIF(C2:C170,C122,AS2:AS170),IF(AND(AT122=1,M122="F",SUMIF(C2:C170,C122,AS2:AS170)&gt;1),1,"")))</f>
        <v>1</v>
      </c>
      <c r="AV122" s="462" t="str">
        <f>IF(AT122=0,"",IF(AND(AT122=3,M122="F",SUMIF(C2:C170,C122,AS2:AS170)&lt;=1),SUMIF(C2:C170,C122,AS2:AS170),IF(AND(AT122=3,M122="F",SUMIF(C2:C170,C122,AS2:AS170)&gt;1),1,"")))</f>
        <v/>
      </c>
      <c r="AW122" s="462">
        <f>SUMIF(C2:C170,C122,O2:O170)</f>
        <v>1</v>
      </c>
      <c r="AX122" s="462">
        <f>IF(AND(M122="F",AS122&lt;&gt;0),SUMIF(C2:C170,C122,W2:W170),0)</f>
        <v>79830.399999999994</v>
      </c>
      <c r="AY122" s="462">
        <f t="shared" si="19"/>
        <v>79830.399999999994</v>
      </c>
      <c r="AZ122" s="462" t="str">
        <f t="shared" si="20"/>
        <v/>
      </c>
      <c r="BA122" s="462">
        <f t="shared" si="21"/>
        <v>0</v>
      </c>
      <c r="BB122" s="462">
        <f>IF(AND(AT122=1,AK122="E",AU122&gt;=0.75,AW122=1),Health,IF(AND(AT122=1,AK122="E",AU122&gt;=0.75),Health*P122,IF(AND(AT122=1,AK122="E",AU122&gt;=0.5,AW122=1),PTHealth,IF(AND(AT122=1,AK122="E",AU122&gt;=0.5),PTHealth*P122,0))))</f>
        <v>11650</v>
      </c>
      <c r="BC122" s="462">
        <f>IF(AND(AT122=3,AK122="E",AV122&gt;=0.75,AW122=1),Health,IF(AND(AT122=3,AK122="E",AV122&gt;=0.75),Health*P122,IF(AND(AT122=3,AK122="E",AV122&gt;=0.5,AW122=1),PTHealth,IF(AND(AT122=3,AK122="E",AV122&gt;=0.5),PTHealth*P122,0))))</f>
        <v>0</v>
      </c>
      <c r="BD122" s="462">
        <f>IF(AND(AT122&lt;&gt;0,AX122&gt;=MAXSSDI),SSDI*MAXSSDI*P122,IF(AT122&lt;&gt;0,SSDI*W122,0))</f>
        <v>4949.4847999999993</v>
      </c>
      <c r="BE122" s="462">
        <f>IF(AT122&lt;&gt;0,SSHI*W122,0)</f>
        <v>1157.5408</v>
      </c>
      <c r="BF122" s="462">
        <f>IF(AND(AT122&lt;&gt;0,AN122&lt;&gt;"NE"),VLOOKUP(AN122,Retirement_Rates,3,FALSE)*W122,0)</f>
        <v>9531.7497600000006</v>
      </c>
      <c r="BG122" s="462">
        <f>IF(AND(AT122&lt;&gt;0,AJ122&lt;&gt;"PF"),Life*W122,0)</f>
        <v>575.57718399999999</v>
      </c>
      <c r="BH122" s="462">
        <f>IF(AND(AT122&lt;&gt;0,AM122="Y"),UI*W122,0)</f>
        <v>391.16895999999997</v>
      </c>
      <c r="BI122" s="462">
        <f>IF(AND(AT122&lt;&gt;0,N122&lt;&gt;"NR"),DHR*W122,0)</f>
        <v>442.26041599999996</v>
      </c>
      <c r="BJ122" s="462">
        <f>IF(AT122&lt;&gt;0,WC*W122,0)</f>
        <v>159.66079999999999</v>
      </c>
      <c r="BK122" s="462">
        <f>IF(OR(AND(AT122&lt;&gt;0,AJ122&lt;&gt;"PF",AN122&lt;&gt;"NE",AG122&lt;&gt;"A"),AND(AL122="E",OR(AT122=1,AT122=3))),Sick*W122,0)</f>
        <v>0</v>
      </c>
      <c r="BL122" s="462">
        <f t="shared" si="22"/>
        <v>17207.442720000003</v>
      </c>
      <c r="BM122" s="462">
        <f t="shared" si="23"/>
        <v>0</v>
      </c>
      <c r="BN122" s="462">
        <f>IF(AND(AT122=1,AK122="E",AU122&gt;=0.75,AW122=1),HealthBY,IF(AND(AT122=1,AK122="E",AU122&gt;=0.75),HealthBY*P122,IF(AND(AT122=1,AK122="E",AU122&gt;=0.5,AW122=1),PTHealthBY,IF(AND(AT122=1,AK122="E",AU122&gt;=0.5),PTHealthBY*P122,0))))</f>
        <v>11650</v>
      </c>
      <c r="BO122" s="462">
        <f>IF(AND(AT122=3,AK122="E",AV122&gt;=0.75,AW122=1),HealthBY,IF(AND(AT122=3,AK122="E",AV122&gt;=0.75),HealthBY*P122,IF(AND(AT122=3,AK122="E",AV122&gt;=0.5,AW122=1),PTHealthBY,IF(AND(AT122=3,AK122="E",AV122&gt;=0.5),PTHealthBY*P122,0))))</f>
        <v>0</v>
      </c>
      <c r="BP122" s="462">
        <f>IF(AND(AT122&lt;&gt;0,(AX122+BA122)&gt;=MAXSSDIBY),SSDIBY*MAXSSDIBY*P122,IF(AT122&lt;&gt;0,SSDIBY*W122,0))</f>
        <v>4949.4847999999993</v>
      </c>
      <c r="BQ122" s="462">
        <f>IF(AT122&lt;&gt;0,SSHIBY*W122,0)</f>
        <v>1157.5408</v>
      </c>
      <c r="BR122" s="462">
        <f>IF(AND(AT122&lt;&gt;0,AN122&lt;&gt;"NE"),VLOOKUP(AN122,Retirement_Rates,4,FALSE)*W122,0)</f>
        <v>9531.7497600000006</v>
      </c>
      <c r="BS122" s="462">
        <f>IF(AND(AT122&lt;&gt;0,AJ122&lt;&gt;"PF"),LifeBY*W122,0)</f>
        <v>575.57718399999999</v>
      </c>
      <c r="BT122" s="462">
        <f>IF(AND(AT122&lt;&gt;0,AM122="Y"),UIBY*W122,0)</f>
        <v>0</v>
      </c>
      <c r="BU122" s="462">
        <f>IF(AND(AT122&lt;&gt;0,N122&lt;&gt;"NR"),DHRBY*W122,0)</f>
        <v>442.26041599999996</v>
      </c>
      <c r="BV122" s="462">
        <f>IF(AT122&lt;&gt;0,WCBY*W122,0)</f>
        <v>135.71167999999997</v>
      </c>
      <c r="BW122" s="462">
        <f>IF(OR(AND(AT122&lt;&gt;0,AJ122&lt;&gt;"PF",AN122&lt;&gt;"NE",AG122&lt;&gt;"A"),AND(AL122="E",OR(AT122=1,AT122=3))),SickBY*W122,0)</f>
        <v>0</v>
      </c>
      <c r="BX122" s="462">
        <f t="shared" si="24"/>
        <v>16792.324639999999</v>
      </c>
      <c r="BY122" s="462">
        <f t="shared" si="25"/>
        <v>0</v>
      </c>
      <c r="BZ122" s="462">
        <f t="shared" si="26"/>
        <v>0</v>
      </c>
      <c r="CA122" s="462">
        <f t="shared" si="27"/>
        <v>0</v>
      </c>
      <c r="CB122" s="462">
        <f t="shared" si="28"/>
        <v>0</v>
      </c>
      <c r="CC122" s="462">
        <f>IF(AT122&lt;&gt;0,SSHICHG*Y122,0)</f>
        <v>0</v>
      </c>
      <c r="CD122" s="462">
        <f>IF(AND(AT122&lt;&gt;0,AN122&lt;&gt;"NE"),VLOOKUP(AN122,Retirement_Rates,5,FALSE)*Y122,0)</f>
        <v>0</v>
      </c>
      <c r="CE122" s="462">
        <f>IF(AND(AT122&lt;&gt;0,AJ122&lt;&gt;"PF"),LifeCHG*Y122,0)</f>
        <v>0</v>
      </c>
      <c r="CF122" s="462">
        <f>IF(AND(AT122&lt;&gt;0,AM122="Y"),UICHG*Y122,0)</f>
        <v>-391.16895999999997</v>
      </c>
      <c r="CG122" s="462">
        <f>IF(AND(AT122&lt;&gt;0,N122&lt;&gt;"NR"),DHRCHG*Y122,0)</f>
        <v>0</v>
      </c>
      <c r="CH122" s="462">
        <f>IF(AT122&lt;&gt;0,WCCHG*Y122,0)</f>
        <v>-23.949120000000008</v>
      </c>
      <c r="CI122" s="462">
        <f>IF(OR(AND(AT122&lt;&gt;0,AJ122&lt;&gt;"PF",AN122&lt;&gt;"NE",AG122&lt;&gt;"A"),AND(AL122="E",OR(AT122=1,AT122=3))),SickCHG*Y122,0)</f>
        <v>0</v>
      </c>
      <c r="CJ122" s="462">
        <f t="shared" si="29"/>
        <v>-415.11807999999996</v>
      </c>
      <c r="CK122" s="462" t="str">
        <f t="shared" si="30"/>
        <v/>
      </c>
      <c r="CL122" s="462" t="str">
        <f t="shared" si="31"/>
        <v/>
      </c>
      <c r="CM122" s="462" t="str">
        <f t="shared" si="32"/>
        <v/>
      </c>
      <c r="CN122" s="462" t="str">
        <f t="shared" si="33"/>
        <v>0450-38</v>
      </c>
    </row>
    <row r="123" spans="1:92" ht="15" thickBot="1" x14ac:dyDescent="0.35">
      <c r="A123" s="376" t="s">
        <v>161</v>
      </c>
      <c r="B123" s="376" t="s">
        <v>162</v>
      </c>
      <c r="C123" s="376" t="s">
        <v>641</v>
      </c>
      <c r="D123" s="376" t="s">
        <v>436</v>
      </c>
      <c r="E123" s="376" t="s">
        <v>314</v>
      </c>
      <c r="F123" s="382" t="s">
        <v>406</v>
      </c>
      <c r="G123" s="376" t="s">
        <v>167</v>
      </c>
      <c r="H123" s="378"/>
      <c r="I123" s="378"/>
      <c r="J123" s="376" t="s">
        <v>168</v>
      </c>
      <c r="K123" s="376" t="s">
        <v>642</v>
      </c>
      <c r="L123" s="376" t="s">
        <v>181</v>
      </c>
      <c r="M123" s="376" t="s">
        <v>171</v>
      </c>
      <c r="N123" s="376" t="s">
        <v>172</v>
      </c>
      <c r="O123" s="379">
        <v>1</v>
      </c>
      <c r="P123" s="460">
        <v>1</v>
      </c>
      <c r="Q123" s="460">
        <v>1</v>
      </c>
      <c r="R123" s="380">
        <v>80</v>
      </c>
      <c r="S123" s="460">
        <v>1</v>
      </c>
      <c r="T123" s="380">
        <v>77598.460000000006</v>
      </c>
      <c r="U123" s="380">
        <v>0</v>
      </c>
      <c r="V123" s="380">
        <v>27832.880000000001</v>
      </c>
      <c r="W123" s="380">
        <v>80537.600000000006</v>
      </c>
      <c r="X123" s="380">
        <v>29009.84</v>
      </c>
      <c r="Y123" s="380">
        <v>80537.600000000006</v>
      </c>
      <c r="Z123" s="380">
        <v>28591.05</v>
      </c>
      <c r="AA123" s="376" t="s">
        <v>643</v>
      </c>
      <c r="AB123" s="376" t="s">
        <v>644</v>
      </c>
      <c r="AC123" s="376" t="s">
        <v>338</v>
      </c>
      <c r="AD123" s="376" t="s">
        <v>228</v>
      </c>
      <c r="AE123" s="376" t="s">
        <v>642</v>
      </c>
      <c r="AF123" s="376" t="s">
        <v>349</v>
      </c>
      <c r="AG123" s="376" t="s">
        <v>178</v>
      </c>
      <c r="AH123" s="381">
        <v>38.72</v>
      </c>
      <c r="AI123" s="381">
        <v>30717.1</v>
      </c>
      <c r="AJ123" s="376" t="s">
        <v>179</v>
      </c>
      <c r="AK123" s="376" t="s">
        <v>180</v>
      </c>
      <c r="AL123" s="376" t="s">
        <v>181</v>
      </c>
      <c r="AM123" s="376" t="s">
        <v>182</v>
      </c>
      <c r="AN123" s="376" t="s">
        <v>68</v>
      </c>
      <c r="AO123" s="379">
        <v>80</v>
      </c>
      <c r="AP123" s="460">
        <v>1</v>
      </c>
      <c r="AQ123" s="460">
        <v>1</v>
      </c>
      <c r="AR123" s="458" t="s">
        <v>183</v>
      </c>
      <c r="AS123" s="462">
        <f t="shared" si="17"/>
        <v>1</v>
      </c>
      <c r="AT123">
        <f t="shared" si="18"/>
        <v>1</v>
      </c>
      <c r="AU123" s="462">
        <f>IF(AT123=0,"",IF(AND(AT123=1,M123="F",SUMIF(C2:C170,C123,AS2:AS170)&lt;=1),SUMIF(C2:C170,C123,AS2:AS170),IF(AND(AT123=1,M123="F",SUMIF(C2:C170,C123,AS2:AS170)&gt;1),1,"")))</f>
        <v>1</v>
      </c>
      <c r="AV123" s="462" t="str">
        <f>IF(AT123=0,"",IF(AND(AT123=3,M123="F",SUMIF(C2:C170,C123,AS2:AS170)&lt;=1),SUMIF(C2:C170,C123,AS2:AS170),IF(AND(AT123=3,M123="F",SUMIF(C2:C170,C123,AS2:AS170)&gt;1),1,"")))</f>
        <v/>
      </c>
      <c r="AW123" s="462">
        <f>SUMIF(C2:C170,C123,O2:O170)</f>
        <v>1</v>
      </c>
      <c r="AX123" s="462">
        <f>IF(AND(M123="F",AS123&lt;&gt;0),SUMIF(C2:C170,C123,W2:W170),0)</f>
        <v>80537.600000000006</v>
      </c>
      <c r="AY123" s="462">
        <f t="shared" si="19"/>
        <v>80537.600000000006</v>
      </c>
      <c r="AZ123" s="462" t="str">
        <f t="shared" si="20"/>
        <v/>
      </c>
      <c r="BA123" s="462">
        <f t="shared" si="21"/>
        <v>0</v>
      </c>
      <c r="BB123" s="462">
        <f>IF(AND(AT123=1,AK123="E",AU123&gt;=0.75,AW123=1),Health,IF(AND(AT123=1,AK123="E",AU123&gt;=0.75),Health*P123,IF(AND(AT123=1,AK123="E",AU123&gt;=0.5,AW123=1),PTHealth,IF(AND(AT123=1,AK123="E",AU123&gt;=0.5),PTHealth*P123,0))))</f>
        <v>11650</v>
      </c>
      <c r="BC123" s="462">
        <f>IF(AND(AT123=3,AK123="E",AV123&gt;=0.75,AW123=1),Health,IF(AND(AT123=3,AK123="E",AV123&gt;=0.75),Health*P123,IF(AND(AT123=3,AK123="E",AV123&gt;=0.5,AW123=1),PTHealth,IF(AND(AT123=3,AK123="E",AV123&gt;=0.5),PTHealth*P123,0))))</f>
        <v>0</v>
      </c>
      <c r="BD123" s="462">
        <f>IF(AND(AT123&lt;&gt;0,AX123&gt;=MAXSSDI),SSDI*MAXSSDI*P123,IF(AT123&lt;&gt;0,SSDI*W123,0))</f>
        <v>4993.3312000000005</v>
      </c>
      <c r="BE123" s="462">
        <f>IF(AT123&lt;&gt;0,SSHI*W123,0)</f>
        <v>1167.7952000000002</v>
      </c>
      <c r="BF123" s="462">
        <f>IF(AND(AT123&lt;&gt;0,AN123&lt;&gt;"NE"),VLOOKUP(AN123,Retirement_Rates,3,FALSE)*W123,0)</f>
        <v>9616.1894400000019</v>
      </c>
      <c r="BG123" s="462">
        <f>IF(AND(AT123&lt;&gt;0,AJ123&lt;&gt;"PF"),Life*W123,0)</f>
        <v>580.67609600000003</v>
      </c>
      <c r="BH123" s="462">
        <f>IF(AND(AT123&lt;&gt;0,AM123="Y"),UI*W123,0)</f>
        <v>394.63424000000003</v>
      </c>
      <c r="BI123" s="462">
        <f>IF(AND(AT123&lt;&gt;0,N123&lt;&gt;"NR"),DHR*W123,0)</f>
        <v>446.17830400000003</v>
      </c>
      <c r="BJ123" s="462">
        <f>IF(AT123&lt;&gt;0,WC*W123,0)</f>
        <v>161.07520000000002</v>
      </c>
      <c r="BK123" s="462">
        <f>IF(OR(AND(AT123&lt;&gt;0,AJ123&lt;&gt;"PF",AN123&lt;&gt;"NE",AG123&lt;&gt;"A"),AND(AL123="E",OR(AT123=1,AT123=3))),Sick*W123,0)</f>
        <v>0</v>
      </c>
      <c r="BL123" s="462">
        <f t="shared" si="22"/>
        <v>17359.879680000002</v>
      </c>
      <c r="BM123" s="462">
        <f t="shared" si="23"/>
        <v>0</v>
      </c>
      <c r="BN123" s="462">
        <f>IF(AND(AT123=1,AK123="E",AU123&gt;=0.75,AW123=1),HealthBY,IF(AND(AT123=1,AK123="E",AU123&gt;=0.75),HealthBY*P123,IF(AND(AT123=1,AK123="E",AU123&gt;=0.5,AW123=1),PTHealthBY,IF(AND(AT123=1,AK123="E",AU123&gt;=0.5),PTHealthBY*P123,0))))</f>
        <v>11650</v>
      </c>
      <c r="BO123" s="462">
        <f>IF(AND(AT123=3,AK123="E",AV123&gt;=0.75,AW123=1),HealthBY,IF(AND(AT123=3,AK123="E",AV123&gt;=0.75),HealthBY*P123,IF(AND(AT123=3,AK123="E",AV123&gt;=0.5,AW123=1),PTHealthBY,IF(AND(AT123=3,AK123="E",AV123&gt;=0.5),PTHealthBY*P123,0))))</f>
        <v>0</v>
      </c>
      <c r="BP123" s="462">
        <f>IF(AND(AT123&lt;&gt;0,(AX123+BA123)&gt;=MAXSSDIBY),SSDIBY*MAXSSDIBY*P123,IF(AT123&lt;&gt;0,SSDIBY*W123,0))</f>
        <v>4993.3312000000005</v>
      </c>
      <c r="BQ123" s="462">
        <f>IF(AT123&lt;&gt;0,SSHIBY*W123,0)</f>
        <v>1167.7952000000002</v>
      </c>
      <c r="BR123" s="462">
        <f>IF(AND(AT123&lt;&gt;0,AN123&lt;&gt;"NE"),VLOOKUP(AN123,Retirement_Rates,4,FALSE)*W123,0)</f>
        <v>9616.1894400000019</v>
      </c>
      <c r="BS123" s="462">
        <f>IF(AND(AT123&lt;&gt;0,AJ123&lt;&gt;"PF"),LifeBY*W123,0)</f>
        <v>580.67609600000003</v>
      </c>
      <c r="BT123" s="462">
        <f>IF(AND(AT123&lt;&gt;0,AM123="Y"),UIBY*W123,0)</f>
        <v>0</v>
      </c>
      <c r="BU123" s="462">
        <f>IF(AND(AT123&lt;&gt;0,N123&lt;&gt;"NR"),DHRBY*W123,0)</f>
        <v>446.17830400000003</v>
      </c>
      <c r="BV123" s="462">
        <f>IF(AT123&lt;&gt;0,WCBY*W123,0)</f>
        <v>136.91391999999999</v>
      </c>
      <c r="BW123" s="462">
        <f>IF(OR(AND(AT123&lt;&gt;0,AJ123&lt;&gt;"PF",AN123&lt;&gt;"NE",AG123&lt;&gt;"A"),AND(AL123="E",OR(AT123=1,AT123=3))),SickBY*W123,0)</f>
        <v>0</v>
      </c>
      <c r="BX123" s="462">
        <f t="shared" si="24"/>
        <v>16941.084160000002</v>
      </c>
      <c r="BY123" s="462">
        <f t="shared" si="25"/>
        <v>0</v>
      </c>
      <c r="BZ123" s="462">
        <f t="shared" si="26"/>
        <v>0</v>
      </c>
      <c r="CA123" s="462">
        <f t="shared" si="27"/>
        <v>0</v>
      </c>
      <c r="CB123" s="462">
        <f t="shared" si="28"/>
        <v>0</v>
      </c>
      <c r="CC123" s="462">
        <f>IF(AT123&lt;&gt;0,SSHICHG*Y123,0)</f>
        <v>0</v>
      </c>
      <c r="CD123" s="462">
        <f>IF(AND(AT123&lt;&gt;0,AN123&lt;&gt;"NE"),VLOOKUP(AN123,Retirement_Rates,5,FALSE)*Y123,0)</f>
        <v>0</v>
      </c>
      <c r="CE123" s="462">
        <f>IF(AND(AT123&lt;&gt;0,AJ123&lt;&gt;"PF"),LifeCHG*Y123,0)</f>
        <v>0</v>
      </c>
      <c r="CF123" s="462">
        <f>IF(AND(AT123&lt;&gt;0,AM123="Y"),UICHG*Y123,0)</f>
        <v>-394.63424000000003</v>
      </c>
      <c r="CG123" s="462">
        <f>IF(AND(AT123&lt;&gt;0,N123&lt;&gt;"NR"),DHRCHG*Y123,0)</f>
        <v>0</v>
      </c>
      <c r="CH123" s="462">
        <f>IF(AT123&lt;&gt;0,WCCHG*Y123,0)</f>
        <v>-24.161280000000012</v>
      </c>
      <c r="CI123" s="462">
        <f>IF(OR(AND(AT123&lt;&gt;0,AJ123&lt;&gt;"PF",AN123&lt;&gt;"NE",AG123&lt;&gt;"A"),AND(AL123="E",OR(AT123=1,AT123=3))),SickCHG*Y123,0)</f>
        <v>0</v>
      </c>
      <c r="CJ123" s="462">
        <f t="shared" si="29"/>
        <v>-418.79552000000007</v>
      </c>
      <c r="CK123" s="462" t="str">
        <f t="shared" si="30"/>
        <v/>
      </c>
      <c r="CL123" s="462" t="str">
        <f t="shared" si="31"/>
        <v/>
      </c>
      <c r="CM123" s="462" t="str">
        <f t="shared" si="32"/>
        <v/>
      </c>
      <c r="CN123" s="462" t="str">
        <f t="shared" si="33"/>
        <v>0450-38</v>
      </c>
    </row>
    <row r="124" spans="1:92" ht="15" thickBot="1" x14ac:dyDescent="0.35">
      <c r="A124" s="376" t="s">
        <v>161</v>
      </c>
      <c r="B124" s="376" t="s">
        <v>162</v>
      </c>
      <c r="C124" s="376" t="s">
        <v>645</v>
      </c>
      <c r="D124" s="376" t="s">
        <v>356</v>
      </c>
      <c r="E124" s="376" t="s">
        <v>314</v>
      </c>
      <c r="F124" s="382" t="s">
        <v>406</v>
      </c>
      <c r="G124" s="376" t="s">
        <v>167</v>
      </c>
      <c r="H124" s="378"/>
      <c r="I124" s="378"/>
      <c r="J124" s="376" t="s">
        <v>168</v>
      </c>
      <c r="K124" s="376" t="s">
        <v>358</v>
      </c>
      <c r="L124" s="376" t="s">
        <v>176</v>
      </c>
      <c r="M124" s="376" t="s">
        <v>171</v>
      </c>
      <c r="N124" s="376" t="s">
        <v>172</v>
      </c>
      <c r="O124" s="379">
        <v>1</v>
      </c>
      <c r="P124" s="460">
        <v>1</v>
      </c>
      <c r="Q124" s="460">
        <v>1</v>
      </c>
      <c r="R124" s="380">
        <v>80</v>
      </c>
      <c r="S124" s="460">
        <v>1</v>
      </c>
      <c r="T124" s="380">
        <v>51412.46</v>
      </c>
      <c r="U124" s="380">
        <v>90.65</v>
      </c>
      <c r="V124" s="380">
        <v>22500.33</v>
      </c>
      <c r="W124" s="380">
        <v>52228.800000000003</v>
      </c>
      <c r="X124" s="380">
        <v>22907.87</v>
      </c>
      <c r="Y124" s="380">
        <v>52228.800000000003</v>
      </c>
      <c r="Z124" s="380">
        <v>22636.28</v>
      </c>
      <c r="AA124" s="376" t="s">
        <v>646</v>
      </c>
      <c r="AB124" s="376" t="s">
        <v>174</v>
      </c>
      <c r="AC124" s="376" t="s">
        <v>647</v>
      </c>
      <c r="AD124" s="376" t="s">
        <v>252</v>
      </c>
      <c r="AE124" s="376" t="s">
        <v>358</v>
      </c>
      <c r="AF124" s="376" t="s">
        <v>190</v>
      </c>
      <c r="AG124" s="376" t="s">
        <v>178</v>
      </c>
      <c r="AH124" s="381">
        <v>25.11</v>
      </c>
      <c r="AI124" s="381">
        <v>6804.4</v>
      </c>
      <c r="AJ124" s="376" t="s">
        <v>179</v>
      </c>
      <c r="AK124" s="376" t="s">
        <v>180</v>
      </c>
      <c r="AL124" s="376" t="s">
        <v>181</v>
      </c>
      <c r="AM124" s="376" t="s">
        <v>182</v>
      </c>
      <c r="AN124" s="376" t="s">
        <v>68</v>
      </c>
      <c r="AO124" s="379">
        <v>80</v>
      </c>
      <c r="AP124" s="460">
        <v>1</v>
      </c>
      <c r="AQ124" s="460">
        <v>1</v>
      </c>
      <c r="AR124" s="458" t="s">
        <v>183</v>
      </c>
      <c r="AS124" s="462">
        <f t="shared" si="17"/>
        <v>1</v>
      </c>
      <c r="AT124">
        <f t="shared" si="18"/>
        <v>1</v>
      </c>
      <c r="AU124" s="462">
        <f>IF(AT124=0,"",IF(AND(AT124=1,M124="F",SUMIF(C2:C170,C124,AS2:AS170)&lt;=1),SUMIF(C2:C170,C124,AS2:AS170),IF(AND(AT124=1,M124="F",SUMIF(C2:C170,C124,AS2:AS170)&gt;1),1,"")))</f>
        <v>1</v>
      </c>
      <c r="AV124" s="462" t="str">
        <f>IF(AT124=0,"",IF(AND(AT124=3,M124="F",SUMIF(C2:C170,C124,AS2:AS170)&lt;=1),SUMIF(C2:C170,C124,AS2:AS170),IF(AND(AT124=3,M124="F",SUMIF(C2:C170,C124,AS2:AS170)&gt;1),1,"")))</f>
        <v/>
      </c>
      <c r="AW124" s="462">
        <f>SUMIF(C2:C170,C124,O2:O170)</f>
        <v>1</v>
      </c>
      <c r="AX124" s="462">
        <f>IF(AND(M124="F",AS124&lt;&gt;0),SUMIF(C2:C170,C124,W2:W170),0)</f>
        <v>52228.800000000003</v>
      </c>
      <c r="AY124" s="462">
        <f t="shared" si="19"/>
        <v>52228.800000000003</v>
      </c>
      <c r="AZ124" s="462" t="str">
        <f t="shared" si="20"/>
        <v/>
      </c>
      <c r="BA124" s="462">
        <f t="shared" si="21"/>
        <v>0</v>
      </c>
      <c r="BB124" s="462">
        <f>IF(AND(AT124=1,AK124="E",AU124&gt;=0.75,AW124=1),Health,IF(AND(AT124=1,AK124="E",AU124&gt;=0.75),Health*P124,IF(AND(AT124=1,AK124="E",AU124&gt;=0.5,AW124=1),PTHealth,IF(AND(AT124=1,AK124="E",AU124&gt;=0.5),PTHealth*P124,0))))</f>
        <v>11650</v>
      </c>
      <c r="BC124" s="462">
        <f>IF(AND(AT124=3,AK124="E",AV124&gt;=0.75,AW124=1),Health,IF(AND(AT124=3,AK124="E",AV124&gt;=0.75),Health*P124,IF(AND(AT124=3,AK124="E",AV124&gt;=0.5,AW124=1),PTHealth,IF(AND(AT124=3,AK124="E",AV124&gt;=0.5),PTHealth*P124,0))))</f>
        <v>0</v>
      </c>
      <c r="BD124" s="462">
        <f>IF(AND(AT124&lt;&gt;0,AX124&gt;=MAXSSDI),SSDI*MAXSSDI*P124,IF(AT124&lt;&gt;0,SSDI*W124,0))</f>
        <v>3238.1856000000002</v>
      </c>
      <c r="BE124" s="462">
        <f>IF(AT124&lt;&gt;0,SSHI*W124,0)</f>
        <v>757.31760000000008</v>
      </c>
      <c r="BF124" s="462">
        <f>IF(AND(AT124&lt;&gt;0,AN124&lt;&gt;"NE"),VLOOKUP(AN124,Retirement_Rates,3,FALSE)*W124,0)</f>
        <v>6236.1187200000004</v>
      </c>
      <c r="BG124" s="462">
        <f>IF(AND(AT124&lt;&gt;0,AJ124&lt;&gt;"PF"),Life*W124,0)</f>
        <v>376.56964800000003</v>
      </c>
      <c r="BH124" s="462">
        <f>IF(AND(AT124&lt;&gt;0,AM124="Y"),UI*W124,0)</f>
        <v>255.92112</v>
      </c>
      <c r="BI124" s="462">
        <f>IF(AND(AT124&lt;&gt;0,N124&lt;&gt;"NR"),DHR*W124,0)</f>
        <v>289.34755200000001</v>
      </c>
      <c r="BJ124" s="462">
        <f>IF(AT124&lt;&gt;0,WC*W124,0)</f>
        <v>104.45760000000001</v>
      </c>
      <c r="BK124" s="462">
        <f>IF(OR(AND(AT124&lt;&gt;0,AJ124&lt;&gt;"PF",AN124&lt;&gt;"NE",AG124&lt;&gt;"A"),AND(AL124="E",OR(AT124=1,AT124=3))),Sick*W124,0)</f>
        <v>0</v>
      </c>
      <c r="BL124" s="462">
        <f t="shared" si="22"/>
        <v>11257.917840000002</v>
      </c>
      <c r="BM124" s="462">
        <f t="shared" si="23"/>
        <v>0</v>
      </c>
      <c r="BN124" s="462">
        <f>IF(AND(AT124=1,AK124="E",AU124&gt;=0.75,AW124=1),HealthBY,IF(AND(AT124=1,AK124="E",AU124&gt;=0.75),HealthBY*P124,IF(AND(AT124=1,AK124="E",AU124&gt;=0.5,AW124=1),PTHealthBY,IF(AND(AT124=1,AK124="E",AU124&gt;=0.5),PTHealthBY*P124,0))))</f>
        <v>11650</v>
      </c>
      <c r="BO124" s="462">
        <f>IF(AND(AT124=3,AK124="E",AV124&gt;=0.75,AW124=1),HealthBY,IF(AND(AT124=3,AK124="E",AV124&gt;=0.75),HealthBY*P124,IF(AND(AT124=3,AK124="E",AV124&gt;=0.5,AW124=1),PTHealthBY,IF(AND(AT124=3,AK124="E",AV124&gt;=0.5),PTHealthBY*P124,0))))</f>
        <v>0</v>
      </c>
      <c r="BP124" s="462">
        <f>IF(AND(AT124&lt;&gt;0,(AX124+BA124)&gt;=MAXSSDIBY),SSDIBY*MAXSSDIBY*P124,IF(AT124&lt;&gt;0,SSDIBY*W124,0))</f>
        <v>3238.1856000000002</v>
      </c>
      <c r="BQ124" s="462">
        <f>IF(AT124&lt;&gt;0,SSHIBY*W124,0)</f>
        <v>757.31760000000008</v>
      </c>
      <c r="BR124" s="462">
        <f>IF(AND(AT124&lt;&gt;0,AN124&lt;&gt;"NE"),VLOOKUP(AN124,Retirement_Rates,4,FALSE)*W124,0)</f>
        <v>6236.1187200000004</v>
      </c>
      <c r="BS124" s="462">
        <f>IF(AND(AT124&lt;&gt;0,AJ124&lt;&gt;"PF"),LifeBY*W124,0)</f>
        <v>376.56964800000003</v>
      </c>
      <c r="BT124" s="462">
        <f>IF(AND(AT124&lt;&gt;0,AM124="Y"),UIBY*W124,0)</f>
        <v>0</v>
      </c>
      <c r="BU124" s="462">
        <f>IF(AND(AT124&lt;&gt;0,N124&lt;&gt;"NR"),DHRBY*W124,0)</f>
        <v>289.34755200000001</v>
      </c>
      <c r="BV124" s="462">
        <f>IF(AT124&lt;&gt;0,WCBY*W124,0)</f>
        <v>88.788960000000003</v>
      </c>
      <c r="BW124" s="462">
        <f>IF(OR(AND(AT124&lt;&gt;0,AJ124&lt;&gt;"PF",AN124&lt;&gt;"NE",AG124&lt;&gt;"A"),AND(AL124="E",OR(AT124=1,AT124=3))),SickBY*W124,0)</f>
        <v>0</v>
      </c>
      <c r="BX124" s="462">
        <f t="shared" si="24"/>
        <v>10986.328080000001</v>
      </c>
      <c r="BY124" s="462">
        <f t="shared" si="25"/>
        <v>0</v>
      </c>
      <c r="BZ124" s="462">
        <f t="shared" si="26"/>
        <v>0</v>
      </c>
      <c r="CA124" s="462">
        <f t="shared" si="27"/>
        <v>0</v>
      </c>
      <c r="CB124" s="462">
        <f t="shared" si="28"/>
        <v>0</v>
      </c>
      <c r="CC124" s="462">
        <f>IF(AT124&lt;&gt;0,SSHICHG*Y124,0)</f>
        <v>0</v>
      </c>
      <c r="CD124" s="462">
        <f>IF(AND(AT124&lt;&gt;0,AN124&lt;&gt;"NE"),VLOOKUP(AN124,Retirement_Rates,5,FALSE)*Y124,0)</f>
        <v>0</v>
      </c>
      <c r="CE124" s="462">
        <f>IF(AND(AT124&lt;&gt;0,AJ124&lt;&gt;"PF"),LifeCHG*Y124,0)</f>
        <v>0</v>
      </c>
      <c r="CF124" s="462">
        <f>IF(AND(AT124&lt;&gt;0,AM124="Y"),UICHG*Y124,0)</f>
        <v>-255.92112</v>
      </c>
      <c r="CG124" s="462">
        <f>IF(AND(AT124&lt;&gt;0,N124&lt;&gt;"NR"),DHRCHG*Y124,0)</f>
        <v>0</v>
      </c>
      <c r="CH124" s="462">
        <f>IF(AT124&lt;&gt;0,WCCHG*Y124,0)</f>
        <v>-15.668640000000009</v>
      </c>
      <c r="CI124" s="462">
        <f>IF(OR(AND(AT124&lt;&gt;0,AJ124&lt;&gt;"PF",AN124&lt;&gt;"NE",AG124&lt;&gt;"A"),AND(AL124="E",OR(AT124=1,AT124=3))),SickCHG*Y124,0)</f>
        <v>0</v>
      </c>
      <c r="CJ124" s="462">
        <f t="shared" si="29"/>
        <v>-271.58976000000001</v>
      </c>
      <c r="CK124" s="462" t="str">
        <f t="shared" si="30"/>
        <v/>
      </c>
      <c r="CL124" s="462" t="str">
        <f t="shared" si="31"/>
        <v/>
      </c>
      <c r="CM124" s="462" t="str">
        <f t="shared" si="32"/>
        <v/>
      </c>
      <c r="CN124" s="462" t="str">
        <f t="shared" si="33"/>
        <v>0450-38</v>
      </c>
    </row>
    <row r="125" spans="1:92" ht="15" thickBot="1" x14ac:dyDescent="0.35">
      <c r="A125" s="376" t="s">
        <v>161</v>
      </c>
      <c r="B125" s="376" t="s">
        <v>162</v>
      </c>
      <c r="C125" s="376" t="s">
        <v>648</v>
      </c>
      <c r="D125" s="376" t="s">
        <v>263</v>
      </c>
      <c r="E125" s="376" t="s">
        <v>314</v>
      </c>
      <c r="F125" s="382" t="s">
        <v>406</v>
      </c>
      <c r="G125" s="376" t="s">
        <v>167</v>
      </c>
      <c r="H125" s="378"/>
      <c r="I125" s="378"/>
      <c r="J125" s="376" t="s">
        <v>168</v>
      </c>
      <c r="K125" s="376" t="s">
        <v>321</v>
      </c>
      <c r="L125" s="376" t="s">
        <v>216</v>
      </c>
      <c r="M125" s="376" t="s">
        <v>265</v>
      </c>
      <c r="N125" s="376" t="s">
        <v>633</v>
      </c>
      <c r="O125" s="379">
        <v>0</v>
      </c>
      <c r="P125" s="460">
        <v>1</v>
      </c>
      <c r="Q125" s="460">
        <v>0</v>
      </c>
      <c r="R125" s="380">
        <v>0</v>
      </c>
      <c r="S125" s="460">
        <v>0</v>
      </c>
      <c r="T125" s="380">
        <v>10164</v>
      </c>
      <c r="U125" s="380">
        <v>0</v>
      </c>
      <c r="V125" s="380">
        <v>4426.4799999999996</v>
      </c>
      <c r="W125" s="380">
        <v>10164</v>
      </c>
      <c r="X125" s="380">
        <v>4426.4799999999996</v>
      </c>
      <c r="Y125" s="380">
        <v>10164</v>
      </c>
      <c r="Z125" s="380">
        <v>4426.4799999999996</v>
      </c>
      <c r="AA125" s="378"/>
      <c r="AB125" s="378"/>
      <c r="AC125" s="378"/>
      <c r="AD125" s="378"/>
      <c r="AE125" s="378"/>
      <c r="AF125" s="378"/>
      <c r="AG125" s="378"/>
      <c r="AH125" s="379">
        <v>0</v>
      </c>
      <c r="AI125" s="379">
        <v>0</v>
      </c>
      <c r="AJ125" s="378"/>
      <c r="AK125" s="378"/>
      <c r="AL125" s="376" t="s">
        <v>181</v>
      </c>
      <c r="AM125" s="378"/>
      <c r="AN125" s="378"/>
      <c r="AO125" s="379">
        <v>0</v>
      </c>
      <c r="AP125" s="460">
        <v>0</v>
      </c>
      <c r="AQ125" s="460">
        <v>0</v>
      </c>
      <c r="AR125" s="459"/>
      <c r="AS125" s="462">
        <f t="shared" si="17"/>
        <v>0</v>
      </c>
      <c r="AT125">
        <f t="shared" si="18"/>
        <v>0</v>
      </c>
      <c r="AU125" s="462" t="str">
        <f>IF(AT125=0,"",IF(AND(AT125=1,M125="F",SUMIF(C2:C170,C125,AS2:AS170)&lt;=1),SUMIF(C2:C170,C125,AS2:AS170),IF(AND(AT125=1,M125="F",SUMIF(C2:C170,C125,AS2:AS170)&gt;1),1,"")))</f>
        <v/>
      </c>
      <c r="AV125" s="462" t="str">
        <f>IF(AT125=0,"",IF(AND(AT125=3,M125="F",SUMIF(C2:C170,C125,AS2:AS170)&lt;=1),SUMIF(C2:C170,C125,AS2:AS170),IF(AND(AT125=3,M125="F",SUMIF(C2:C170,C125,AS2:AS170)&gt;1),1,"")))</f>
        <v/>
      </c>
      <c r="AW125" s="462">
        <f>SUMIF(C2:C170,C125,O2:O170)</f>
        <v>0</v>
      </c>
      <c r="AX125" s="462">
        <f>IF(AND(M125="F",AS125&lt;&gt;0),SUMIF(C2:C170,C125,W2:W170),0)</f>
        <v>0</v>
      </c>
      <c r="AY125" s="462" t="str">
        <f t="shared" si="19"/>
        <v/>
      </c>
      <c r="AZ125" s="462" t="str">
        <f t="shared" si="20"/>
        <v/>
      </c>
      <c r="BA125" s="462">
        <f t="shared" si="21"/>
        <v>0</v>
      </c>
      <c r="BB125" s="462">
        <f>IF(AND(AT125=1,AK125="E",AU125&gt;=0.75,AW125=1),Health,IF(AND(AT125=1,AK125="E",AU125&gt;=0.75),Health*P125,IF(AND(AT125=1,AK125="E",AU125&gt;=0.5,AW125=1),PTHealth,IF(AND(AT125=1,AK125="E",AU125&gt;=0.5),PTHealth*P125,0))))</f>
        <v>0</v>
      </c>
      <c r="BC125" s="462">
        <f>IF(AND(AT125=3,AK125="E",AV125&gt;=0.75,AW125=1),Health,IF(AND(AT125=3,AK125="E",AV125&gt;=0.75),Health*P125,IF(AND(AT125=3,AK125="E",AV125&gt;=0.5,AW125=1),PTHealth,IF(AND(AT125=3,AK125="E",AV125&gt;=0.5),PTHealth*P125,0))))</f>
        <v>0</v>
      </c>
      <c r="BD125" s="462">
        <f>IF(AND(AT125&lt;&gt;0,AX125&gt;=MAXSSDI),SSDI*MAXSSDI*P125,IF(AT125&lt;&gt;0,SSDI*W125,0))</f>
        <v>0</v>
      </c>
      <c r="BE125" s="462">
        <f>IF(AT125&lt;&gt;0,SSHI*W125,0)</f>
        <v>0</v>
      </c>
      <c r="BF125" s="462">
        <f>IF(AND(AT125&lt;&gt;0,AN125&lt;&gt;"NE"),VLOOKUP(AN125,Retirement_Rates,3,FALSE)*W125,0)</f>
        <v>0</v>
      </c>
      <c r="BG125" s="462">
        <f>IF(AND(AT125&lt;&gt;0,AJ125&lt;&gt;"PF"),Life*W125,0)</f>
        <v>0</v>
      </c>
      <c r="BH125" s="462">
        <f>IF(AND(AT125&lt;&gt;0,AM125="Y"),UI*W125,0)</f>
        <v>0</v>
      </c>
      <c r="BI125" s="462">
        <f>IF(AND(AT125&lt;&gt;0,N125&lt;&gt;"NR"),DHR*W125,0)</f>
        <v>0</v>
      </c>
      <c r="BJ125" s="462">
        <f>IF(AT125&lt;&gt;0,WC*W125,0)</f>
        <v>0</v>
      </c>
      <c r="BK125" s="462">
        <f>IF(OR(AND(AT125&lt;&gt;0,AJ125&lt;&gt;"PF",AN125&lt;&gt;"NE",AG125&lt;&gt;"A"),AND(AL125="E",OR(AT125=1,AT125=3))),Sick*W125,0)</f>
        <v>0</v>
      </c>
      <c r="BL125" s="462">
        <f t="shared" si="22"/>
        <v>0</v>
      </c>
      <c r="BM125" s="462">
        <f t="shared" si="23"/>
        <v>0</v>
      </c>
      <c r="BN125" s="462">
        <f>IF(AND(AT125=1,AK125="E",AU125&gt;=0.75,AW125=1),HealthBY,IF(AND(AT125=1,AK125="E",AU125&gt;=0.75),HealthBY*P125,IF(AND(AT125=1,AK125="E",AU125&gt;=0.5,AW125=1),PTHealthBY,IF(AND(AT125=1,AK125="E",AU125&gt;=0.5),PTHealthBY*P125,0))))</f>
        <v>0</v>
      </c>
      <c r="BO125" s="462">
        <f>IF(AND(AT125=3,AK125="E",AV125&gt;=0.75,AW125=1),HealthBY,IF(AND(AT125=3,AK125="E",AV125&gt;=0.75),HealthBY*P125,IF(AND(AT125=3,AK125="E",AV125&gt;=0.5,AW125=1),PTHealthBY,IF(AND(AT125=3,AK125="E",AV125&gt;=0.5),PTHealthBY*P125,0))))</f>
        <v>0</v>
      </c>
      <c r="BP125" s="462">
        <f>IF(AND(AT125&lt;&gt;0,(AX125+BA125)&gt;=MAXSSDIBY),SSDIBY*MAXSSDIBY*P125,IF(AT125&lt;&gt;0,SSDIBY*W125,0))</f>
        <v>0</v>
      </c>
      <c r="BQ125" s="462">
        <f>IF(AT125&lt;&gt;0,SSHIBY*W125,0)</f>
        <v>0</v>
      </c>
      <c r="BR125" s="462">
        <f>IF(AND(AT125&lt;&gt;0,AN125&lt;&gt;"NE"),VLOOKUP(AN125,Retirement_Rates,4,FALSE)*W125,0)</f>
        <v>0</v>
      </c>
      <c r="BS125" s="462">
        <f>IF(AND(AT125&lt;&gt;0,AJ125&lt;&gt;"PF"),LifeBY*W125,0)</f>
        <v>0</v>
      </c>
      <c r="BT125" s="462">
        <f>IF(AND(AT125&lt;&gt;0,AM125="Y"),UIBY*W125,0)</f>
        <v>0</v>
      </c>
      <c r="BU125" s="462">
        <f>IF(AND(AT125&lt;&gt;0,N125&lt;&gt;"NR"),DHRBY*W125,0)</f>
        <v>0</v>
      </c>
      <c r="BV125" s="462">
        <f>IF(AT125&lt;&gt;0,WCBY*W125,0)</f>
        <v>0</v>
      </c>
      <c r="BW125" s="462">
        <f>IF(OR(AND(AT125&lt;&gt;0,AJ125&lt;&gt;"PF",AN125&lt;&gt;"NE",AG125&lt;&gt;"A"),AND(AL125="E",OR(AT125=1,AT125=3))),SickBY*W125,0)</f>
        <v>0</v>
      </c>
      <c r="BX125" s="462">
        <f t="shared" si="24"/>
        <v>0</v>
      </c>
      <c r="BY125" s="462">
        <f t="shared" si="25"/>
        <v>0</v>
      </c>
      <c r="BZ125" s="462">
        <f t="shared" si="26"/>
        <v>0</v>
      </c>
      <c r="CA125" s="462">
        <f t="shared" si="27"/>
        <v>0</v>
      </c>
      <c r="CB125" s="462">
        <f t="shared" si="28"/>
        <v>0</v>
      </c>
      <c r="CC125" s="462">
        <f>IF(AT125&lt;&gt;0,SSHICHG*Y125,0)</f>
        <v>0</v>
      </c>
      <c r="CD125" s="462">
        <f>IF(AND(AT125&lt;&gt;0,AN125&lt;&gt;"NE"),VLOOKUP(AN125,Retirement_Rates,5,FALSE)*Y125,0)</f>
        <v>0</v>
      </c>
      <c r="CE125" s="462">
        <f>IF(AND(AT125&lt;&gt;0,AJ125&lt;&gt;"PF"),LifeCHG*Y125,0)</f>
        <v>0</v>
      </c>
      <c r="CF125" s="462">
        <f>IF(AND(AT125&lt;&gt;0,AM125="Y"),UICHG*Y125,0)</f>
        <v>0</v>
      </c>
      <c r="CG125" s="462">
        <f>IF(AND(AT125&lt;&gt;0,N125&lt;&gt;"NR"),DHRCHG*Y125,0)</f>
        <v>0</v>
      </c>
      <c r="CH125" s="462">
        <f>IF(AT125&lt;&gt;0,WCCHG*Y125,0)</f>
        <v>0</v>
      </c>
      <c r="CI125" s="462">
        <f>IF(OR(AND(AT125&lt;&gt;0,AJ125&lt;&gt;"PF",AN125&lt;&gt;"NE",AG125&lt;&gt;"A"),AND(AL125="E",OR(AT125=1,AT125=3))),SickCHG*Y125,0)</f>
        <v>0</v>
      </c>
      <c r="CJ125" s="462">
        <f t="shared" si="29"/>
        <v>0</v>
      </c>
      <c r="CK125" s="462" t="str">
        <f t="shared" si="30"/>
        <v/>
      </c>
      <c r="CL125" s="462">
        <f t="shared" si="31"/>
        <v>10164</v>
      </c>
      <c r="CM125" s="462">
        <f t="shared" si="32"/>
        <v>4426.4799999999996</v>
      </c>
      <c r="CN125" s="462" t="str">
        <f t="shared" si="33"/>
        <v>0450-38</v>
      </c>
    </row>
    <row r="126" spans="1:92" ht="15" thickBot="1" x14ac:dyDescent="0.35">
      <c r="A126" s="376" t="s">
        <v>161</v>
      </c>
      <c r="B126" s="376" t="s">
        <v>162</v>
      </c>
      <c r="C126" s="376" t="s">
        <v>649</v>
      </c>
      <c r="D126" s="376" t="s">
        <v>356</v>
      </c>
      <c r="E126" s="376" t="s">
        <v>314</v>
      </c>
      <c r="F126" s="382" t="s">
        <v>406</v>
      </c>
      <c r="G126" s="376" t="s">
        <v>167</v>
      </c>
      <c r="H126" s="378"/>
      <c r="I126" s="378"/>
      <c r="J126" s="376" t="s">
        <v>168</v>
      </c>
      <c r="K126" s="376" t="s">
        <v>358</v>
      </c>
      <c r="L126" s="376" t="s">
        <v>176</v>
      </c>
      <c r="M126" s="376" t="s">
        <v>171</v>
      </c>
      <c r="N126" s="376" t="s">
        <v>172</v>
      </c>
      <c r="O126" s="379">
        <v>1</v>
      </c>
      <c r="P126" s="460">
        <v>1</v>
      </c>
      <c r="Q126" s="460">
        <v>1</v>
      </c>
      <c r="R126" s="380">
        <v>80</v>
      </c>
      <c r="S126" s="460">
        <v>1</v>
      </c>
      <c r="T126" s="380">
        <v>55506.64</v>
      </c>
      <c r="U126" s="380">
        <v>0</v>
      </c>
      <c r="V126" s="380">
        <v>24129.68</v>
      </c>
      <c r="W126" s="380">
        <v>54683.199999999997</v>
      </c>
      <c r="X126" s="380">
        <v>23436.92</v>
      </c>
      <c r="Y126" s="380">
        <v>54683.199999999997</v>
      </c>
      <c r="Z126" s="380">
        <v>23152.58</v>
      </c>
      <c r="AA126" s="376" t="s">
        <v>650</v>
      </c>
      <c r="AB126" s="376" t="s">
        <v>651</v>
      </c>
      <c r="AC126" s="376" t="s">
        <v>652</v>
      </c>
      <c r="AD126" s="376" t="s">
        <v>334</v>
      </c>
      <c r="AE126" s="376" t="s">
        <v>358</v>
      </c>
      <c r="AF126" s="376" t="s">
        <v>190</v>
      </c>
      <c r="AG126" s="376" t="s">
        <v>178</v>
      </c>
      <c r="AH126" s="381">
        <v>26.29</v>
      </c>
      <c r="AI126" s="381">
        <v>9008.1</v>
      </c>
      <c r="AJ126" s="376" t="s">
        <v>179</v>
      </c>
      <c r="AK126" s="376" t="s">
        <v>180</v>
      </c>
      <c r="AL126" s="376" t="s">
        <v>181</v>
      </c>
      <c r="AM126" s="376" t="s">
        <v>182</v>
      </c>
      <c r="AN126" s="376" t="s">
        <v>68</v>
      </c>
      <c r="AO126" s="379">
        <v>80</v>
      </c>
      <c r="AP126" s="460">
        <v>1</v>
      </c>
      <c r="AQ126" s="460">
        <v>1</v>
      </c>
      <c r="AR126" s="458" t="s">
        <v>183</v>
      </c>
      <c r="AS126" s="462">
        <f t="shared" si="17"/>
        <v>1</v>
      </c>
      <c r="AT126">
        <f t="shared" si="18"/>
        <v>1</v>
      </c>
      <c r="AU126" s="462">
        <f>IF(AT126=0,"",IF(AND(AT126=1,M126="F",SUMIF(C2:C170,C126,AS2:AS170)&lt;=1),SUMIF(C2:C170,C126,AS2:AS170),IF(AND(AT126=1,M126="F",SUMIF(C2:C170,C126,AS2:AS170)&gt;1),1,"")))</f>
        <v>1</v>
      </c>
      <c r="AV126" s="462" t="str">
        <f>IF(AT126=0,"",IF(AND(AT126=3,M126="F",SUMIF(C2:C170,C126,AS2:AS170)&lt;=1),SUMIF(C2:C170,C126,AS2:AS170),IF(AND(AT126=3,M126="F",SUMIF(C2:C170,C126,AS2:AS170)&gt;1),1,"")))</f>
        <v/>
      </c>
      <c r="AW126" s="462">
        <f>SUMIF(C2:C170,C126,O2:O170)</f>
        <v>1</v>
      </c>
      <c r="AX126" s="462">
        <f>IF(AND(M126="F",AS126&lt;&gt;0),SUMIF(C2:C170,C126,W2:W170),0)</f>
        <v>54683.199999999997</v>
      </c>
      <c r="AY126" s="462">
        <f t="shared" si="19"/>
        <v>54683.199999999997</v>
      </c>
      <c r="AZ126" s="462" t="str">
        <f t="shared" si="20"/>
        <v/>
      </c>
      <c r="BA126" s="462">
        <f t="shared" si="21"/>
        <v>0</v>
      </c>
      <c r="BB126" s="462">
        <f>IF(AND(AT126=1,AK126="E",AU126&gt;=0.75,AW126=1),Health,IF(AND(AT126=1,AK126="E",AU126&gt;=0.75),Health*P126,IF(AND(AT126=1,AK126="E",AU126&gt;=0.5,AW126=1),PTHealth,IF(AND(AT126=1,AK126="E",AU126&gt;=0.5),PTHealth*P126,0))))</f>
        <v>11650</v>
      </c>
      <c r="BC126" s="462">
        <f>IF(AND(AT126=3,AK126="E",AV126&gt;=0.75,AW126=1),Health,IF(AND(AT126=3,AK126="E",AV126&gt;=0.75),Health*P126,IF(AND(AT126=3,AK126="E",AV126&gt;=0.5,AW126=1),PTHealth,IF(AND(AT126=3,AK126="E",AV126&gt;=0.5),PTHealth*P126,0))))</f>
        <v>0</v>
      </c>
      <c r="BD126" s="462">
        <f>IF(AND(AT126&lt;&gt;0,AX126&gt;=MAXSSDI),SSDI*MAXSSDI*P126,IF(AT126&lt;&gt;0,SSDI*W126,0))</f>
        <v>3390.3583999999996</v>
      </c>
      <c r="BE126" s="462">
        <f>IF(AT126&lt;&gt;0,SSHI*W126,0)</f>
        <v>792.90639999999996</v>
      </c>
      <c r="BF126" s="462">
        <f>IF(AND(AT126&lt;&gt;0,AN126&lt;&gt;"NE"),VLOOKUP(AN126,Retirement_Rates,3,FALSE)*W126,0)</f>
        <v>6529.1740799999998</v>
      </c>
      <c r="BG126" s="462">
        <f>IF(AND(AT126&lt;&gt;0,AJ126&lt;&gt;"PF"),Life*W126,0)</f>
        <v>394.265872</v>
      </c>
      <c r="BH126" s="462">
        <f>IF(AND(AT126&lt;&gt;0,AM126="Y"),UI*W126,0)</f>
        <v>267.94767999999999</v>
      </c>
      <c r="BI126" s="462">
        <f>IF(AND(AT126&lt;&gt;0,N126&lt;&gt;"NR"),DHR*W126,0)</f>
        <v>302.94492799999995</v>
      </c>
      <c r="BJ126" s="462">
        <f>IF(AT126&lt;&gt;0,WC*W126,0)</f>
        <v>109.3664</v>
      </c>
      <c r="BK126" s="462">
        <f>IF(OR(AND(AT126&lt;&gt;0,AJ126&lt;&gt;"PF",AN126&lt;&gt;"NE",AG126&lt;&gt;"A"),AND(AL126="E",OR(AT126=1,AT126=3))),Sick*W126,0)</f>
        <v>0</v>
      </c>
      <c r="BL126" s="462">
        <f t="shared" si="22"/>
        <v>11786.963760000001</v>
      </c>
      <c r="BM126" s="462">
        <f t="shared" si="23"/>
        <v>0</v>
      </c>
      <c r="BN126" s="462">
        <f>IF(AND(AT126=1,AK126="E",AU126&gt;=0.75,AW126=1),HealthBY,IF(AND(AT126=1,AK126="E",AU126&gt;=0.75),HealthBY*P126,IF(AND(AT126=1,AK126="E",AU126&gt;=0.5,AW126=1),PTHealthBY,IF(AND(AT126=1,AK126="E",AU126&gt;=0.5),PTHealthBY*P126,0))))</f>
        <v>11650</v>
      </c>
      <c r="BO126" s="462">
        <f>IF(AND(AT126=3,AK126="E",AV126&gt;=0.75,AW126=1),HealthBY,IF(AND(AT126=3,AK126="E",AV126&gt;=0.75),HealthBY*P126,IF(AND(AT126=3,AK126="E",AV126&gt;=0.5,AW126=1),PTHealthBY,IF(AND(AT126=3,AK126="E",AV126&gt;=0.5),PTHealthBY*P126,0))))</f>
        <v>0</v>
      </c>
      <c r="BP126" s="462">
        <f>IF(AND(AT126&lt;&gt;0,(AX126+BA126)&gt;=MAXSSDIBY),SSDIBY*MAXSSDIBY*P126,IF(AT126&lt;&gt;0,SSDIBY*W126,0))</f>
        <v>3390.3583999999996</v>
      </c>
      <c r="BQ126" s="462">
        <f>IF(AT126&lt;&gt;0,SSHIBY*W126,0)</f>
        <v>792.90639999999996</v>
      </c>
      <c r="BR126" s="462">
        <f>IF(AND(AT126&lt;&gt;0,AN126&lt;&gt;"NE"),VLOOKUP(AN126,Retirement_Rates,4,FALSE)*W126,0)</f>
        <v>6529.1740799999998</v>
      </c>
      <c r="BS126" s="462">
        <f>IF(AND(AT126&lt;&gt;0,AJ126&lt;&gt;"PF"),LifeBY*W126,0)</f>
        <v>394.265872</v>
      </c>
      <c r="BT126" s="462">
        <f>IF(AND(AT126&lt;&gt;0,AM126="Y"),UIBY*W126,0)</f>
        <v>0</v>
      </c>
      <c r="BU126" s="462">
        <f>IF(AND(AT126&lt;&gt;0,N126&lt;&gt;"NR"),DHRBY*W126,0)</f>
        <v>302.94492799999995</v>
      </c>
      <c r="BV126" s="462">
        <f>IF(AT126&lt;&gt;0,WCBY*W126,0)</f>
        <v>92.961439999999996</v>
      </c>
      <c r="BW126" s="462">
        <f>IF(OR(AND(AT126&lt;&gt;0,AJ126&lt;&gt;"PF",AN126&lt;&gt;"NE",AG126&lt;&gt;"A"),AND(AL126="E",OR(AT126=1,AT126=3))),SickBY*W126,0)</f>
        <v>0</v>
      </c>
      <c r="BX126" s="462">
        <f t="shared" si="24"/>
        <v>11502.61112</v>
      </c>
      <c r="BY126" s="462">
        <f t="shared" si="25"/>
        <v>0</v>
      </c>
      <c r="BZ126" s="462">
        <f t="shared" si="26"/>
        <v>0</v>
      </c>
      <c r="CA126" s="462">
        <f t="shared" si="27"/>
        <v>0</v>
      </c>
      <c r="CB126" s="462">
        <f t="shared" si="28"/>
        <v>0</v>
      </c>
      <c r="CC126" s="462">
        <f>IF(AT126&lt;&gt;0,SSHICHG*Y126,0)</f>
        <v>0</v>
      </c>
      <c r="CD126" s="462">
        <f>IF(AND(AT126&lt;&gt;0,AN126&lt;&gt;"NE"),VLOOKUP(AN126,Retirement_Rates,5,FALSE)*Y126,0)</f>
        <v>0</v>
      </c>
      <c r="CE126" s="462">
        <f>IF(AND(AT126&lt;&gt;0,AJ126&lt;&gt;"PF"),LifeCHG*Y126,0)</f>
        <v>0</v>
      </c>
      <c r="CF126" s="462">
        <f>IF(AND(AT126&lt;&gt;0,AM126="Y"),UICHG*Y126,0)</f>
        <v>-267.94767999999999</v>
      </c>
      <c r="CG126" s="462">
        <f>IF(AND(AT126&lt;&gt;0,N126&lt;&gt;"NR"),DHRCHG*Y126,0)</f>
        <v>0</v>
      </c>
      <c r="CH126" s="462">
        <f>IF(AT126&lt;&gt;0,WCCHG*Y126,0)</f>
        <v>-16.404960000000006</v>
      </c>
      <c r="CI126" s="462">
        <f>IF(OR(AND(AT126&lt;&gt;0,AJ126&lt;&gt;"PF",AN126&lt;&gt;"NE",AG126&lt;&gt;"A"),AND(AL126="E",OR(AT126=1,AT126=3))),SickCHG*Y126,0)</f>
        <v>0</v>
      </c>
      <c r="CJ126" s="462">
        <f t="shared" si="29"/>
        <v>-284.35264000000001</v>
      </c>
      <c r="CK126" s="462" t="str">
        <f t="shared" si="30"/>
        <v/>
      </c>
      <c r="CL126" s="462" t="str">
        <f t="shared" si="31"/>
        <v/>
      </c>
      <c r="CM126" s="462" t="str">
        <f t="shared" si="32"/>
        <v/>
      </c>
      <c r="CN126" s="462" t="str">
        <f t="shared" si="33"/>
        <v>0450-38</v>
      </c>
    </row>
    <row r="127" spans="1:92" ht="15" thickBot="1" x14ac:dyDescent="0.35">
      <c r="A127" s="376" t="s">
        <v>161</v>
      </c>
      <c r="B127" s="376" t="s">
        <v>162</v>
      </c>
      <c r="C127" s="376" t="s">
        <v>201</v>
      </c>
      <c r="D127" s="376" t="s">
        <v>202</v>
      </c>
      <c r="E127" s="376" t="s">
        <v>314</v>
      </c>
      <c r="F127" s="382" t="s">
        <v>406</v>
      </c>
      <c r="G127" s="376" t="s">
        <v>167</v>
      </c>
      <c r="H127" s="378"/>
      <c r="I127" s="378"/>
      <c r="J127" s="376" t="s">
        <v>168</v>
      </c>
      <c r="K127" s="376" t="s">
        <v>203</v>
      </c>
      <c r="L127" s="376" t="s">
        <v>204</v>
      </c>
      <c r="M127" s="376" t="s">
        <v>171</v>
      </c>
      <c r="N127" s="376" t="s">
        <v>172</v>
      </c>
      <c r="O127" s="379">
        <v>1</v>
      </c>
      <c r="P127" s="460">
        <v>1</v>
      </c>
      <c r="Q127" s="460">
        <v>1</v>
      </c>
      <c r="R127" s="380">
        <v>80</v>
      </c>
      <c r="S127" s="460">
        <v>1</v>
      </c>
      <c r="T127" s="380">
        <v>14412.8</v>
      </c>
      <c r="U127" s="380">
        <v>0</v>
      </c>
      <c r="V127" s="380">
        <v>4942.63</v>
      </c>
      <c r="W127" s="380">
        <v>93683.199999999997</v>
      </c>
      <c r="X127" s="380">
        <v>31843.37</v>
      </c>
      <c r="Y127" s="380">
        <v>93683.199999999997</v>
      </c>
      <c r="Z127" s="380">
        <v>31356.23</v>
      </c>
      <c r="AA127" s="376" t="s">
        <v>205</v>
      </c>
      <c r="AB127" s="376" t="s">
        <v>206</v>
      </c>
      <c r="AC127" s="376" t="s">
        <v>207</v>
      </c>
      <c r="AD127" s="376" t="s">
        <v>208</v>
      </c>
      <c r="AE127" s="376" t="s">
        <v>203</v>
      </c>
      <c r="AF127" s="376" t="s">
        <v>209</v>
      </c>
      <c r="AG127" s="376" t="s">
        <v>178</v>
      </c>
      <c r="AH127" s="381">
        <v>45.04</v>
      </c>
      <c r="AI127" s="379">
        <v>8893</v>
      </c>
      <c r="AJ127" s="376" t="s">
        <v>179</v>
      </c>
      <c r="AK127" s="376" t="s">
        <v>180</v>
      </c>
      <c r="AL127" s="376" t="s">
        <v>181</v>
      </c>
      <c r="AM127" s="376" t="s">
        <v>182</v>
      </c>
      <c r="AN127" s="376" t="s">
        <v>68</v>
      </c>
      <c r="AO127" s="379">
        <v>80</v>
      </c>
      <c r="AP127" s="460">
        <v>1</v>
      </c>
      <c r="AQ127" s="460">
        <v>1</v>
      </c>
      <c r="AR127" s="458" t="s">
        <v>183</v>
      </c>
      <c r="AS127" s="462">
        <f t="shared" si="17"/>
        <v>1</v>
      </c>
      <c r="AT127">
        <f t="shared" si="18"/>
        <v>1</v>
      </c>
      <c r="AU127" s="462">
        <f>IF(AT127=0,"",IF(AND(AT127=1,M127="F",SUMIF(C2:C170,C127,AS2:AS170)&lt;=1),SUMIF(C2:C170,C127,AS2:AS170),IF(AND(AT127=1,M127="F",SUMIF(C2:C170,C127,AS2:AS170)&gt;1),1,"")))</f>
        <v>1</v>
      </c>
      <c r="AV127" s="462" t="str">
        <f>IF(AT127=0,"",IF(AND(AT127=3,M127="F",SUMIF(C2:C170,C127,AS2:AS170)&lt;=1),SUMIF(C2:C170,C127,AS2:AS170),IF(AND(AT127=3,M127="F",SUMIF(C2:C170,C127,AS2:AS170)&gt;1),1,"")))</f>
        <v/>
      </c>
      <c r="AW127" s="462">
        <f>SUMIF(C2:C170,C127,O2:O170)</f>
        <v>2</v>
      </c>
      <c r="AX127" s="462">
        <f>IF(AND(M127="F",AS127&lt;&gt;0),SUMIF(C2:C170,C127,W2:W170),0)</f>
        <v>93683.199999999997</v>
      </c>
      <c r="AY127" s="462">
        <f t="shared" si="19"/>
        <v>93683.199999999997</v>
      </c>
      <c r="AZ127" s="462" t="str">
        <f t="shared" si="20"/>
        <v/>
      </c>
      <c r="BA127" s="462">
        <f t="shared" si="21"/>
        <v>0</v>
      </c>
      <c r="BB127" s="462">
        <f>IF(AND(AT127=1,AK127="E",AU127&gt;=0.75,AW127=1),Health,IF(AND(AT127=1,AK127="E",AU127&gt;=0.75),Health*P127,IF(AND(AT127=1,AK127="E",AU127&gt;=0.5,AW127=1),PTHealth,IF(AND(AT127=1,AK127="E",AU127&gt;=0.5),PTHealth*P127,0))))</f>
        <v>11650</v>
      </c>
      <c r="BC127" s="462">
        <f>IF(AND(AT127=3,AK127="E",AV127&gt;=0.75,AW127=1),Health,IF(AND(AT127=3,AK127="E",AV127&gt;=0.75),Health*P127,IF(AND(AT127=3,AK127="E",AV127&gt;=0.5,AW127=1),PTHealth,IF(AND(AT127=3,AK127="E",AV127&gt;=0.5),PTHealth*P127,0))))</f>
        <v>0</v>
      </c>
      <c r="BD127" s="462">
        <f>IF(AND(AT127&lt;&gt;0,AX127&gt;=MAXSSDI),SSDI*MAXSSDI*P127,IF(AT127&lt;&gt;0,SSDI*W127,0))</f>
        <v>5808.3584000000001</v>
      </c>
      <c r="BE127" s="462">
        <f>IF(AT127&lt;&gt;0,SSHI*W127,0)</f>
        <v>1358.4064000000001</v>
      </c>
      <c r="BF127" s="462">
        <f>IF(AND(AT127&lt;&gt;0,AN127&lt;&gt;"NE"),VLOOKUP(AN127,Retirement_Rates,3,FALSE)*W127,0)</f>
        <v>11185.774080000001</v>
      </c>
      <c r="BG127" s="462">
        <f>IF(AND(AT127&lt;&gt;0,AJ127&lt;&gt;"PF"),Life*W127,0)</f>
        <v>675.455872</v>
      </c>
      <c r="BH127" s="462">
        <f>IF(AND(AT127&lt;&gt;0,AM127="Y"),UI*W127,0)</f>
        <v>459.04767999999996</v>
      </c>
      <c r="BI127" s="462">
        <f>IF(AND(AT127&lt;&gt;0,N127&lt;&gt;"NR"),DHR*W127,0)</f>
        <v>519.00492799999995</v>
      </c>
      <c r="BJ127" s="462">
        <f>IF(AT127&lt;&gt;0,WC*W127,0)</f>
        <v>187.3664</v>
      </c>
      <c r="BK127" s="462">
        <f>IF(OR(AND(AT127&lt;&gt;0,AJ127&lt;&gt;"PF",AN127&lt;&gt;"NE",AG127&lt;&gt;"A"),AND(AL127="E",OR(AT127=1,AT127=3))),Sick*W127,0)</f>
        <v>0</v>
      </c>
      <c r="BL127" s="462">
        <f t="shared" si="22"/>
        <v>20193.413759999996</v>
      </c>
      <c r="BM127" s="462">
        <f t="shared" si="23"/>
        <v>0</v>
      </c>
      <c r="BN127" s="462">
        <f>IF(AND(AT127=1,AK127="E",AU127&gt;=0.75,AW127=1),HealthBY,IF(AND(AT127=1,AK127="E",AU127&gt;=0.75),HealthBY*P127,IF(AND(AT127=1,AK127="E",AU127&gt;=0.5,AW127=1),PTHealthBY,IF(AND(AT127=1,AK127="E",AU127&gt;=0.5),PTHealthBY*P127,0))))</f>
        <v>11650</v>
      </c>
      <c r="BO127" s="462">
        <f>IF(AND(AT127=3,AK127="E",AV127&gt;=0.75,AW127=1),HealthBY,IF(AND(AT127=3,AK127="E",AV127&gt;=0.75),HealthBY*P127,IF(AND(AT127=3,AK127="E",AV127&gt;=0.5,AW127=1),PTHealthBY,IF(AND(AT127=3,AK127="E",AV127&gt;=0.5),PTHealthBY*P127,0))))</f>
        <v>0</v>
      </c>
      <c r="BP127" s="462">
        <f>IF(AND(AT127&lt;&gt;0,(AX127+BA127)&gt;=MAXSSDIBY),SSDIBY*MAXSSDIBY*P127,IF(AT127&lt;&gt;0,SSDIBY*W127,0))</f>
        <v>5808.3584000000001</v>
      </c>
      <c r="BQ127" s="462">
        <f>IF(AT127&lt;&gt;0,SSHIBY*W127,0)</f>
        <v>1358.4064000000001</v>
      </c>
      <c r="BR127" s="462">
        <f>IF(AND(AT127&lt;&gt;0,AN127&lt;&gt;"NE"),VLOOKUP(AN127,Retirement_Rates,4,FALSE)*W127,0)</f>
        <v>11185.774080000001</v>
      </c>
      <c r="BS127" s="462">
        <f>IF(AND(AT127&lt;&gt;0,AJ127&lt;&gt;"PF"),LifeBY*W127,0)</f>
        <v>675.455872</v>
      </c>
      <c r="BT127" s="462">
        <f>IF(AND(AT127&lt;&gt;0,AM127="Y"),UIBY*W127,0)</f>
        <v>0</v>
      </c>
      <c r="BU127" s="462">
        <f>IF(AND(AT127&lt;&gt;0,N127&lt;&gt;"NR"),DHRBY*W127,0)</f>
        <v>519.00492799999995</v>
      </c>
      <c r="BV127" s="462">
        <f>IF(AT127&lt;&gt;0,WCBY*W127,0)</f>
        <v>159.26143999999999</v>
      </c>
      <c r="BW127" s="462">
        <f>IF(OR(AND(AT127&lt;&gt;0,AJ127&lt;&gt;"PF",AN127&lt;&gt;"NE",AG127&lt;&gt;"A"),AND(AL127="E",OR(AT127=1,AT127=3))),SickBY*W127,0)</f>
        <v>0</v>
      </c>
      <c r="BX127" s="462">
        <f t="shared" si="24"/>
        <v>19706.261119999996</v>
      </c>
      <c r="BY127" s="462">
        <f t="shared" si="25"/>
        <v>0</v>
      </c>
      <c r="BZ127" s="462">
        <f t="shared" si="26"/>
        <v>0</v>
      </c>
      <c r="CA127" s="462">
        <f t="shared" si="27"/>
        <v>0</v>
      </c>
      <c r="CB127" s="462">
        <f t="shared" si="28"/>
        <v>0</v>
      </c>
      <c r="CC127" s="462">
        <f>IF(AT127&lt;&gt;0,SSHICHG*Y127,0)</f>
        <v>0</v>
      </c>
      <c r="CD127" s="462">
        <f>IF(AND(AT127&lt;&gt;0,AN127&lt;&gt;"NE"),VLOOKUP(AN127,Retirement_Rates,5,FALSE)*Y127,0)</f>
        <v>0</v>
      </c>
      <c r="CE127" s="462">
        <f>IF(AND(AT127&lt;&gt;0,AJ127&lt;&gt;"PF"),LifeCHG*Y127,0)</f>
        <v>0</v>
      </c>
      <c r="CF127" s="462">
        <f>IF(AND(AT127&lt;&gt;0,AM127="Y"),UICHG*Y127,0)</f>
        <v>-459.04767999999996</v>
      </c>
      <c r="CG127" s="462">
        <f>IF(AND(AT127&lt;&gt;0,N127&lt;&gt;"NR"),DHRCHG*Y127,0)</f>
        <v>0</v>
      </c>
      <c r="CH127" s="462">
        <f>IF(AT127&lt;&gt;0,WCCHG*Y127,0)</f>
        <v>-28.104960000000013</v>
      </c>
      <c r="CI127" s="462">
        <f>IF(OR(AND(AT127&lt;&gt;0,AJ127&lt;&gt;"PF",AN127&lt;&gt;"NE",AG127&lt;&gt;"A"),AND(AL127="E",OR(AT127=1,AT127=3))),SickCHG*Y127,0)</f>
        <v>0</v>
      </c>
      <c r="CJ127" s="462">
        <f t="shared" si="29"/>
        <v>-487.15263999999996</v>
      </c>
      <c r="CK127" s="462" t="str">
        <f t="shared" si="30"/>
        <v/>
      </c>
      <c r="CL127" s="462" t="str">
        <f t="shared" si="31"/>
        <v/>
      </c>
      <c r="CM127" s="462" t="str">
        <f t="shared" si="32"/>
        <v/>
      </c>
      <c r="CN127" s="462" t="str">
        <f t="shared" si="33"/>
        <v>0450-38</v>
      </c>
    </row>
    <row r="128" spans="1:92" ht="15" thickBot="1" x14ac:dyDescent="0.35">
      <c r="A128" s="376" t="s">
        <v>161</v>
      </c>
      <c r="B128" s="376" t="s">
        <v>162</v>
      </c>
      <c r="C128" s="376" t="s">
        <v>653</v>
      </c>
      <c r="D128" s="376" t="s">
        <v>356</v>
      </c>
      <c r="E128" s="376" t="s">
        <v>314</v>
      </c>
      <c r="F128" s="382" t="s">
        <v>406</v>
      </c>
      <c r="G128" s="376" t="s">
        <v>167</v>
      </c>
      <c r="H128" s="378"/>
      <c r="I128" s="378"/>
      <c r="J128" s="376" t="s">
        <v>168</v>
      </c>
      <c r="K128" s="376" t="s">
        <v>372</v>
      </c>
      <c r="L128" s="376" t="s">
        <v>220</v>
      </c>
      <c r="M128" s="376" t="s">
        <v>171</v>
      </c>
      <c r="N128" s="376" t="s">
        <v>172</v>
      </c>
      <c r="O128" s="379">
        <v>1</v>
      </c>
      <c r="P128" s="460">
        <v>1</v>
      </c>
      <c r="Q128" s="460">
        <v>1</v>
      </c>
      <c r="R128" s="380">
        <v>80</v>
      </c>
      <c r="S128" s="460">
        <v>1</v>
      </c>
      <c r="T128" s="380">
        <v>64582.51</v>
      </c>
      <c r="U128" s="380">
        <v>307.14</v>
      </c>
      <c r="V128" s="380">
        <v>25132.66</v>
      </c>
      <c r="W128" s="380">
        <v>67288</v>
      </c>
      <c r="X128" s="380">
        <v>26153.89</v>
      </c>
      <c r="Y128" s="380">
        <v>67288</v>
      </c>
      <c r="Z128" s="380">
        <v>25803.99</v>
      </c>
      <c r="AA128" s="376" t="s">
        <v>654</v>
      </c>
      <c r="AB128" s="376" t="s">
        <v>655</v>
      </c>
      <c r="AC128" s="376" t="s">
        <v>656</v>
      </c>
      <c r="AD128" s="376" t="s">
        <v>353</v>
      </c>
      <c r="AE128" s="376" t="s">
        <v>372</v>
      </c>
      <c r="AF128" s="376" t="s">
        <v>224</v>
      </c>
      <c r="AG128" s="376" t="s">
        <v>178</v>
      </c>
      <c r="AH128" s="381">
        <v>32.35</v>
      </c>
      <c r="AI128" s="381">
        <v>32958.300000000003</v>
      </c>
      <c r="AJ128" s="376" t="s">
        <v>179</v>
      </c>
      <c r="AK128" s="376" t="s">
        <v>180</v>
      </c>
      <c r="AL128" s="376" t="s">
        <v>181</v>
      </c>
      <c r="AM128" s="376" t="s">
        <v>182</v>
      </c>
      <c r="AN128" s="376" t="s">
        <v>68</v>
      </c>
      <c r="AO128" s="379">
        <v>80</v>
      </c>
      <c r="AP128" s="460">
        <v>1</v>
      </c>
      <c r="AQ128" s="460">
        <v>1</v>
      </c>
      <c r="AR128" s="458" t="s">
        <v>183</v>
      </c>
      <c r="AS128" s="462">
        <f t="shared" si="17"/>
        <v>1</v>
      </c>
      <c r="AT128">
        <f t="shared" si="18"/>
        <v>1</v>
      </c>
      <c r="AU128" s="462">
        <f>IF(AT128=0,"",IF(AND(AT128=1,M128="F",SUMIF(C2:C170,C128,AS2:AS170)&lt;=1),SUMIF(C2:C170,C128,AS2:AS170),IF(AND(AT128=1,M128="F",SUMIF(C2:C170,C128,AS2:AS170)&gt;1),1,"")))</f>
        <v>1</v>
      </c>
      <c r="AV128" s="462" t="str">
        <f>IF(AT128=0,"",IF(AND(AT128=3,M128="F",SUMIF(C2:C170,C128,AS2:AS170)&lt;=1),SUMIF(C2:C170,C128,AS2:AS170),IF(AND(AT128=3,M128="F",SUMIF(C2:C170,C128,AS2:AS170)&gt;1),1,"")))</f>
        <v/>
      </c>
      <c r="AW128" s="462">
        <f>SUMIF(C2:C170,C128,O2:O170)</f>
        <v>1</v>
      </c>
      <c r="AX128" s="462">
        <f>IF(AND(M128="F",AS128&lt;&gt;0),SUMIF(C2:C170,C128,W2:W170),0)</f>
        <v>67288</v>
      </c>
      <c r="AY128" s="462">
        <f t="shared" si="19"/>
        <v>67288</v>
      </c>
      <c r="AZ128" s="462" t="str">
        <f t="shared" si="20"/>
        <v/>
      </c>
      <c r="BA128" s="462">
        <f t="shared" si="21"/>
        <v>0</v>
      </c>
      <c r="BB128" s="462">
        <f>IF(AND(AT128=1,AK128="E",AU128&gt;=0.75,AW128=1),Health,IF(AND(AT128=1,AK128="E",AU128&gt;=0.75),Health*P128,IF(AND(AT128=1,AK128="E",AU128&gt;=0.5,AW128=1),PTHealth,IF(AND(AT128=1,AK128="E",AU128&gt;=0.5),PTHealth*P128,0))))</f>
        <v>11650</v>
      </c>
      <c r="BC128" s="462">
        <f>IF(AND(AT128=3,AK128="E",AV128&gt;=0.75,AW128=1),Health,IF(AND(AT128=3,AK128="E",AV128&gt;=0.75),Health*P128,IF(AND(AT128=3,AK128="E",AV128&gt;=0.5,AW128=1),PTHealth,IF(AND(AT128=3,AK128="E",AV128&gt;=0.5),PTHealth*P128,0))))</f>
        <v>0</v>
      </c>
      <c r="BD128" s="462">
        <f>IF(AND(AT128&lt;&gt;0,AX128&gt;=MAXSSDI),SSDI*MAXSSDI*P128,IF(AT128&lt;&gt;0,SSDI*W128,0))</f>
        <v>4171.8559999999998</v>
      </c>
      <c r="BE128" s="462">
        <f>IF(AT128&lt;&gt;0,SSHI*W128,0)</f>
        <v>975.67600000000004</v>
      </c>
      <c r="BF128" s="462">
        <f>IF(AND(AT128&lt;&gt;0,AN128&lt;&gt;"NE"),VLOOKUP(AN128,Retirement_Rates,3,FALSE)*W128,0)</f>
        <v>8034.1872000000003</v>
      </c>
      <c r="BG128" s="462">
        <f>IF(AND(AT128&lt;&gt;0,AJ128&lt;&gt;"PF"),Life*W128,0)</f>
        <v>485.14648</v>
      </c>
      <c r="BH128" s="462">
        <f>IF(AND(AT128&lt;&gt;0,AM128="Y"),UI*W128,0)</f>
        <v>329.71119999999996</v>
      </c>
      <c r="BI128" s="462">
        <f>IF(AND(AT128&lt;&gt;0,N128&lt;&gt;"NR"),DHR*W128,0)</f>
        <v>372.77551999999997</v>
      </c>
      <c r="BJ128" s="462">
        <f>IF(AT128&lt;&gt;0,WC*W128,0)</f>
        <v>134.57599999999999</v>
      </c>
      <c r="BK128" s="462">
        <f>IF(OR(AND(AT128&lt;&gt;0,AJ128&lt;&gt;"PF",AN128&lt;&gt;"NE",AG128&lt;&gt;"A"),AND(AL128="E",OR(AT128=1,AT128=3))),Sick*W128,0)</f>
        <v>0</v>
      </c>
      <c r="BL128" s="462">
        <f t="shared" si="22"/>
        <v>14503.928399999997</v>
      </c>
      <c r="BM128" s="462">
        <f t="shared" si="23"/>
        <v>0</v>
      </c>
      <c r="BN128" s="462">
        <f>IF(AND(AT128=1,AK128="E",AU128&gt;=0.75,AW128=1),HealthBY,IF(AND(AT128=1,AK128="E",AU128&gt;=0.75),HealthBY*P128,IF(AND(AT128=1,AK128="E",AU128&gt;=0.5,AW128=1),PTHealthBY,IF(AND(AT128=1,AK128="E",AU128&gt;=0.5),PTHealthBY*P128,0))))</f>
        <v>11650</v>
      </c>
      <c r="BO128" s="462">
        <f>IF(AND(AT128=3,AK128="E",AV128&gt;=0.75,AW128=1),HealthBY,IF(AND(AT128=3,AK128="E",AV128&gt;=0.75),HealthBY*P128,IF(AND(AT128=3,AK128="E",AV128&gt;=0.5,AW128=1),PTHealthBY,IF(AND(AT128=3,AK128="E",AV128&gt;=0.5),PTHealthBY*P128,0))))</f>
        <v>0</v>
      </c>
      <c r="BP128" s="462">
        <f>IF(AND(AT128&lt;&gt;0,(AX128+BA128)&gt;=MAXSSDIBY),SSDIBY*MAXSSDIBY*P128,IF(AT128&lt;&gt;0,SSDIBY*W128,0))</f>
        <v>4171.8559999999998</v>
      </c>
      <c r="BQ128" s="462">
        <f>IF(AT128&lt;&gt;0,SSHIBY*W128,0)</f>
        <v>975.67600000000004</v>
      </c>
      <c r="BR128" s="462">
        <f>IF(AND(AT128&lt;&gt;0,AN128&lt;&gt;"NE"),VLOOKUP(AN128,Retirement_Rates,4,FALSE)*W128,0)</f>
        <v>8034.1872000000003</v>
      </c>
      <c r="BS128" s="462">
        <f>IF(AND(AT128&lt;&gt;0,AJ128&lt;&gt;"PF"),LifeBY*W128,0)</f>
        <v>485.14648</v>
      </c>
      <c r="BT128" s="462">
        <f>IF(AND(AT128&lt;&gt;0,AM128="Y"),UIBY*W128,0)</f>
        <v>0</v>
      </c>
      <c r="BU128" s="462">
        <f>IF(AND(AT128&lt;&gt;0,N128&lt;&gt;"NR"),DHRBY*W128,0)</f>
        <v>372.77551999999997</v>
      </c>
      <c r="BV128" s="462">
        <f>IF(AT128&lt;&gt;0,WCBY*W128,0)</f>
        <v>114.38959999999999</v>
      </c>
      <c r="BW128" s="462">
        <f>IF(OR(AND(AT128&lt;&gt;0,AJ128&lt;&gt;"PF",AN128&lt;&gt;"NE",AG128&lt;&gt;"A"),AND(AL128="E",OR(AT128=1,AT128=3))),SickBY*W128,0)</f>
        <v>0</v>
      </c>
      <c r="BX128" s="462">
        <f t="shared" si="24"/>
        <v>14154.030799999999</v>
      </c>
      <c r="BY128" s="462">
        <f t="shared" si="25"/>
        <v>0</v>
      </c>
      <c r="BZ128" s="462">
        <f t="shared" si="26"/>
        <v>0</v>
      </c>
      <c r="CA128" s="462">
        <f t="shared" si="27"/>
        <v>0</v>
      </c>
      <c r="CB128" s="462">
        <f t="shared" si="28"/>
        <v>0</v>
      </c>
      <c r="CC128" s="462">
        <f>IF(AT128&lt;&gt;0,SSHICHG*Y128,0)</f>
        <v>0</v>
      </c>
      <c r="CD128" s="462">
        <f>IF(AND(AT128&lt;&gt;0,AN128&lt;&gt;"NE"),VLOOKUP(AN128,Retirement_Rates,5,FALSE)*Y128,0)</f>
        <v>0</v>
      </c>
      <c r="CE128" s="462">
        <f>IF(AND(AT128&lt;&gt;0,AJ128&lt;&gt;"PF"),LifeCHG*Y128,0)</f>
        <v>0</v>
      </c>
      <c r="CF128" s="462">
        <f>IF(AND(AT128&lt;&gt;0,AM128="Y"),UICHG*Y128,0)</f>
        <v>-329.71119999999996</v>
      </c>
      <c r="CG128" s="462">
        <f>IF(AND(AT128&lt;&gt;0,N128&lt;&gt;"NR"),DHRCHG*Y128,0)</f>
        <v>0</v>
      </c>
      <c r="CH128" s="462">
        <f>IF(AT128&lt;&gt;0,WCCHG*Y128,0)</f>
        <v>-20.18640000000001</v>
      </c>
      <c r="CI128" s="462">
        <f>IF(OR(AND(AT128&lt;&gt;0,AJ128&lt;&gt;"PF",AN128&lt;&gt;"NE",AG128&lt;&gt;"A"),AND(AL128="E",OR(AT128=1,AT128=3))),SickCHG*Y128,0)</f>
        <v>0</v>
      </c>
      <c r="CJ128" s="462">
        <f t="shared" si="29"/>
        <v>-349.89759999999995</v>
      </c>
      <c r="CK128" s="462" t="str">
        <f t="shared" si="30"/>
        <v/>
      </c>
      <c r="CL128" s="462" t="str">
        <f t="shared" si="31"/>
        <v/>
      </c>
      <c r="CM128" s="462" t="str">
        <f t="shared" si="32"/>
        <v/>
      </c>
      <c r="CN128" s="462" t="str">
        <f t="shared" si="33"/>
        <v>0450-38</v>
      </c>
    </row>
    <row r="129" spans="1:92" ht="15" thickBot="1" x14ac:dyDescent="0.35">
      <c r="A129" s="376" t="s">
        <v>161</v>
      </c>
      <c r="B129" s="376" t="s">
        <v>162</v>
      </c>
      <c r="C129" s="376" t="s">
        <v>657</v>
      </c>
      <c r="D129" s="376" t="s">
        <v>356</v>
      </c>
      <c r="E129" s="376" t="s">
        <v>314</v>
      </c>
      <c r="F129" s="382" t="s">
        <v>406</v>
      </c>
      <c r="G129" s="376" t="s">
        <v>167</v>
      </c>
      <c r="H129" s="378"/>
      <c r="I129" s="378"/>
      <c r="J129" s="376" t="s">
        <v>168</v>
      </c>
      <c r="K129" s="376" t="s">
        <v>358</v>
      </c>
      <c r="L129" s="376" t="s">
        <v>176</v>
      </c>
      <c r="M129" s="376" t="s">
        <v>171</v>
      </c>
      <c r="N129" s="376" t="s">
        <v>172</v>
      </c>
      <c r="O129" s="379">
        <v>1</v>
      </c>
      <c r="P129" s="460">
        <v>1</v>
      </c>
      <c r="Q129" s="460">
        <v>1</v>
      </c>
      <c r="R129" s="380">
        <v>80</v>
      </c>
      <c r="S129" s="460">
        <v>1</v>
      </c>
      <c r="T129" s="380">
        <v>53455.7</v>
      </c>
      <c r="U129" s="380">
        <v>0</v>
      </c>
      <c r="V129" s="380">
        <v>23571.29</v>
      </c>
      <c r="W129" s="380">
        <v>52748.800000000003</v>
      </c>
      <c r="X129" s="380">
        <v>23019.95</v>
      </c>
      <c r="Y129" s="380">
        <v>52748.800000000003</v>
      </c>
      <c r="Z129" s="380">
        <v>22745.67</v>
      </c>
      <c r="AA129" s="376" t="s">
        <v>658</v>
      </c>
      <c r="AB129" s="376" t="s">
        <v>659</v>
      </c>
      <c r="AC129" s="376" t="s">
        <v>660</v>
      </c>
      <c r="AD129" s="376" t="s">
        <v>334</v>
      </c>
      <c r="AE129" s="376" t="s">
        <v>358</v>
      </c>
      <c r="AF129" s="376" t="s">
        <v>190</v>
      </c>
      <c r="AG129" s="376" t="s">
        <v>178</v>
      </c>
      <c r="AH129" s="381">
        <v>25.36</v>
      </c>
      <c r="AI129" s="381">
        <v>9531.2999999999993</v>
      </c>
      <c r="AJ129" s="376" t="s">
        <v>179</v>
      </c>
      <c r="AK129" s="376" t="s">
        <v>180</v>
      </c>
      <c r="AL129" s="376" t="s">
        <v>181</v>
      </c>
      <c r="AM129" s="376" t="s">
        <v>182</v>
      </c>
      <c r="AN129" s="376" t="s">
        <v>68</v>
      </c>
      <c r="AO129" s="379">
        <v>80</v>
      </c>
      <c r="AP129" s="460">
        <v>1</v>
      </c>
      <c r="AQ129" s="460">
        <v>1</v>
      </c>
      <c r="AR129" s="458" t="s">
        <v>183</v>
      </c>
      <c r="AS129" s="462">
        <f t="shared" si="17"/>
        <v>1</v>
      </c>
      <c r="AT129">
        <f t="shared" si="18"/>
        <v>1</v>
      </c>
      <c r="AU129" s="462">
        <f>IF(AT129=0,"",IF(AND(AT129=1,M129="F",SUMIF(C2:C170,C129,AS2:AS170)&lt;=1),SUMIF(C2:C170,C129,AS2:AS170),IF(AND(AT129=1,M129="F",SUMIF(C2:C170,C129,AS2:AS170)&gt;1),1,"")))</f>
        <v>1</v>
      </c>
      <c r="AV129" s="462" t="str">
        <f>IF(AT129=0,"",IF(AND(AT129=3,M129="F",SUMIF(C2:C170,C129,AS2:AS170)&lt;=1),SUMIF(C2:C170,C129,AS2:AS170),IF(AND(AT129=3,M129="F",SUMIF(C2:C170,C129,AS2:AS170)&gt;1),1,"")))</f>
        <v/>
      </c>
      <c r="AW129" s="462">
        <f>SUMIF(C2:C170,C129,O2:O170)</f>
        <v>1</v>
      </c>
      <c r="AX129" s="462">
        <f>IF(AND(M129="F",AS129&lt;&gt;0),SUMIF(C2:C170,C129,W2:W170),0)</f>
        <v>52748.800000000003</v>
      </c>
      <c r="AY129" s="462">
        <f t="shared" si="19"/>
        <v>52748.800000000003</v>
      </c>
      <c r="AZ129" s="462" t="str">
        <f t="shared" si="20"/>
        <v/>
      </c>
      <c r="BA129" s="462">
        <f t="shared" si="21"/>
        <v>0</v>
      </c>
      <c r="BB129" s="462">
        <f>IF(AND(AT129=1,AK129="E",AU129&gt;=0.75,AW129=1),Health,IF(AND(AT129=1,AK129="E",AU129&gt;=0.75),Health*P129,IF(AND(AT129=1,AK129="E",AU129&gt;=0.5,AW129=1),PTHealth,IF(AND(AT129=1,AK129="E",AU129&gt;=0.5),PTHealth*P129,0))))</f>
        <v>11650</v>
      </c>
      <c r="BC129" s="462">
        <f>IF(AND(AT129=3,AK129="E",AV129&gt;=0.75,AW129=1),Health,IF(AND(AT129=3,AK129="E",AV129&gt;=0.75),Health*P129,IF(AND(AT129=3,AK129="E",AV129&gt;=0.5,AW129=1),PTHealth,IF(AND(AT129=3,AK129="E",AV129&gt;=0.5),PTHealth*P129,0))))</f>
        <v>0</v>
      </c>
      <c r="BD129" s="462">
        <f>IF(AND(AT129&lt;&gt;0,AX129&gt;=MAXSSDI),SSDI*MAXSSDI*P129,IF(AT129&lt;&gt;0,SSDI*W129,0))</f>
        <v>3270.4256</v>
      </c>
      <c r="BE129" s="462">
        <f>IF(AT129&lt;&gt;0,SSHI*W129,0)</f>
        <v>764.85760000000005</v>
      </c>
      <c r="BF129" s="462">
        <f>IF(AND(AT129&lt;&gt;0,AN129&lt;&gt;"NE"),VLOOKUP(AN129,Retirement_Rates,3,FALSE)*W129,0)</f>
        <v>6298.206720000001</v>
      </c>
      <c r="BG129" s="462">
        <f>IF(AND(AT129&lt;&gt;0,AJ129&lt;&gt;"PF"),Life*W129,0)</f>
        <v>380.31884800000006</v>
      </c>
      <c r="BH129" s="462">
        <f>IF(AND(AT129&lt;&gt;0,AM129="Y"),UI*W129,0)</f>
        <v>258.46912000000003</v>
      </c>
      <c r="BI129" s="462">
        <f>IF(AND(AT129&lt;&gt;0,N129&lt;&gt;"NR"),DHR*W129,0)</f>
        <v>292.22835200000003</v>
      </c>
      <c r="BJ129" s="462">
        <f>IF(AT129&lt;&gt;0,WC*W129,0)</f>
        <v>105.49760000000001</v>
      </c>
      <c r="BK129" s="462">
        <f>IF(OR(AND(AT129&lt;&gt;0,AJ129&lt;&gt;"PF",AN129&lt;&gt;"NE",AG129&lt;&gt;"A"),AND(AL129="E",OR(AT129=1,AT129=3))),Sick*W129,0)</f>
        <v>0</v>
      </c>
      <c r="BL129" s="462">
        <f t="shared" si="22"/>
        <v>11370.003840000001</v>
      </c>
      <c r="BM129" s="462">
        <f t="shared" si="23"/>
        <v>0</v>
      </c>
      <c r="BN129" s="462">
        <f>IF(AND(AT129=1,AK129="E",AU129&gt;=0.75,AW129=1),HealthBY,IF(AND(AT129=1,AK129="E",AU129&gt;=0.75),HealthBY*P129,IF(AND(AT129=1,AK129="E",AU129&gt;=0.5,AW129=1),PTHealthBY,IF(AND(AT129=1,AK129="E",AU129&gt;=0.5),PTHealthBY*P129,0))))</f>
        <v>11650</v>
      </c>
      <c r="BO129" s="462">
        <f>IF(AND(AT129=3,AK129="E",AV129&gt;=0.75,AW129=1),HealthBY,IF(AND(AT129=3,AK129="E",AV129&gt;=0.75),HealthBY*P129,IF(AND(AT129=3,AK129="E",AV129&gt;=0.5,AW129=1),PTHealthBY,IF(AND(AT129=3,AK129="E",AV129&gt;=0.5),PTHealthBY*P129,0))))</f>
        <v>0</v>
      </c>
      <c r="BP129" s="462">
        <f>IF(AND(AT129&lt;&gt;0,(AX129+BA129)&gt;=MAXSSDIBY),SSDIBY*MAXSSDIBY*P129,IF(AT129&lt;&gt;0,SSDIBY*W129,0))</f>
        <v>3270.4256</v>
      </c>
      <c r="BQ129" s="462">
        <f>IF(AT129&lt;&gt;0,SSHIBY*W129,0)</f>
        <v>764.85760000000005</v>
      </c>
      <c r="BR129" s="462">
        <f>IF(AND(AT129&lt;&gt;0,AN129&lt;&gt;"NE"),VLOOKUP(AN129,Retirement_Rates,4,FALSE)*W129,0)</f>
        <v>6298.206720000001</v>
      </c>
      <c r="BS129" s="462">
        <f>IF(AND(AT129&lt;&gt;0,AJ129&lt;&gt;"PF"),LifeBY*W129,0)</f>
        <v>380.31884800000006</v>
      </c>
      <c r="BT129" s="462">
        <f>IF(AND(AT129&lt;&gt;0,AM129="Y"),UIBY*W129,0)</f>
        <v>0</v>
      </c>
      <c r="BU129" s="462">
        <f>IF(AND(AT129&lt;&gt;0,N129&lt;&gt;"NR"),DHRBY*W129,0)</f>
        <v>292.22835200000003</v>
      </c>
      <c r="BV129" s="462">
        <f>IF(AT129&lt;&gt;0,WCBY*W129,0)</f>
        <v>89.672960000000003</v>
      </c>
      <c r="BW129" s="462">
        <f>IF(OR(AND(AT129&lt;&gt;0,AJ129&lt;&gt;"PF",AN129&lt;&gt;"NE",AG129&lt;&gt;"A"),AND(AL129="E",OR(AT129=1,AT129=3))),SickBY*W129,0)</f>
        <v>0</v>
      </c>
      <c r="BX129" s="462">
        <f t="shared" si="24"/>
        <v>11095.710080000001</v>
      </c>
      <c r="BY129" s="462">
        <f t="shared" si="25"/>
        <v>0</v>
      </c>
      <c r="BZ129" s="462">
        <f t="shared" si="26"/>
        <v>0</v>
      </c>
      <c r="CA129" s="462">
        <f t="shared" si="27"/>
        <v>0</v>
      </c>
      <c r="CB129" s="462">
        <f t="shared" si="28"/>
        <v>0</v>
      </c>
      <c r="CC129" s="462">
        <f>IF(AT129&lt;&gt;0,SSHICHG*Y129,0)</f>
        <v>0</v>
      </c>
      <c r="CD129" s="462">
        <f>IF(AND(AT129&lt;&gt;0,AN129&lt;&gt;"NE"),VLOOKUP(AN129,Retirement_Rates,5,FALSE)*Y129,0)</f>
        <v>0</v>
      </c>
      <c r="CE129" s="462">
        <f>IF(AND(AT129&lt;&gt;0,AJ129&lt;&gt;"PF"),LifeCHG*Y129,0)</f>
        <v>0</v>
      </c>
      <c r="CF129" s="462">
        <f>IF(AND(AT129&lt;&gt;0,AM129="Y"),UICHG*Y129,0)</f>
        <v>-258.46912000000003</v>
      </c>
      <c r="CG129" s="462">
        <f>IF(AND(AT129&lt;&gt;0,N129&lt;&gt;"NR"),DHRCHG*Y129,0)</f>
        <v>0</v>
      </c>
      <c r="CH129" s="462">
        <f>IF(AT129&lt;&gt;0,WCCHG*Y129,0)</f>
        <v>-15.824640000000008</v>
      </c>
      <c r="CI129" s="462">
        <f>IF(OR(AND(AT129&lt;&gt;0,AJ129&lt;&gt;"PF",AN129&lt;&gt;"NE",AG129&lt;&gt;"A"),AND(AL129="E",OR(AT129=1,AT129=3))),SickCHG*Y129,0)</f>
        <v>0</v>
      </c>
      <c r="CJ129" s="462">
        <f t="shared" si="29"/>
        <v>-274.29376000000002</v>
      </c>
      <c r="CK129" s="462" t="str">
        <f t="shared" si="30"/>
        <v/>
      </c>
      <c r="CL129" s="462" t="str">
        <f t="shared" si="31"/>
        <v/>
      </c>
      <c r="CM129" s="462" t="str">
        <f t="shared" si="32"/>
        <v/>
      </c>
      <c r="CN129" s="462" t="str">
        <f t="shared" si="33"/>
        <v>0450-38</v>
      </c>
    </row>
    <row r="130" spans="1:92" ht="15" thickBot="1" x14ac:dyDescent="0.35">
      <c r="A130" s="376" t="s">
        <v>161</v>
      </c>
      <c r="B130" s="376" t="s">
        <v>162</v>
      </c>
      <c r="C130" s="376" t="s">
        <v>262</v>
      </c>
      <c r="D130" s="376" t="s">
        <v>263</v>
      </c>
      <c r="E130" s="376" t="s">
        <v>314</v>
      </c>
      <c r="F130" s="382" t="s">
        <v>406</v>
      </c>
      <c r="G130" s="376" t="s">
        <v>167</v>
      </c>
      <c r="H130" s="378"/>
      <c r="I130" s="378"/>
      <c r="J130" s="376" t="s">
        <v>168</v>
      </c>
      <c r="K130" s="376" t="s">
        <v>264</v>
      </c>
      <c r="L130" s="376" t="s">
        <v>181</v>
      </c>
      <c r="M130" s="376" t="s">
        <v>265</v>
      </c>
      <c r="N130" s="376" t="s">
        <v>172</v>
      </c>
      <c r="O130" s="379">
        <v>0</v>
      </c>
      <c r="P130" s="460">
        <v>0</v>
      </c>
      <c r="Q130" s="460">
        <v>0</v>
      </c>
      <c r="R130" s="380">
        <v>80</v>
      </c>
      <c r="S130" s="460">
        <v>0</v>
      </c>
      <c r="T130" s="380">
        <v>12737.25</v>
      </c>
      <c r="U130" s="380">
        <v>0</v>
      </c>
      <c r="V130" s="380">
        <v>3963.17</v>
      </c>
      <c r="W130" s="380">
        <v>0</v>
      </c>
      <c r="X130" s="380">
        <v>0</v>
      </c>
      <c r="Y130" s="380">
        <v>0</v>
      </c>
      <c r="Z130" s="380">
        <v>0</v>
      </c>
      <c r="AA130" s="378"/>
      <c r="AB130" s="378"/>
      <c r="AC130" s="378"/>
      <c r="AD130" s="378"/>
      <c r="AE130" s="378"/>
      <c r="AF130" s="378"/>
      <c r="AG130" s="378"/>
      <c r="AH130" s="379">
        <v>0</v>
      </c>
      <c r="AI130" s="379">
        <v>0</v>
      </c>
      <c r="AJ130" s="378"/>
      <c r="AK130" s="378"/>
      <c r="AL130" s="376" t="s">
        <v>181</v>
      </c>
      <c r="AM130" s="378"/>
      <c r="AN130" s="378"/>
      <c r="AO130" s="379">
        <v>0</v>
      </c>
      <c r="AP130" s="460">
        <v>0</v>
      </c>
      <c r="AQ130" s="460">
        <v>0</v>
      </c>
      <c r="AR130" s="459"/>
      <c r="AS130" s="462">
        <f t="shared" si="17"/>
        <v>0</v>
      </c>
      <c r="AT130">
        <f t="shared" si="18"/>
        <v>0</v>
      </c>
      <c r="AU130" s="462" t="str">
        <f>IF(AT130=0,"",IF(AND(AT130=1,M130="F",SUMIF(C2:C170,C130,AS2:AS170)&lt;=1),SUMIF(C2:C170,C130,AS2:AS170),IF(AND(AT130=1,M130="F",SUMIF(C2:C170,C130,AS2:AS170)&gt;1),1,"")))</f>
        <v/>
      </c>
      <c r="AV130" s="462" t="str">
        <f>IF(AT130=0,"",IF(AND(AT130=3,M130="F",SUMIF(C2:C170,C130,AS2:AS170)&lt;=1),SUMIF(C2:C170,C130,AS2:AS170),IF(AND(AT130=3,M130="F",SUMIF(C2:C170,C130,AS2:AS170)&gt;1),1,"")))</f>
        <v/>
      </c>
      <c r="AW130" s="462">
        <f>SUMIF(C2:C170,C130,O2:O170)</f>
        <v>0</v>
      </c>
      <c r="AX130" s="462">
        <f>IF(AND(M130="F",AS130&lt;&gt;0),SUMIF(C2:C170,C130,W2:W170),0)</f>
        <v>0</v>
      </c>
      <c r="AY130" s="462" t="str">
        <f t="shared" si="19"/>
        <v/>
      </c>
      <c r="AZ130" s="462" t="str">
        <f t="shared" si="20"/>
        <v/>
      </c>
      <c r="BA130" s="462">
        <f t="shared" si="21"/>
        <v>0</v>
      </c>
      <c r="BB130" s="462">
        <f>IF(AND(AT130=1,AK130="E",AU130&gt;=0.75,AW130=1),Health,IF(AND(AT130=1,AK130="E",AU130&gt;=0.75),Health*P130,IF(AND(AT130=1,AK130="E",AU130&gt;=0.5,AW130=1),PTHealth,IF(AND(AT130=1,AK130="E",AU130&gt;=0.5),PTHealth*P130,0))))</f>
        <v>0</v>
      </c>
      <c r="BC130" s="462">
        <f>IF(AND(AT130=3,AK130="E",AV130&gt;=0.75,AW130=1),Health,IF(AND(AT130=3,AK130="E",AV130&gt;=0.75),Health*P130,IF(AND(AT130=3,AK130="E",AV130&gt;=0.5,AW130=1),PTHealth,IF(AND(AT130=3,AK130="E",AV130&gt;=0.5),PTHealth*P130,0))))</f>
        <v>0</v>
      </c>
      <c r="BD130" s="462">
        <f>IF(AND(AT130&lt;&gt;0,AX130&gt;=MAXSSDI),SSDI*MAXSSDI*P130,IF(AT130&lt;&gt;0,SSDI*W130,0))</f>
        <v>0</v>
      </c>
      <c r="BE130" s="462">
        <f>IF(AT130&lt;&gt;0,SSHI*W130,0)</f>
        <v>0</v>
      </c>
      <c r="BF130" s="462">
        <f>IF(AND(AT130&lt;&gt;0,AN130&lt;&gt;"NE"),VLOOKUP(AN130,Retirement_Rates,3,FALSE)*W130,0)</f>
        <v>0</v>
      </c>
      <c r="BG130" s="462">
        <f>IF(AND(AT130&lt;&gt;0,AJ130&lt;&gt;"PF"),Life*W130,0)</f>
        <v>0</v>
      </c>
      <c r="BH130" s="462">
        <f>IF(AND(AT130&lt;&gt;0,AM130="Y"),UI*W130,0)</f>
        <v>0</v>
      </c>
      <c r="BI130" s="462">
        <f>IF(AND(AT130&lt;&gt;0,N130&lt;&gt;"NR"),DHR*W130,0)</f>
        <v>0</v>
      </c>
      <c r="BJ130" s="462">
        <f>IF(AT130&lt;&gt;0,WC*W130,0)</f>
        <v>0</v>
      </c>
      <c r="BK130" s="462">
        <f>IF(OR(AND(AT130&lt;&gt;0,AJ130&lt;&gt;"PF",AN130&lt;&gt;"NE",AG130&lt;&gt;"A"),AND(AL130="E",OR(AT130=1,AT130=3))),Sick*W130,0)</f>
        <v>0</v>
      </c>
      <c r="BL130" s="462">
        <f t="shared" si="22"/>
        <v>0</v>
      </c>
      <c r="BM130" s="462">
        <f t="shared" si="23"/>
        <v>0</v>
      </c>
      <c r="BN130" s="462">
        <f>IF(AND(AT130=1,AK130="E",AU130&gt;=0.75,AW130=1),HealthBY,IF(AND(AT130=1,AK130="E",AU130&gt;=0.75),HealthBY*P130,IF(AND(AT130=1,AK130="E",AU130&gt;=0.5,AW130=1),PTHealthBY,IF(AND(AT130=1,AK130="E",AU130&gt;=0.5),PTHealthBY*P130,0))))</f>
        <v>0</v>
      </c>
      <c r="BO130" s="462">
        <f>IF(AND(AT130=3,AK130="E",AV130&gt;=0.75,AW130=1),HealthBY,IF(AND(AT130=3,AK130="E",AV130&gt;=0.75),HealthBY*P130,IF(AND(AT130=3,AK130="E",AV130&gt;=0.5,AW130=1),PTHealthBY,IF(AND(AT130=3,AK130="E",AV130&gt;=0.5),PTHealthBY*P130,0))))</f>
        <v>0</v>
      </c>
      <c r="BP130" s="462">
        <f>IF(AND(AT130&lt;&gt;0,(AX130+BA130)&gt;=MAXSSDIBY),SSDIBY*MAXSSDIBY*P130,IF(AT130&lt;&gt;0,SSDIBY*W130,0))</f>
        <v>0</v>
      </c>
      <c r="BQ130" s="462">
        <f>IF(AT130&lt;&gt;0,SSHIBY*W130,0)</f>
        <v>0</v>
      </c>
      <c r="BR130" s="462">
        <f>IF(AND(AT130&lt;&gt;0,AN130&lt;&gt;"NE"),VLOOKUP(AN130,Retirement_Rates,4,FALSE)*W130,0)</f>
        <v>0</v>
      </c>
      <c r="BS130" s="462">
        <f>IF(AND(AT130&lt;&gt;0,AJ130&lt;&gt;"PF"),LifeBY*W130,0)</f>
        <v>0</v>
      </c>
      <c r="BT130" s="462">
        <f>IF(AND(AT130&lt;&gt;0,AM130="Y"),UIBY*W130,0)</f>
        <v>0</v>
      </c>
      <c r="BU130" s="462">
        <f>IF(AND(AT130&lt;&gt;0,N130&lt;&gt;"NR"),DHRBY*W130,0)</f>
        <v>0</v>
      </c>
      <c r="BV130" s="462">
        <f>IF(AT130&lt;&gt;0,WCBY*W130,0)</f>
        <v>0</v>
      </c>
      <c r="BW130" s="462">
        <f>IF(OR(AND(AT130&lt;&gt;0,AJ130&lt;&gt;"PF",AN130&lt;&gt;"NE",AG130&lt;&gt;"A"),AND(AL130="E",OR(AT130=1,AT130=3))),SickBY*W130,0)</f>
        <v>0</v>
      </c>
      <c r="BX130" s="462">
        <f t="shared" si="24"/>
        <v>0</v>
      </c>
      <c r="BY130" s="462">
        <f t="shared" si="25"/>
        <v>0</v>
      </c>
      <c r="BZ130" s="462">
        <f t="shared" si="26"/>
        <v>0</v>
      </c>
      <c r="CA130" s="462">
        <f t="shared" si="27"/>
        <v>0</v>
      </c>
      <c r="CB130" s="462">
        <f t="shared" si="28"/>
        <v>0</v>
      </c>
      <c r="CC130" s="462">
        <f>IF(AT130&lt;&gt;0,SSHICHG*Y130,0)</f>
        <v>0</v>
      </c>
      <c r="CD130" s="462">
        <f>IF(AND(AT130&lt;&gt;0,AN130&lt;&gt;"NE"),VLOOKUP(AN130,Retirement_Rates,5,FALSE)*Y130,0)</f>
        <v>0</v>
      </c>
      <c r="CE130" s="462">
        <f>IF(AND(AT130&lt;&gt;0,AJ130&lt;&gt;"PF"),LifeCHG*Y130,0)</f>
        <v>0</v>
      </c>
      <c r="CF130" s="462">
        <f>IF(AND(AT130&lt;&gt;0,AM130="Y"),UICHG*Y130,0)</f>
        <v>0</v>
      </c>
      <c r="CG130" s="462">
        <f>IF(AND(AT130&lt;&gt;0,N130&lt;&gt;"NR"),DHRCHG*Y130,0)</f>
        <v>0</v>
      </c>
      <c r="CH130" s="462">
        <f>IF(AT130&lt;&gt;0,WCCHG*Y130,0)</f>
        <v>0</v>
      </c>
      <c r="CI130" s="462">
        <f>IF(OR(AND(AT130&lt;&gt;0,AJ130&lt;&gt;"PF",AN130&lt;&gt;"NE",AG130&lt;&gt;"A"),AND(AL130="E",OR(AT130=1,AT130=3))),SickCHG*Y130,0)</f>
        <v>0</v>
      </c>
      <c r="CJ130" s="462">
        <f t="shared" si="29"/>
        <v>0</v>
      </c>
      <c r="CK130" s="462" t="str">
        <f t="shared" si="30"/>
        <v/>
      </c>
      <c r="CL130" s="462" t="str">
        <f t="shared" si="31"/>
        <v/>
      </c>
      <c r="CM130" s="462" t="str">
        <f t="shared" si="32"/>
        <v/>
      </c>
      <c r="CN130" s="462" t="str">
        <f t="shared" si="33"/>
        <v>0450-38</v>
      </c>
    </row>
    <row r="131" spans="1:92" ht="15" thickBot="1" x14ac:dyDescent="0.35">
      <c r="A131" s="376" t="s">
        <v>161</v>
      </c>
      <c r="B131" s="376" t="s">
        <v>162</v>
      </c>
      <c r="C131" s="376" t="s">
        <v>661</v>
      </c>
      <c r="D131" s="376" t="s">
        <v>356</v>
      </c>
      <c r="E131" s="376" t="s">
        <v>314</v>
      </c>
      <c r="F131" s="382" t="s">
        <v>406</v>
      </c>
      <c r="G131" s="376" t="s">
        <v>167</v>
      </c>
      <c r="H131" s="378"/>
      <c r="I131" s="378"/>
      <c r="J131" s="376" t="s">
        <v>168</v>
      </c>
      <c r="K131" s="376" t="s">
        <v>358</v>
      </c>
      <c r="L131" s="376" t="s">
        <v>176</v>
      </c>
      <c r="M131" s="376" t="s">
        <v>171</v>
      </c>
      <c r="N131" s="376" t="s">
        <v>172</v>
      </c>
      <c r="O131" s="379">
        <v>1</v>
      </c>
      <c r="P131" s="460">
        <v>1</v>
      </c>
      <c r="Q131" s="460">
        <v>1</v>
      </c>
      <c r="R131" s="380">
        <v>80</v>
      </c>
      <c r="S131" s="460">
        <v>1</v>
      </c>
      <c r="T131" s="380">
        <v>56440.01</v>
      </c>
      <c r="U131" s="380">
        <v>0</v>
      </c>
      <c r="V131" s="380">
        <v>27357.45</v>
      </c>
      <c r="W131" s="380">
        <v>57865.599999999999</v>
      </c>
      <c r="X131" s="380">
        <v>24122.91</v>
      </c>
      <c r="Y131" s="380">
        <v>57865.599999999999</v>
      </c>
      <c r="Z131" s="380">
        <v>23822.01</v>
      </c>
      <c r="AA131" s="376" t="s">
        <v>662</v>
      </c>
      <c r="AB131" s="376" t="s">
        <v>663</v>
      </c>
      <c r="AC131" s="376" t="s">
        <v>189</v>
      </c>
      <c r="AD131" s="376" t="s">
        <v>269</v>
      </c>
      <c r="AE131" s="376" t="s">
        <v>358</v>
      </c>
      <c r="AF131" s="376" t="s">
        <v>190</v>
      </c>
      <c r="AG131" s="376" t="s">
        <v>178</v>
      </c>
      <c r="AH131" s="381">
        <v>27.82</v>
      </c>
      <c r="AI131" s="381">
        <v>23076.400000000001</v>
      </c>
      <c r="AJ131" s="376" t="s">
        <v>179</v>
      </c>
      <c r="AK131" s="376" t="s">
        <v>180</v>
      </c>
      <c r="AL131" s="376" t="s">
        <v>181</v>
      </c>
      <c r="AM131" s="376" t="s">
        <v>182</v>
      </c>
      <c r="AN131" s="376" t="s">
        <v>68</v>
      </c>
      <c r="AO131" s="379">
        <v>80</v>
      </c>
      <c r="AP131" s="460">
        <v>1</v>
      </c>
      <c r="AQ131" s="460">
        <v>1</v>
      </c>
      <c r="AR131" s="458" t="s">
        <v>183</v>
      </c>
      <c r="AS131" s="462">
        <f t="shared" ref="AS131:AS170" si="34">IF(((AO131/80)*AP131*P131)&gt;1,AQ131,((AO131/80)*AP131*P131))</f>
        <v>1</v>
      </c>
      <c r="AT131">
        <f t="shared" ref="AT131:AT170" si="35">IF(AND(M131="F",N131&lt;&gt;"NG",AS131&lt;&gt;0,AND(AR131&lt;&gt;6,AR131&lt;&gt;36,AR131&lt;&gt;56),AG131&lt;&gt;"A",OR(AG131="H",AJ131="FS")),1,IF(AND(M131="F",N131&lt;&gt;"NG",AS131&lt;&gt;0,AG131="A"),3,0))</f>
        <v>1</v>
      </c>
      <c r="AU131" s="462">
        <f>IF(AT131=0,"",IF(AND(AT131=1,M131="F",SUMIF(C2:C170,C131,AS2:AS170)&lt;=1),SUMIF(C2:C170,C131,AS2:AS170),IF(AND(AT131=1,M131="F",SUMIF(C2:C170,C131,AS2:AS170)&gt;1),1,"")))</f>
        <v>1</v>
      </c>
      <c r="AV131" s="462" t="str">
        <f>IF(AT131=0,"",IF(AND(AT131=3,M131="F",SUMIF(C2:C170,C131,AS2:AS170)&lt;=1),SUMIF(C2:C170,C131,AS2:AS170),IF(AND(AT131=3,M131="F",SUMIF(C2:C170,C131,AS2:AS170)&gt;1),1,"")))</f>
        <v/>
      </c>
      <c r="AW131" s="462">
        <f>SUMIF(C2:C170,C131,O2:O170)</f>
        <v>1</v>
      </c>
      <c r="AX131" s="462">
        <f>IF(AND(M131="F",AS131&lt;&gt;0),SUMIF(C2:C170,C131,W2:W170),0)</f>
        <v>57865.599999999999</v>
      </c>
      <c r="AY131" s="462">
        <f t="shared" ref="AY131:AY170" si="36">IF(AT131=1,W131,"")</f>
        <v>57865.599999999999</v>
      </c>
      <c r="AZ131" s="462" t="str">
        <f t="shared" ref="AZ131:AZ170" si="37">IF(AT131=3,W131,"")</f>
        <v/>
      </c>
      <c r="BA131" s="462">
        <f t="shared" ref="BA131:BA170" si="38">IF(AT131=1,Y131-W131,0)</f>
        <v>0</v>
      </c>
      <c r="BB131" s="462">
        <f>IF(AND(AT131=1,AK131="E",AU131&gt;=0.75,AW131=1),Health,IF(AND(AT131=1,AK131="E",AU131&gt;=0.75),Health*P131,IF(AND(AT131=1,AK131="E",AU131&gt;=0.5,AW131=1),PTHealth,IF(AND(AT131=1,AK131="E",AU131&gt;=0.5),PTHealth*P131,0))))</f>
        <v>11650</v>
      </c>
      <c r="BC131" s="462">
        <f>IF(AND(AT131=3,AK131="E",AV131&gt;=0.75,AW131=1),Health,IF(AND(AT131=3,AK131="E",AV131&gt;=0.75),Health*P131,IF(AND(AT131=3,AK131="E",AV131&gt;=0.5,AW131=1),PTHealth,IF(AND(AT131=3,AK131="E",AV131&gt;=0.5),PTHealth*P131,0))))</f>
        <v>0</v>
      </c>
      <c r="BD131" s="462">
        <f>IF(AND(AT131&lt;&gt;0,AX131&gt;=MAXSSDI),SSDI*MAXSSDI*P131,IF(AT131&lt;&gt;0,SSDI*W131,0))</f>
        <v>3587.6671999999999</v>
      </c>
      <c r="BE131" s="462">
        <f>IF(AT131&lt;&gt;0,SSHI*W131,0)</f>
        <v>839.05119999999999</v>
      </c>
      <c r="BF131" s="462">
        <f>IF(AND(AT131&lt;&gt;0,AN131&lt;&gt;"NE"),VLOOKUP(AN131,Retirement_Rates,3,FALSE)*W131,0)</f>
        <v>6909.1526400000002</v>
      </c>
      <c r="BG131" s="462">
        <f>IF(AND(AT131&lt;&gt;0,AJ131&lt;&gt;"PF"),Life*W131,0)</f>
        <v>417.21097600000002</v>
      </c>
      <c r="BH131" s="462">
        <f>IF(AND(AT131&lt;&gt;0,AM131="Y"),UI*W131,0)</f>
        <v>283.54143999999997</v>
      </c>
      <c r="BI131" s="462">
        <f>IF(AND(AT131&lt;&gt;0,N131&lt;&gt;"NR"),DHR*W131,0)</f>
        <v>320.575424</v>
      </c>
      <c r="BJ131" s="462">
        <f>IF(AT131&lt;&gt;0,WC*W131,0)</f>
        <v>115.7312</v>
      </c>
      <c r="BK131" s="462">
        <f>IF(OR(AND(AT131&lt;&gt;0,AJ131&lt;&gt;"PF",AN131&lt;&gt;"NE",AG131&lt;&gt;"A"),AND(AL131="E",OR(AT131=1,AT131=3))),Sick*W131,0)</f>
        <v>0</v>
      </c>
      <c r="BL131" s="462">
        <f t="shared" ref="BL131:BL170" si="39">IF(AT131=1,SUM(BD131:BK131),0)</f>
        <v>12472.930080000002</v>
      </c>
      <c r="BM131" s="462">
        <f t="shared" ref="BM131:BM170" si="40">IF(AT131=3,SUM(BD131:BK131),0)</f>
        <v>0</v>
      </c>
      <c r="BN131" s="462">
        <f>IF(AND(AT131=1,AK131="E",AU131&gt;=0.75,AW131=1),HealthBY,IF(AND(AT131=1,AK131="E",AU131&gt;=0.75),HealthBY*P131,IF(AND(AT131=1,AK131="E",AU131&gt;=0.5,AW131=1),PTHealthBY,IF(AND(AT131=1,AK131="E",AU131&gt;=0.5),PTHealthBY*P131,0))))</f>
        <v>11650</v>
      </c>
      <c r="BO131" s="462">
        <f>IF(AND(AT131=3,AK131="E",AV131&gt;=0.75,AW131=1),HealthBY,IF(AND(AT131=3,AK131="E",AV131&gt;=0.75),HealthBY*P131,IF(AND(AT131=3,AK131="E",AV131&gt;=0.5,AW131=1),PTHealthBY,IF(AND(AT131=3,AK131="E",AV131&gt;=0.5),PTHealthBY*P131,0))))</f>
        <v>0</v>
      </c>
      <c r="BP131" s="462">
        <f>IF(AND(AT131&lt;&gt;0,(AX131+BA131)&gt;=MAXSSDIBY),SSDIBY*MAXSSDIBY*P131,IF(AT131&lt;&gt;0,SSDIBY*W131,0))</f>
        <v>3587.6671999999999</v>
      </c>
      <c r="BQ131" s="462">
        <f>IF(AT131&lt;&gt;0,SSHIBY*W131,0)</f>
        <v>839.05119999999999</v>
      </c>
      <c r="BR131" s="462">
        <f>IF(AND(AT131&lt;&gt;0,AN131&lt;&gt;"NE"),VLOOKUP(AN131,Retirement_Rates,4,FALSE)*W131,0)</f>
        <v>6909.1526400000002</v>
      </c>
      <c r="BS131" s="462">
        <f>IF(AND(AT131&lt;&gt;0,AJ131&lt;&gt;"PF"),LifeBY*W131,0)</f>
        <v>417.21097600000002</v>
      </c>
      <c r="BT131" s="462">
        <f>IF(AND(AT131&lt;&gt;0,AM131="Y"),UIBY*W131,0)</f>
        <v>0</v>
      </c>
      <c r="BU131" s="462">
        <f>IF(AND(AT131&lt;&gt;0,N131&lt;&gt;"NR"),DHRBY*W131,0)</f>
        <v>320.575424</v>
      </c>
      <c r="BV131" s="462">
        <f>IF(AT131&lt;&gt;0,WCBY*W131,0)</f>
        <v>98.37151999999999</v>
      </c>
      <c r="BW131" s="462">
        <f>IF(OR(AND(AT131&lt;&gt;0,AJ131&lt;&gt;"PF",AN131&lt;&gt;"NE",AG131&lt;&gt;"A"),AND(AL131="E",OR(AT131=1,AT131=3))),SickBY*W131,0)</f>
        <v>0</v>
      </c>
      <c r="BX131" s="462">
        <f t="shared" ref="BX131:BX170" si="41">IF(AT131=1,SUM(BP131:BW131),0)</f>
        <v>12172.028960000001</v>
      </c>
      <c r="BY131" s="462">
        <f t="shared" ref="BY131:BY170" si="42">IF(AT131=3,SUM(BP131:BW131),0)</f>
        <v>0</v>
      </c>
      <c r="BZ131" s="462">
        <f t="shared" ref="BZ131:BZ170" si="43">IF(AT131=1,BN131-BB131,0)</f>
        <v>0</v>
      </c>
      <c r="CA131" s="462">
        <f t="shared" ref="CA131:CA170" si="44">IF(AT131=3,BO131-BC131,0)</f>
        <v>0</v>
      </c>
      <c r="CB131" s="462">
        <f t="shared" ref="CB131:CB170" si="45">BP131-BD131</f>
        <v>0</v>
      </c>
      <c r="CC131" s="462">
        <f>IF(AT131&lt;&gt;0,SSHICHG*Y131,0)</f>
        <v>0</v>
      </c>
      <c r="CD131" s="462">
        <f>IF(AND(AT131&lt;&gt;0,AN131&lt;&gt;"NE"),VLOOKUP(AN131,Retirement_Rates,5,FALSE)*Y131,0)</f>
        <v>0</v>
      </c>
      <c r="CE131" s="462">
        <f>IF(AND(AT131&lt;&gt;0,AJ131&lt;&gt;"PF"),LifeCHG*Y131,0)</f>
        <v>0</v>
      </c>
      <c r="CF131" s="462">
        <f>IF(AND(AT131&lt;&gt;0,AM131="Y"),UICHG*Y131,0)</f>
        <v>-283.54143999999997</v>
      </c>
      <c r="CG131" s="462">
        <f>IF(AND(AT131&lt;&gt;0,N131&lt;&gt;"NR"),DHRCHG*Y131,0)</f>
        <v>0</v>
      </c>
      <c r="CH131" s="462">
        <f>IF(AT131&lt;&gt;0,WCCHG*Y131,0)</f>
        <v>-17.359680000000008</v>
      </c>
      <c r="CI131" s="462">
        <f>IF(OR(AND(AT131&lt;&gt;0,AJ131&lt;&gt;"PF",AN131&lt;&gt;"NE",AG131&lt;&gt;"A"),AND(AL131="E",OR(AT131=1,AT131=3))),SickCHG*Y131,0)</f>
        <v>0</v>
      </c>
      <c r="CJ131" s="462">
        <f t="shared" ref="CJ131:CJ170" si="46">IF(AT131=1,SUM(CB131:CI131),0)</f>
        <v>-300.90111999999999</v>
      </c>
      <c r="CK131" s="462" t="str">
        <f t="shared" ref="CK131:CK170" si="47">IF(AT131=3,SUM(CB131:CI131),"")</f>
        <v/>
      </c>
      <c r="CL131" s="462" t="str">
        <f t="shared" ref="CL131:CL170" si="48">IF(OR(N131="NG",AG131="D"),(T131+U131),"")</f>
        <v/>
      </c>
      <c r="CM131" s="462" t="str">
        <f t="shared" ref="CM131:CM170" si="49">IF(OR(N131="NG",AG131="D"),V131,"")</f>
        <v/>
      </c>
      <c r="CN131" s="462" t="str">
        <f t="shared" ref="CN131:CN170" si="50">E131 &amp; "-" &amp; F131</f>
        <v>0450-38</v>
      </c>
    </row>
    <row r="132" spans="1:92" ht="15" thickBot="1" x14ac:dyDescent="0.35">
      <c r="A132" s="376" t="s">
        <v>161</v>
      </c>
      <c r="B132" s="376" t="s">
        <v>162</v>
      </c>
      <c r="C132" s="376" t="s">
        <v>664</v>
      </c>
      <c r="D132" s="376" t="s">
        <v>436</v>
      </c>
      <c r="E132" s="376" t="s">
        <v>314</v>
      </c>
      <c r="F132" s="382" t="s">
        <v>406</v>
      </c>
      <c r="G132" s="376" t="s">
        <v>167</v>
      </c>
      <c r="H132" s="378"/>
      <c r="I132" s="378"/>
      <c r="J132" s="376" t="s">
        <v>168</v>
      </c>
      <c r="K132" s="376" t="s">
        <v>642</v>
      </c>
      <c r="L132" s="376" t="s">
        <v>181</v>
      </c>
      <c r="M132" s="376" t="s">
        <v>171</v>
      </c>
      <c r="N132" s="376" t="s">
        <v>172</v>
      </c>
      <c r="O132" s="379">
        <v>1</v>
      </c>
      <c r="P132" s="460">
        <v>1</v>
      </c>
      <c r="Q132" s="460">
        <v>1</v>
      </c>
      <c r="R132" s="380">
        <v>80</v>
      </c>
      <c r="S132" s="460">
        <v>1</v>
      </c>
      <c r="T132" s="380">
        <v>82698.83</v>
      </c>
      <c r="U132" s="380">
        <v>0</v>
      </c>
      <c r="V132" s="380">
        <v>28730.86</v>
      </c>
      <c r="W132" s="380">
        <v>84635.199999999997</v>
      </c>
      <c r="X132" s="380">
        <v>29893.09</v>
      </c>
      <c r="Y132" s="380">
        <v>84635.199999999997</v>
      </c>
      <c r="Z132" s="380">
        <v>29452.98</v>
      </c>
      <c r="AA132" s="376" t="s">
        <v>665</v>
      </c>
      <c r="AB132" s="376" t="s">
        <v>666</v>
      </c>
      <c r="AC132" s="376" t="s">
        <v>428</v>
      </c>
      <c r="AD132" s="376" t="s">
        <v>220</v>
      </c>
      <c r="AE132" s="376" t="s">
        <v>642</v>
      </c>
      <c r="AF132" s="376" t="s">
        <v>349</v>
      </c>
      <c r="AG132" s="376" t="s">
        <v>178</v>
      </c>
      <c r="AH132" s="381">
        <v>40.69</v>
      </c>
      <c r="AI132" s="381">
        <v>42784.800000000003</v>
      </c>
      <c r="AJ132" s="376" t="s">
        <v>179</v>
      </c>
      <c r="AK132" s="376" t="s">
        <v>180</v>
      </c>
      <c r="AL132" s="376" t="s">
        <v>181</v>
      </c>
      <c r="AM132" s="376" t="s">
        <v>182</v>
      </c>
      <c r="AN132" s="376" t="s">
        <v>68</v>
      </c>
      <c r="AO132" s="379">
        <v>80</v>
      </c>
      <c r="AP132" s="460">
        <v>1</v>
      </c>
      <c r="AQ132" s="460">
        <v>1</v>
      </c>
      <c r="AR132" s="458" t="s">
        <v>183</v>
      </c>
      <c r="AS132" s="462">
        <f t="shared" si="34"/>
        <v>1</v>
      </c>
      <c r="AT132">
        <f t="shared" si="35"/>
        <v>1</v>
      </c>
      <c r="AU132" s="462">
        <f>IF(AT132=0,"",IF(AND(AT132=1,M132="F",SUMIF(C2:C170,C132,AS2:AS170)&lt;=1),SUMIF(C2:C170,C132,AS2:AS170),IF(AND(AT132=1,M132="F",SUMIF(C2:C170,C132,AS2:AS170)&gt;1),1,"")))</f>
        <v>1</v>
      </c>
      <c r="AV132" s="462" t="str">
        <f>IF(AT132=0,"",IF(AND(AT132=3,M132="F",SUMIF(C2:C170,C132,AS2:AS170)&lt;=1),SUMIF(C2:C170,C132,AS2:AS170),IF(AND(AT132=3,M132="F",SUMIF(C2:C170,C132,AS2:AS170)&gt;1),1,"")))</f>
        <v/>
      </c>
      <c r="AW132" s="462">
        <f>SUMIF(C2:C170,C132,O2:O170)</f>
        <v>1</v>
      </c>
      <c r="AX132" s="462">
        <f>IF(AND(M132="F",AS132&lt;&gt;0),SUMIF(C2:C170,C132,W2:W170),0)</f>
        <v>84635.199999999997</v>
      </c>
      <c r="AY132" s="462">
        <f t="shared" si="36"/>
        <v>84635.199999999997</v>
      </c>
      <c r="AZ132" s="462" t="str">
        <f t="shared" si="37"/>
        <v/>
      </c>
      <c r="BA132" s="462">
        <f t="shared" si="38"/>
        <v>0</v>
      </c>
      <c r="BB132" s="462">
        <f>IF(AND(AT132=1,AK132="E",AU132&gt;=0.75,AW132=1),Health,IF(AND(AT132=1,AK132="E",AU132&gt;=0.75),Health*P132,IF(AND(AT132=1,AK132="E",AU132&gt;=0.5,AW132=1),PTHealth,IF(AND(AT132=1,AK132="E",AU132&gt;=0.5),PTHealth*P132,0))))</f>
        <v>11650</v>
      </c>
      <c r="BC132" s="462">
        <f>IF(AND(AT132=3,AK132="E",AV132&gt;=0.75,AW132=1),Health,IF(AND(AT132=3,AK132="E",AV132&gt;=0.75),Health*P132,IF(AND(AT132=3,AK132="E",AV132&gt;=0.5,AW132=1),PTHealth,IF(AND(AT132=3,AK132="E",AV132&gt;=0.5),PTHealth*P132,0))))</f>
        <v>0</v>
      </c>
      <c r="BD132" s="462">
        <f>IF(AND(AT132&lt;&gt;0,AX132&gt;=MAXSSDI),SSDI*MAXSSDI*P132,IF(AT132&lt;&gt;0,SSDI*W132,0))</f>
        <v>5247.3823999999995</v>
      </c>
      <c r="BE132" s="462">
        <f>IF(AT132&lt;&gt;0,SSHI*W132,0)</f>
        <v>1227.2103999999999</v>
      </c>
      <c r="BF132" s="462">
        <f>IF(AND(AT132&lt;&gt;0,AN132&lt;&gt;"NE"),VLOOKUP(AN132,Retirement_Rates,3,FALSE)*W132,0)</f>
        <v>10105.442880000001</v>
      </c>
      <c r="BG132" s="462">
        <f>IF(AND(AT132&lt;&gt;0,AJ132&lt;&gt;"PF"),Life*W132,0)</f>
        <v>610.21979199999998</v>
      </c>
      <c r="BH132" s="462">
        <f>IF(AND(AT132&lt;&gt;0,AM132="Y"),UI*W132,0)</f>
        <v>414.71247999999997</v>
      </c>
      <c r="BI132" s="462">
        <f>IF(AND(AT132&lt;&gt;0,N132&lt;&gt;"NR"),DHR*W132,0)</f>
        <v>468.87900799999994</v>
      </c>
      <c r="BJ132" s="462">
        <f>IF(AT132&lt;&gt;0,WC*W132,0)</f>
        <v>169.2704</v>
      </c>
      <c r="BK132" s="462">
        <f>IF(OR(AND(AT132&lt;&gt;0,AJ132&lt;&gt;"PF",AN132&lt;&gt;"NE",AG132&lt;&gt;"A"),AND(AL132="E",OR(AT132=1,AT132=3))),Sick*W132,0)</f>
        <v>0</v>
      </c>
      <c r="BL132" s="462">
        <f t="shared" si="39"/>
        <v>18243.11736</v>
      </c>
      <c r="BM132" s="462">
        <f t="shared" si="40"/>
        <v>0</v>
      </c>
      <c r="BN132" s="462">
        <f>IF(AND(AT132=1,AK132="E",AU132&gt;=0.75,AW132=1),HealthBY,IF(AND(AT132=1,AK132="E",AU132&gt;=0.75),HealthBY*P132,IF(AND(AT132=1,AK132="E",AU132&gt;=0.5,AW132=1),PTHealthBY,IF(AND(AT132=1,AK132="E",AU132&gt;=0.5),PTHealthBY*P132,0))))</f>
        <v>11650</v>
      </c>
      <c r="BO132" s="462">
        <f>IF(AND(AT132=3,AK132="E",AV132&gt;=0.75,AW132=1),HealthBY,IF(AND(AT132=3,AK132="E",AV132&gt;=0.75),HealthBY*P132,IF(AND(AT132=3,AK132="E",AV132&gt;=0.5,AW132=1),PTHealthBY,IF(AND(AT132=3,AK132="E",AV132&gt;=0.5),PTHealthBY*P132,0))))</f>
        <v>0</v>
      </c>
      <c r="BP132" s="462">
        <f>IF(AND(AT132&lt;&gt;0,(AX132+BA132)&gt;=MAXSSDIBY),SSDIBY*MAXSSDIBY*P132,IF(AT132&lt;&gt;0,SSDIBY*W132,0))</f>
        <v>5247.3823999999995</v>
      </c>
      <c r="BQ132" s="462">
        <f>IF(AT132&lt;&gt;0,SSHIBY*W132,0)</f>
        <v>1227.2103999999999</v>
      </c>
      <c r="BR132" s="462">
        <f>IF(AND(AT132&lt;&gt;0,AN132&lt;&gt;"NE"),VLOOKUP(AN132,Retirement_Rates,4,FALSE)*W132,0)</f>
        <v>10105.442880000001</v>
      </c>
      <c r="BS132" s="462">
        <f>IF(AND(AT132&lt;&gt;0,AJ132&lt;&gt;"PF"),LifeBY*W132,0)</f>
        <v>610.21979199999998</v>
      </c>
      <c r="BT132" s="462">
        <f>IF(AND(AT132&lt;&gt;0,AM132="Y"),UIBY*W132,0)</f>
        <v>0</v>
      </c>
      <c r="BU132" s="462">
        <f>IF(AND(AT132&lt;&gt;0,N132&lt;&gt;"NR"),DHRBY*W132,0)</f>
        <v>468.87900799999994</v>
      </c>
      <c r="BV132" s="462">
        <f>IF(AT132&lt;&gt;0,WCBY*W132,0)</f>
        <v>143.87983999999997</v>
      </c>
      <c r="BW132" s="462">
        <f>IF(OR(AND(AT132&lt;&gt;0,AJ132&lt;&gt;"PF",AN132&lt;&gt;"NE",AG132&lt;&gt;"A"),AND(AL132="E",OR(AT132=1,AT132=3))),SickBY*W132,0)</f>
        <v>0</v>
      </c>
      <c r="BX132" s="462">
        <f t="shared" si="41"/>
        <v>17803.014320000002</v>
      </c>
      <c r="BY132" s="462">
        <f t="shared" si="42"/>
        <v>0</v>
      </c>
      <c r="BZ132" s="462">
        <f t="shared" si="43"/>
        <v>0</v>
      </c>
      <c r="CA132" s="462">
        <f t="shared" si="44"/>
        <v>0</v>
      </c>
      <c r="CB132" s="462">
        <f t="shared" si="45"/>
        <v>0</v>
      </c>
      <c r="CC132" s="462">
        <f>IF(AT132&lt;&gt;0,SSHICHG*Y132,0)</f>
        <v>0</v>
      </c>
      <c r="CD132" s="462">
        <f>IF(AND(AT132&lt;&gt;0,AN132&lt;&gt;"NE"),VLOOKUP(AN132,Retirement_Rates,5,FALSE)*Y132,0)</f>
        <v>0</v>
      </c>
      <c r="CE132" s="462">
        <f>IF(AND(AT132&lt;&gt;0,AJ132&lt;&gt;"PF"),LifeCHG*Y132,0)</f>
        <v>0</v>
      </c>
      <c r="CF132" s="462">
        <f>IF(AND(AT132&lt;&gt;0,AM132="Y"),UICHG*Y132,0)</f>
        <v>-414.71247999999997</v>
      </c>
      <c r="CG132" s="462">
        <f>IF(AND(AT132&lt;&gt;0,N132&lt;&gt;"NR"),DHRCHG*Y132,0)</f>
        <v>0</v>
      </c>
      <c r="CH132" s="462">
        <f>IF(AT132&lt;&gt;0,WCCHG*Y132,0)</f>
        <v>-25.390560000000011</v>
      </c>
      <c r="CI132" s="462">
        <f>IF(OR(AND(AT132&lt;&gt;0,AJ132&lt;&gt;"PF",AN132&lt;&gt;"NE",AG132&lt;&gt;"A"),AND(AL132="E",OR(AT132=1,AT132=3))),SickCHG*Y132,0)</f>
        <v>0</v>
      </c>
      <c r="CJ132" s="462">
        <f t="shared" si="46"/>
        <v>-440.10303999999996</v>
      </c>
      <c r="CK132" s="462" t="str">
        <f t="shared" si="47"/>
        <v/>
      </c>
      <c r="CL132" s="462" t="str">
        <f t="shared" si="48"/>
        <v/>
      </c>
      <c r="CM132" s="462" t="str">
        <f t="shared" si="49"/>
        <v/>
      </c>
      <c r="CN132" s="462" t="str">
        <f t="shared" si="50"/>
        <v>0450-38</v>
      </c>
    </row>
    <row r="133" spans="1:92" ht="15" thickBot="1" x14ac:dyDescent="0.35">
      <c r="A133" s="376" t="s">
        <v>161</v>
      </c>
      <c r="B133" s="376" t="s">
        <v>162</v>
      </c>
      <c r="C133" s="376" t="s">
        <v>377</v>
      </c>
      <c r="D133" s="376" t="s">
        <v>313</v>
      </c>
      <c r="E133" s="376" t="s">
        <v>314</v>
      </c>
      <c r="F133" s="382" t="s">
        <v>406</v>
      </c>
      <c r="G133" s="376" t="s">
        <v>167</v>
      </c>
      <c r="H133" s="378"/>
      <c r="I133" s="378"/>
      <c r="J133" s="376" t="s">
        <v>168</v>
      </c>
      <c r="K133" s="376" t="s">
        <v>344</v>
      </c>
      <c r="L133" s="376" t="s">
        <v>181</v>
      </c>
      <c r="M133" s="376" t="s">
        <v>171</v>
      </c>
      <c r="N133" s="376" t="s">
        <v>172</v>
      </c>
      <c r="O133" s="379">
        <v>1</v>
      </c>
      <c r="P133" s="460">
        <v>0</v>
      </c>
      <c r="Q133" s="460">
        <v>0</v>
      </c>
      <c r="R133" s="380">
        <v>80</v>
      </c>
      <c r="S133" s="460">
        <v>0</v>
      </c>
      <c r="T133" s="380">
        <v>87974.52</v>
      </c>
      <c r="U133" s="380">
        <v>0</v>
      </c>
      <c r="V133" s="380">
        <v>30902.45</v>
      </c>
      <c r="W133" s="380">
        <v>0</v>
      </c>
      <c r="X133" s="380">
        <v>0</v>
      </c>
      <c r="Y133" s="380">
        <v>0</v>
      </c>
      <c r="Z133" s="380">
        <v>0</v>
      </c>
      <c r="AA133" s="376" t="s">
        <v>378</v>
      </c>
      <c r="AB133" s="376" t="s">
        <v>379</v>
      </c>
      <c r="AC133" s="376" t="s">
        <v>194</v>
      </c>
      <c r="AD133" s="376" t="s">
        <v>270</v>
      </c>
      <c r="AE133" s="376" t="s">
        <v>344</v>
      </c>
      <c r="AF133" s="376" t="s">
        <v>349</v>
      </c>
      <c r="AG133" s="376" t="s">
        <v>178</v>
      </c>
      <c r="AH133" s="381">
        <v>42.55</v>
      </c>
      <c r="AI133" s="379">
        <v>35952</v>
      </c>
      <c r="AJ133" s="376" t="s">
        <v>179</v>
      </c>
      <c r="AK133" s="376" t="s">
        <v>180</v>
      </c>
      <c r="AL133" s="376" t="s">
        <v>181</v>
      </c>
      <c r="AM133" s="376" t="s">
        <v>182</v>
      </c>
      <c r="AN133" s="376" t="s">
        <v>68</v>
      </c>
      <c r="AO133" s="379">
        <v>80</v>
      </c>
      <c r="AP133" s="460">
        <v>1</v>
      </c>
      <c r="AQ133" s="460">
        <v>0</v>
      </c>
      <c r="AR133" s="458" t="s">
        <v>183</v>
      </c>
      <c r="AS133" s="462">
        <f t="shared" si="34"/>
        <v>0</v>
      </c>
      <c r="AT133">
        <f t="shared" si="35"/>
        <v>0</v>
      </c>
      <c r="AU133" s="462" t="str">
        <f>IF(AT133=0,"",IF(AND(AT133=1,M133="F",SUMIF(C2:C170,C133,AS2:AS170)&lt;=1),SUMIF(C2:C170,C133,AS2:AS170),IF(AND(AT133=1,M133="F",SUMIF(C2:C170,C133,AS2:AS170)&gt;1),1,"")))</f>
        <v/>
      </c>
      <c r="AV133" s="462" t="str">
        <f>IF(AT133=0,"",IF(AND(AT133=3,M133="F",SUMIF(C2:C170,C133,AS2:AS170)&lt;=1),SUMIF(C2:C170,C133,AS2:AS170),IF(AND(AT133=3,M133="F",SUMIF(C2:C170,C133,AS2:AS170)&gt;1),1,"")))</f>
        <v/>
      </c>
      <c r="AW133" s="462">
        <f>SUMIF(C2:C170,C133,O2:O170)</f>
        <v>2</v>
      </c>
      <c r="AX133" s="462">
        <f>IF(AND(M133="F",AS133&lt;&gt;0),SUMIF(C2:C170,C133,W2:W170),0)</f>
        <v>0</v>
      </c>
      <c r="AY133" s="462" t="str">
        <f t="shared" si="36"/>
        <v/>
      </c>
      <c r="AZ133" s="462" t="str">
        <f t="shared" si="37"/>
        <v/>
      </c>
      <c r="BA133" s="462">
        <f t="shared" si="38"/>
        <v>0</v>
      </c>
      <c r="BB133" s="462">
        <f>IF(AND(AT133=1,AK133="E",AU133&gt;=0.75,AW133=1),Health,IF(AND(AT133=1,AK133="E",AU133&gt;=0.75),Health*P133,IF(AND(AT133=1,AK133="E",AU133&gt;=0.5,AW133=1),PTHealth,IF(AND(AT133=1,AK133="E",AU133&gt;=0.5),PTHealth*P133,0))))</f>
        <v>0</v>
      </c>
      <c r="BC133" s="462">
        <f>IF(AND(AT133=3,AK133="E",AV133&gt;=0.75,AW133=1),Health,IF(AND(AT133=3,AK133="E",AV133&gt;=0.75),Health*P133,IF(AND(AT133=3,AK133="E",AV133&gt;=0.5,AW133=1),PTHealth,IF(AND(AT133=3,AK133="E",AV133&gt;=0.5),PTHealth*P133,0))))</f>
        <v>0</v>
      </c>
      <c r="BD133" s="462">
        <f>IF(AND(AT133&lt;&gt;0,AX133&gt;=MAXSSDI),SSDI*MAXSSDI*P133,IF(AT133&lt;&gt;0,SSDI*W133,0))</f>
        <v>0</v>
      </c>
      <c r="BE133" s="462">
        <f>IF(AT133&lt;&gt;0,SSHI*W133,0)</f>
        <v>0</v>
      </c>
      <c r="BF133" s="462">
        <f>IF(AND(AT133&lt;&gt;0,AN133&lt;&gt;"NE"),VLOOKUP(AN133,Retirement_Rates,3,FALSE)*W133,0)</f>
        <v>0</v>
      </c>
      <c r="BG133" s="462">
        <f>IF(AND(AT133&lt;&gt;0,AJ133&lt;&gt;"PF"),Life*W133,0)</f>
        <v>0</v>
      </c>
      <c r="BH133" s="462">
        <f>IF(AND(AT133&lt;&gt;0,AM133="Y"),UI*W133,0)</f>
        <v>0</v>
      </c>
      <c r="BI133" s="462">
        <f>IF(AND(AT133&lt;&gt;0,N133&lt;&gt;"NR"),DHR*W133,0)</f>
        <v>0</v>
      </c>
      <c r="BJ133" s="462">
        <f>IF(AT133&lt;&gt;0,WC*W133,0)</f>
        <v>0</v>
      </c>
      <c r="BK133" s="462">
        <f>IF(OR(AND(AT133&lt;&gt;0,AJ133&lt;&gt;"PF",AN133&lt;&gt;"NE",AG133&lt;&gt;"A"),AND(AL133="E",OR(AT133=1,AT133=3))),Sick*W133,0)</f>
        <v>0</v>
      </c>
      <c r="BL133" s="462">
        <f t="shared" si="39"/>
        <v>0</v>
      </c>
      <c r="BM133" s="462">
        <f t="shared" si="40"/>
        <v>0</v>
      </c>
      <c r="BN133" s="462">
        <f>IF(AND(AT133=1,AK133="E",AU133&gt;=0.75,AW133=1),HealthBY,IF(AND(AT133=1,AK133="E",AU133&gt;=0.75),HealthBY*P133,IF(AND(AT133=1,AK133="E",AU133&gt;=0.5,AW133=1),PTHealthBY,IF(AND(AT133=1,AK133="E",AU133&gt;=0.5),PTHealthBY*P133,0))))</f>
        <v>0</v>
      </c>
      <c r="BO133" s="462">
        <f>IF(AND(AT133=3,AK133="E",AV133&gt;=0.75,AW133=1),HealthBY,IF(AND(AT133=3,AK133="E",AV133&gt;=0.75),HealthBY*P133,IF(AND(AT133=3,AK133="E",AV133&gt;=0.5,AW133=1),PTHealthBY,IF(AND(AT133=3,AK133="E",AV133&gt;=0.5),PTHealthBY*P133,0))))</f>
        <v>0</v>
      </c>
      <c r="BP133" s="462">
        <f>IF(AND(AT133&lt;&gt;0,(AX133+BA133)&gt;=MAXSSDIBY),SSDIBY*MAXSSDIBY*P133,IF(AT133&lt;&gt;0,SSDIBY*W133,0))</f>
        <v>0</v>
      </c>
      <c r="BQ133" s="462">
        <f>IF(AT133&lt;&gt;0,SSHIBY*W133,0)</f>
        <v>0</v>
      </c>
      <c r="BR133" s="462">
        <f>IF(AND(AT133&lt;&gt;0,AN133&lt;&gt;"NE"),VLOOKUP(AN133,Retirement_Rates,4,FALSE)*W133,0)</f>
        <v>0</v>
      </c>
      <c r="BS133" s="462">
        <f>IF(AND(AT133&lt;&gt;0,AJ133&lt;&gt;"PF"),LifeBY*W133,0)</f>
        <v>0</v>
      </c>
      <c r="BT133" s="462">
        <f>IF(AND(AT133&lt;&gt;0,AM133="Y"),UIBY*W133,0)</f>
        <v>0</v>
      </c>
      <c r="BU133" s="462">
        <f>IF(AND(AT133&lt;&gt;0,N133&lt;&gt;"NR"),DHRBY*W133,0)</f>
        <v>0</v>
      </c>
      <c r="BV133" s="462">
        <f>IF(AT133&lt;&gt;0,WCBY*W133,0)</f>
        <v>0</v>
      </c>
      <c r="BW133" s="462">
        <f>IF(OR(AND(AT133&lt;&gt;0,AJ133&lt;&gt;"PF",AN133&lt;&gt;"NE",AG133&lt;&gt;"A"),AND(AL133="E",OR(AT133=1,AT133=3))),SickBY*W133,0)</f>
        <v>0</v>
      </c>
      <c r="BX133" s="462">
        <f t="shared" si="41"/>
        <v>0</v>
      </c>
      <c r="BY133" s="462">
        <f t="shared" si="42"/>
        <v>0</v>
      </c>
      <c r="BZ133" s="462">
        <f t="shared" si="43"/>
        <v>0</v>
      </c>
      <c r="CA133" s="462">
        <f t="shared" si="44"/>
        <v>0</v>
      </c>
      <c r="CB133" s="462">
        <f t="shared" si="45"/>
        <v>0</v>
      </c>
      <c r="CC133" s="462">
        <f>IF(AT133&lt;&gt;0,SSHICHG*Y133,0)</f>
        <v>0</v>
      </c>
      <c r="CD133" s="462">
        <f>IF(AND(AT133&lt;&gt;0,AN133&lt;&gt;"NE"),VLOOKUP(AN133,Retirement_Rates,5,FALSE)*Y133,0)</f>
        <v>0</v>
      </c>
      <c r="CE133" s="462">
        <f>IF(AND(AT133&lt;&gt;0,AJ133&lt;&gt;"PF"),LifeCHG*Y133,0)</f>
        <v>0</v>
      </c>
      <c r="CF133" s="462">
        <f>IF(AND(AT133&lt;&gt;0,AM133="Y"),UICHG*Y133,0)</f>
        <v>0</v>
      </c>
      <c r="CG133" s="462">
        <f>IF(AND(AT133&lt;&gt;0,N133&lt;&gt;"NR"),DHRCHG*Y133,0)</f>
        <v>0</v>
      </c>
      <c r="CH133" s="462">
        <f>IF(AT133&lt;&gt;0,WCCHG*Y133,0)</f>
        <v>0</v>
      </c>
      <c r="CI133" s="462">
        <f>IF(OR(AND(AT133&lt;&gt;0,AJ133&lt;&gt;"PF",AN133&lt;&gt;"NE",AG133&lt;&gt;"A"),AND(AL133="E",OR(AT133=1,AT133=3))),SickCHG*Y133,0)</f>
        <v>0</v>
      </c>
      <c r="CJ133" s="462">
        <f t="shared" si="46"/>
        <v>0</v>
      </c>
      <c r="CK133" s="462" t="str">
        <f t="shared" si="47"/>
        <v/>
      </c>
      <c r="CL133" s="462" t="str">
        <f t="shared" si="48"/>
        <v/>
      </c>
      <c r="CM133" s="462" t="str">
        <f t="shared" si="49"/>
        <v/>
      </c>
      <c r="CN133" s="462" t="str">
        <f t="shared" si="50"/>
        <v>0450-38</v>
      </c>
    </row>
    <row r="134" spans="1:92" ht="15" thickBot="1" x14ac:dyDescent="0.35">
      <c r="A134" s="376" t="s">
        <v>161</v>
      </c>
      <c r="B134" s="376" t="s">
        <v>162</v>
      </c>
      <c r="C134" s="376" t="s">
        <v>667</v>
      </c>
      <c r="D134" s="376" t="s">
        <v>356</v>
      </c>
      <c r="E134" s="376" t="s">
        <v>314</v>
      </c>
      <c r="F134" s="382" t="s">
        <v>406</v>
      </c>
      <c r="G134" s="376" t="s">
        <v>167</v>
      </c>
      <c r="H134" s="378"/>
      <c r="I134" s="378"/>
      <c r="J134" s="376" t="s">
        <v>168</v>
      </c>
      <c r="K134" s="376" t="s">
        <v>358</v>
      </c>
      <c r="L134" s="376" t="s">
        <v>176</v>
      </c>
      <c r="M134" s="376" t="s">
        <v>171</v>
      </c>
      <c r="N134" s="376" t="s">
        <v>172</v>
      </c>
      <c r="O134" s="379">
        <v>1</v>
      </c>
      <c r="P134" s="460">
        <v>1</v>
      </c>
      <c r="Q134" s="460">
        <v>1</v>
      </c>
      <c r="R134" s="380">
        <v>80</v>
      </c>
      <c r="S134" s="460">
        <v>1</v>
      </c>
      <c r="T134" s="380">
        <v>53774.66</v>
      </c>
      <c r="U134" s="380">
        <v>0</v>
      </c>
      <c r="V134" s="380">
        <v>23222.78</v>
      </c>
      <c r="W134" s="380">
        <v>54100.800000000003</v>
      </c>
      <c r="X134" s="380">
        <v>23311.39</v>
      </c>
      <c r="Y134" s="380">
        <v>54100.800000000003</v>
      </c>
      <c r="Z134" s="380">
        <v>23030.07</v>
      </c>
      <c r="AA134" s="376" t="s">
        <v>668</v>
      </c>
      <c r="AB134" s="376" t="s">
        <v>548</v>
      </c>
      <c r="AC134" s="376" t="s">
        <v>404</v>
      </c>
      <c r="AD134" s="376" t="s">
        <v>325</v>
      </c>
      <c r="AE134" s="376" t="s">
        <v>358</v>
      </c>
      <c r="AF134" s="376" t="s">
        <v>190</v>
      </c>
      <c r="AG134" s="376" t="s">
        <v>178</v>
      </c>
      <c r="AH134" s="381">
        <v>26.01</v>
      </c>
      <c r="AI134" s="381">
        <v>11972.4</v>
      </c>
      <c r="AJ134" s="376" t="s">
        <v>179</v>
      </c>
      <c r="AK134" s="376" t="s">
        <v>180</v>
      </c>
      <c r="AL134" s="376" t="s">
        <v>181</v>
      </c>
      <c r="AM134" s="376" t="s">
        <v>182</v>
      </c>
      <c r="AN134" s="376" t="s">
        <v>68</v>
      </c>
      <c r="AO134" s="379">
        <v>80</v>
      </c>
      <c r="AP134" s="460">
        <v>1</v>
      </c>
      <c r="AQ134" s="460">
        <v>1</v>
      </c>
      <c r="AR134" s="458" t="s">
        <v>183</v>
      </c>
      <c r="AS134" s="462">
        <f t="shared" si="34"/>
        <v>1</v>
      </c>
      <c r="AT134">
        <f t="shared" si="35"/>
        <v>1</v>
      </c>
      <c r="AU134" s="462">
        <f>IF(AT134=0,"",IF(AND(AT134=1,M134="F",SUMIF(C2:C170,C134,AS2:AS170)&lt;=1),SUMIF(C2:C170,C134,AS2:AS170),IF(AND(AT134=1,M134="F",SUMIF(C2:C170,C134,AS2:AS170)&gt;1),1,"")))</f>
        <v>1</v>
      </c>
      <c r="AV134" s="462" t="str">
        <f>IF(AT134=0,"",IF(AND(AT134=3,M134="F",SUMIF(C2:C170,C134,AS2:AS170)&lt;=1),SUMIF(C2:C170,C134,AS2:AS170),IF(AND(AT134=3,M134="F",SUMIF(C2:C170,C134,AS2:AS170)&gt;1),1,"")))</f>
        <v/>
      </c>
      <c r="AW134" s="462">
        <f>SUMIF(C2:C170,C134,O2:O170)</f>
        <v>1</v>
      </c>
      <c r="AX134" s="462">
        <f>IF(AND(M134="F",AS134&lt;&gt;0),SUMIF(C2:C170,C134,W2:W170),0)</f>
        <v>54100.800000000003</v>
      </c>
      <c r="AY134" s="462">
        <f t="shared" si="36"/>
        <v>54100.800000000003</v>
      </c>
      <c r="AZ134" s="462" t="str">
        <f t="shared" si="37"/>
        <v/>
      </c>
      <c r="BA134" s="462">
        <f t="shared" si="38"/>
        <v>0</v>
      </c>
      <c r="BB134" s="462">
        <f>IF(AND(AT134=1,AK134="E",AU134&gt;=0.75,AW134=1),Health,IF(AND(AT134=1,AK134="E",AU134&gt;=0.75),Health*P134,IF(AND(AT134=1,AK134="E",AU134&gt;=0.5,AW134=1),PTHealth,IF(AND(AT134=1,AK134="E",AU134&gt;=0.5),PTHealth*P134,0))))</f>
        <v>11650</v>
      </c>
      <c r="BC134" s="462">
        <f>IF(AND(AT134=3,AK134="E",AV134&gt;=0.75,AW134=1),Health,IF(AND(AT134=3,AK134="E",AV134&gt;=0.75),Health*P134,IF(AND(AT134=3,AK134="E",AV134&gt;=0.5,AW134=1),PTHealth,IF(AND(AT134=3,AK134="E",AV134&gt;=0.5),PTHealth*P134,0))))</f>
        <v>0</v>
      </c>
      <c r="BD134" s="462">
        <f>IF(AND(AT134&lt;&gt;0,AX134&gt;=MAXSSDI),SSDI*MAXSSDI*P134,IF(AT134&lt;&gt;0,SSDI*W134,0))</f>
        <v>3354.2496000000001</v>
      </c>
      <c r="BE134" s="462">
        <f>IF(AT134&lt;&gt;0,SSHI*W134,0)</f>
        <v>784.46160000000009</v>
      </c>
      <c r="BF134" s="462">
        <f>IF(AND(AT134&lt;&gt;0,AN134&lt;&gt;"NE"),VLOOKUP(AN134,Retirement_Rates,3,FALSE)*W134,0)</f>
        <v>6459.6355200000007</v>
      </c>
      <c r="BG134" s="462">
        <f>IF(AND(AT134&lt;&gt;0,AJ134&lt;&gt;"PF"),Life*W134,0)</f>
        <v>390.06676800000002</v>
      </c>
      <c r="BH134" s="462">
        <f>IF(AND(AT134&lt;&gt;0,AM134="Y"),UI*W134,0)</f>
        <v>265.09392000000003</v>
      </c>
      <c r="BI134" s="462">
        <f>IF(AND(AT134&lt;&gt;0,N134&lt;&gt;"NR"),DHR*W134,0)</f>
        <v>299.71843200000001</v>
      </c>
      <c r="BJ134" s="462">
        <f>IF(AT134&lt;&gt;0,WC*W134,0)</f>
        <v>108.20160000000001</v>
      </c>
      <c r="BK134" s="462">
        <f>IF(OR(AND(AT134&lt;&gt;0,AJ134&lt;&gt;"PF",AN134&lt;&gt;"NE",AG134&lt;&gt;"A"),AND(AL134="E",OR(AT134=1,AT134=3))),Sick*W134,0)</f>
        <v>0</v>
      </c>
      <c r="BL134" s="462">
        <f t="shared" si="39"/>
        <v>11661.427440000001</v>
      </c>
      <c r="BM134" s="462">
        <f t="shared" si="40"/>
        <v>0</v>
      </c>
      <c r="BN134" s="462">
        <f>IF(AND(AT134=1,AK134="E",AU134&gt;=0.75,AW134=1),HealthBY,IF(AND(AT134=1,AK134="E",AU134&gt;=0.75),HealthBY*P134,IF(AND(AT134=1,AK134="E",AU134&gt;=0.5,AW134=1),PTHealthBY,IF(AND(AT134=1,AK134="E",AU134&gt;=0.5),PTHealthBY*P134,0))))</f>
        <v>11650</v>
      </c>
      <c r="BO134" s="462">
        <f>IF(AND(AT134=3,AK134="E",AV134&gt;=0.75,AW134=1),HealthBY,IF(AND(AT134=3,AK134="E",AV134&gt;=0.75),HealthBY*P134,IF(AND(AT134=3,AK134="E",AV134&gt;=0.5,AW134=1),PTHealthBY,IF(AND(AT134=3,AK134="E",AV134&gt;=0.5),PTHealthBY*P134,0))))</f>
        <v>0</v>
      </c>
      <c r="BP134" s="462">
        <f>IF(AND(AT134&lt;&gt;0,(AX134+BA134)&gt;=MAXSSDIBY),SSDIBY*MAXSSDIBY*P134,IF(AT134&lt;&gt;0,SSDIBY*W134,0))</f>
        <v>3354.2496000000001</v>
      </c>
      <c r="BQ134" s="462">
        <f>IF(AT134&lt;&gt;0,SSHIBY*W134,0)</f>
        <v>784.46160000000009</v>
      </c>
      <c r="BR134" s="462">
        <f>IF(AND(AT134&lt;&gt;0,AN134&lt;&gt;"NE"),VLOOKUP(AN134,Retirement_Rates,4,FALSE)*W134,0)</f>
        <v>6459.6355200000007</v>
      </c>
      <c r="BS134" s="462">
        <f>IF(AND(AT134&lt;&gt;0,AJ134&lt;&gt;"PF"),LifeBY*W134,0)</f>
        <v>390.06676800000002</v>
      </c>
      <c r="BT134" s="462">
        <f>IF(AND(AT134&lt;&gt;0,AM134="Y"),UIBY*W134,0)</f>
        <v>0</v>
      </c>
      <c r="BU134" s="462">
        <f>IF(AND(AT134&lt;&gt;0,N134&lt;&gt;"NR"),DHRBY*W134,0)</f>
        <v>299.71843200000001</v>
      </c>
      <c r="BV134" s="462">
        <f>IF(AT134&lt;&gt;0,WCBY*W134,0)</f>
        <v>91.971360000000004</v>
      </c>
      <c r="BW134" s="462">
        <f>IF(OR(AND(AT134&lt;&gt;0,AJ134&lt;&gt;"PF",AN134&lt;&gt;"NE",AG134&lt;&gt;"A"),AND(AL134="E",OR(AT134=1,AT134=3))),SickBY*W134,0)</f>
        <v>0</v>
      </c>
      <c r="BX134" s="462">
        <f t="shared" si="41"/>
        <v>11380.103280000001</v>
      </c>
      <c r="BY134" s="462">
        <f t="shared" si="42"/>
        <v>0</v>
      </c>
      <c r="BZ134" s="462">
        <f t="shared" si="43"/>
        <v>0</v>
      </c>
      <c r="CA134" s="462">
        <f t="shared" si="44"/>
        <v>0</v>
      </c>
      <c r="CB134" s="462">
        <f t="shared" si="45"/>
        <v>0</v>
      </c>
      <c r="CC134" s="462">
        <f>IF(AT134&lt;&gt;0,SSHICHG*Y134,0)</f>
        <v>0</v>
      </c>
      <c r="CD134" s="462">
        <f>IF(AND(AT134&lt;&gt;0,AN134&lt;&gt;"NE"),VLOOKUP(AN134,Retirement_Rates,5,FALSE)*Y134,0)</f>
        <v>0</v>
      </c>
      <c r="CE134" s="462">
        <f>IF(AND(AT134&lt;&gt;0,AJ134&lt;&gt;"PF"),LifeCHG*Y134,0)</f>
        <v>0</v>
      </c>
      <c r="CF134" s="462">
        <f>IF(AND(AT134&lt;&gt;0,AM134="Y"),UICHG*Y134,0)</f>
        <v>-265.09392000000003</v>
      </c>
      <c r="CG134" s="462">
        <f>IF(AND(AT134&lt;&gt;0,N134&lt;&gt;"NR"),DHRCHG*Y134,0)</f>
        <v>0</v>
      </c>
      <c r="CH134" s="462">
        <f>IF(AT134&lt;&gt;0,WCCHG*Y134,0)</f>
        <v>-16.230240000000009</v>
      </c>
      <c r="CI134" s="462">
        <f>IF(OR(AND(AT134&lt;&gt;0,AJ134&lt;&gt;"PF",AN134&lt;&gt;"NE",AG134&lt;&gt;"A"),AND(AL134="E",OR(AT134=1,AT134=3))),SickCHG*Y134,0)</f>
        <v>0</v>
      </c>
      <c r="CJ134" s="462">
        <f t="shared" si="46"/>
        <v>-281.32416000000001</v>
      </c>
      <c r="CK134" s="462" t="str">
        <f t="shared" si="47"/>
        <v/>
      </c>
      <c r="CL134" s="462" t="str">
        <f t="shared" si="48"/>
        <v/>
      </c>
      <c r="CM134" s="462" t="str">
        <f t="shared" si="49"/>
        <v/>
      </c>
      <c r="CN134" s="462" t="str">
        <f t="shared" si="50"/>
        <v>0450-38</v>
      </c>
    </row>
    <row r="135" spans="1:92" ht="15" thickBot="1" x14ac:dyDescent="0.35">
      <c r="A135" s="376" t="s">
        <v>161</v>
      </c>
      <c r="B135" s="376" t="s">
        <v>162</v>
      </c>
      <c r="C135" s="376" t="s">
        <v>669</v>
      </c>
      <c r="D135" s="376" t="s">
        <v>356</v>
      </c>
      <c r="E135" s="376" t="s">
        <v>314</v>
      </c>
      <c r="F135" s="382" t="s">
        <v>406</v>
      </c>
      <c r="G135" s="376" t="s">
        <v>167</v>
      </c>
      <c r="H135" s="378"/>
      <c r="I135" s="378"/>
      <c r="J135" s="376" t="s">
        <v>168</v>
      </c>
      <c r="K135" s="376" t="s">
        <v>358</v>
      </c>
      <c r="L135" s="376" t="s">
        <v>176</v>
      </c>
      <c r="M135" s="376" t="s">
        <v>171</v>
      </c>
      <c r="N135" s="376" t="s">
        <v>172</v>
      </c>
      <c r="O135" s="379">
        <v>1</v>
      </c>
      <c r="P135" s="460">
        <v>1</v>
      </c>
      <c r="Q135" s="460">
        <v>1</v>
      </c>
      <c r="R135" s="380">
        <v>80</v>
      </c>
      <c r="S135" s="460">
        <v>1</v>
      </c>
      <c r="T135" s="380">
        <v>53651.05</v>
      </c>
      <c r="U135" s="380">
        <v>0</v>
      </c>
      <c r="V135" s="380">
        <v>25726.05</v>
      </c>
      <c r="W135" s="380">
        <v>54641.599999999999</v>
      </c>
      <c r="X135" s="380">
        <v>23427.96</v>
      </c>
      <c r="Y135" s="380">
        <v>54641.599999999999</v>
      </c>
      <c r="Z135" s="380">
        <v>23143.83</v>
      </c>
      <c r="AA135" s="376" t="s">
        <v>670</v>
      </c>
      <c r="AB135" s="376" t="s">
        <v>671</v>
      </c>
      <c r="AC135" s="376" t="s">
        <v>507</v>
      </c>
      <c r="AD135" s="376" t="s">
        <v>672</v>
      </c>
      <c r="AE135" s="376" t="s">
        <v>358</v>
      </c>
      <c r="AF135" s="376" t="s">
        <v>190</v>
      </c>
      <c r="AG135" s="376" t="s">
        <v>178</v>
      </c>
      <c r="AH135" s="381">
        <v>26.27</v>
      </c>
      <c r="AI135" s="381">
        <v>7326.9</v>
      </c>
      <c r="AJ135" s="376" t="s">
        <v>179</v>
      </c>
      <c r="AK135" s="376" t="s">
        <v>180</v>
      </c>
      <c r="AL135" s="376" t="s">
        <v>181</v>
      </c>
      <c r="AM135" s="376" t="s">
        <v>182</v>
      </c>
      <c r="AN135" s="376" t="s">
        <v>68</v>
      </c>
      <c r="AO135" s="379">
        <v>80</v>
      </c>
      <c r="AP135" s="460">
        <v>1</v>
      </c>
      <c r="AQ135" s="460">
        <v>1</v>
      </c>
      <c r="AR135" s="458" t="s">
        <v>183</v>
      </c>
      <c r="AS135" s="462">
        <f t="shared" si="34"/>
        <v>1</v>
      </c>
      <c r="AT135">
        <f t="shared" si="35"/>
        <v>1</v>
      </c>
      <c r="AU135" s="462">
        <f>IF(AT135=0,"",IF(AND(AT135=1,M135="F",SUMIF(C2:C170,C135,AS2:AS170)&lt;=1),SUMIF(C2:C170,C135,AS2:AS170),IF(AND(AT135=1,M135="F",SUMIF(C2:C170,C135,AS2:AS170)&gt;1),1,"")))</f>
        <v>1</v>
      </c>
      <c r="AV135" s="462" t="str">
        <f>IF(AT135=0,"",IF(AND(AT135=3,M135="F",SUMIF(C2:C170,C135,AS2:AS170)&lt;=1),SUMIF(C2:C170,C135,AS2:AS170),IF(AND(AT135=3,M135="F",SUMIF(C2:C170,C135,AS2:AS170)&gt;1),1,"")))</f>
        <v/>
      </c>
      <c r="AW135" s="462">
        <f>SUMIF(C2:C170,C135,O2:O170)</f>
        <v>1</v>
      </c>
      <c r="AX135" s="462">
        <f>IF(AND(M135="F",AS135&lt;&gt;0),SUMIF(C2:C170,C135,W2:W170),0)</f>
        <v>54641.599999999999</v>
      </c>
      <c r="AY135" s="462">
        <f t="shared" si="36"/>
        <v>54641.599999999999</v>
      </c>
      <c r="AZ135" s="462" t="str">
        <f t="shared" si="37"/>
        <v/>
      </c>
      <c r="BA135" s="462">
        <f t="shared" si="38"/>
        <v>0</v>
      </c>
      <c r="BB135" s="462">
        <f>IF(AND(AT135=1,AK135="E",AU135&gt;=0.75,AW135=1),Health,IF(AND(AT135=1,AK135="E",AU135&gt;=0.75),Health*P135,IF(AND(AT135=1,AK135="E",AU135&gt;=0.5,AW135=1),PTHealth,IF(AND(AT135=1,AK135="E",AU135&gt;=0.5),PTHealth*P135,0))))</f>
        <v>11650</v>
      </c>
      <c r="BC135" s="462">
        <f>IF(AND(AT135=3,AK135="E",AV135&gt;=0.75,AW135=1),Health,IF(AND(AT135=3,AK135="E",AV135&gt;=0.75),Health*P135,IF(AND(AT135=3,AK135="E",AV135&gt;=0.5,AW135=1),PTHealth,IF(AND(AT135=3,AK135="E",AV135&gt;=0.5),PTHealth*P135,0))))</f>
        <v>0</v>
      </c>
      <c r="BD135" s="462">
        <f>IF(AND(AT135&lt;&gt;0,AX135&gt;=MAXSSDI),SSDI*MAXSSDI*P135,IF(AT135&lt;&gt;0,SSDI*W135,0))</f>
        <v>3387.7791999999999</v>
      </c>
      <c r="BE135" s="462">
        <f>IF(AT135&lt;&gt;0,SSHI*W135,0)</f>
        <v>792.30320000000006</v>
      </c>
      <c r="BF135" s="462">
        <f>IF(AND(AT135&lt;&gt;0,AN135&lt;&gt;"NE"),VLOOKUP(AN135,Retirement_Rates,3,FALSE)*W135,0)</f>
        <v>6524.2070400000002</v>
      </c>
      <c r="BG135" s="462">
        <f>IF(AND(AT135&lt;&gt;0,AJ135&lt;&gt;"PF"),Life*W135,0)</f>
        <v>393.965936</v>
      </c>
      <c r="BH135" s="462">
        <f>IF(AND(AT135&lt;&gt;0,AM135="Y"),UI*W135,0)</f>
        <v>267.74383999999998</v>
      </c>
      <c r="BI135" s="462">
        <f>IF(AND(AT135&lt;&gt;0,N135&lt;&gt;"NR"),DHR*W135,0)</f>
        <v>302.71446399999996</v>
      </c>
      <c r="BJ135" s="462">
        <f>IF(AT135&lt;&gt;0,WC*W135,0)</f>
        <v>109.28319999999999</v>
      </c>
      <c r="BK135" s="462">
        <f>IF(OR(AND(AT135&lt;&gt;0,AJ135&lt;&gt;"PF",AN135&lt;&gt;"NE",AG135&lt;&gt;"A"),AND(AL135="E",OR(AT135=1,AT135=3))),Sick*W135,0)</f>
        <v>0</v>
      </c>
      <c r="BL135" s="462">
        <f t="shared" si="39"/>
        <v>11777.996880000001</v>
      </c>
      <c r="BM135" s="462">
        <f t="shared" si="40"/>
        <v>0</v>
      </c>
      <c r="BN135" s="462">
        <f>IF(AND(AT135=1,AK135="E",AU135&gt;=0.75,AW135=1),HealthBY,IF(AND(AT135=1,AK135="E",AU135&gt;=0.75),HealthBY*P135,IF(AND(AT135=1,AK135="E",AU135&gt;=0.5,AW135=1),PTHealthBY,IF(AND(AT135=1,AK135="E",AU135&gt;=0.5),PTHealthBY*P135,0))))</f>
        <v>11650</v>
      </c>
      <c r="BO135" s="462">
        <f>IF(AND(AT135=3,AK135="E",AV135&gt;=0.75,AW135=1),HealthBY,IF(AND(AT135=3,AK135="E",AV135&gt;=0.75),HealthBY*P135,IF(AND(AT135=3,AK135="E",AV135&gt;=0.5,AW135=1),PTHealthBY,IF(AND(AT135=3,AK135="E",AV135&gt;=0.5),PTHealthBY*P135,0))))</f>
        <v>0</v>
      </c>
      <c r="BP135" s="462">
        <f>IF(AND(AT135&lt;&gt;0,(AX135+BA135)&gt;=MAXSSDIBY),SSDIBY*MAXSSDIBY*P135,IF(AT135&lt;&gt;0,SSDIBY*W135,0))</f>
        <v>3387.7791999999999</v>
      </c>
      <c r="BQ135" s="462">
        <f>IF(AT135&lt;&gt;0,SSHIBY*W135,0)</f>
        <v>792.30320000000006</v>
      </c>
      <c r="BR135" s="462">
        <f>IF(AND(AT135&lt;&gt;0,AN135&lt;&gt;"NE"),VLOOKUP(AN135,Retirement_Rates,4,FALSE)*W135,0)</f>
        <v>6524.2070400000002</v>
      </c>
      <c r="BS135" s="462">
        <f>IF(AND(AT135&lt;&gt;0,AJ135&lt;&gt;"PF"),LifeBY*W135,0)</f>
        <v>393.965936</v>
      </c>
      <c r="BT135" s="462">
        <f>IF(AND(AT135&lt;&gt;0,AM135="Y"),UIBY*W135,0)</f>
        <v>0</v>
      </c>
      <c r="BU135" s="462">
        <f>IF(AND(AT135&lt;&gt;0,N135&lt;&gt;"NR"),DHRBY*W135,0)</f>
        <v>302.71446399999996</v>
      </c>
      <c r="BV135" s="462">
        <f>IF(AT135&lt;&gt;0,WCBY*W135,0)</f>
        <v>92.890719999999988</v>
      </c>
      <c r="BW135" s="462">
        <f>IF(OR(AND(AT135&lt;&gt;0,AJ135&lt;&gt;"PF",AN135&lt;&gt;"NE",AG135&lt;&gt;"A"),AND(AL135="E",OR(AT135=1,AT135=3))),SickBY*W135,0)</f>
        <v>0</v>
      </c>
      <c r="BX135" s="462">
        <f t="shared" si="41"/>
        <v>11493.860560000001</v>
      </c>
      <c r="BY135" s="462">
        <f t="shared" si="42"/>
        <v>0</v>
      </c>
      <c r="BZ135" s="462">
        <f t="shared" si="43"/>
        <v>0</v>
      </c>
      <c r="CA135" s="462">
        <f t="shared" si="44"/>
        <v>0</v>
      </c>
      <c r="CB135" s="462">
        <f t="shared" si="45"/>
        <v>0</v>
      </c>
      <c r="CC135" s="462">
        <f>IF(AT135&lt;&gt;0,SSHICHG*Y135,0)</f>
        <v>0</v>
      </c>
      <c r="CD135" s="462">
        <f>IF(AND(AT135&lt;&gt;0,AN135&lt;&gt;"NE"),VLOOKUP(AN135,Retirement_Rates,5,FALSE)*Y135,0)</f>
        <v>0</v>
      </c>
      <c r="CE135" s="462">
        <f>IF(AND(AT135&lt;&gt;0,AJ135&lt;&gt;"PF"),LifeCHG*Y135,0)</f>
        <v>0</v>
      </c>
      <c r="CF135" s="462">
        <f>IF(AND(AT135&lt;&gt;0,AM135="Y"),UICHG*Y135,0)</f>
        <v>-267.74383999999998</v>
      </c>
      <c r="CG135" s="462">
        <f>IF(AND(AT135&lt;&gt;0,N135&lt;&gt;"NR"),DHRCHG*Y135,0)</f>
        <v>0</v>
      </c>
      <c r="CH135" s="462">
        <f>IF(AT135&lt;&gt;0,WCCHG*Y135,0)</f>
        <v>-16.392480000000006</v>
      </c>
      <c r="CI135" s="462">
        <f>IF(OR(AND(AT135&lt;&gt;0,AJ135&lt;&gt;"PF",AN135&lt;&gt;"NE",AG135&lt;&gt;"A"),AND(AL135="E",OR(AT135=1,AT135=3))),SickCHG*Y135,0)</f>
        <v>0</v>
      </c>
      <c r="CJ135" s="462">
        <f t="shared" si="46"/>
        <v>-284.13631999999996</v>
      </c>
      <c r="CK135" s="462" t="str">
        <f t="shared" si="47"/>
        <v/>
      </c>
      <c r="CL135" s="462" t="str">
        <f t="shared" si="48"/>
        <v/>
      </c>
      <c r="CM135" s="462" t="str">
        <f t="shared" si="49"/>
        <v/>
      </c>
      <c r="CN135" s="462" t="str">
        <f t="shared" si="50"/>
        <v>0450-38</v>
      </c>
    </row>
    <row r="136" spans="1:92" ht="15" thickBot="1" x14ac:dyDescent="0.35">
      <c r="A136" s="376" t="s">
        <v>161</v>
      </c>
      <c r="B136" s="376" t="s">
        <v>162</v>
      </c>
      <c r="C136" s="376" t="s">
        <v>673</v>
      </c>
      <c r="D136" s="376" t="s">
        <v>313</v>
      </c>
      <c r="E136" s="376" t="s">
        <v>314</v>
      </c>
      <c r="F136" s="382" t="s">
        <v>406</v>
      </c>
      <c r="G136" s="376" t="s">
        <v>167</v>
      </c>
      <c r="H136" s="378"/>
      <c r="I136" s="378"/>
      <c r="J136" s="376" t="s">
        <v>168</v>
      </c>
      <c r="K136" s="376" t="s">
        <v>344</v>
      </c>
      <c r="L136" s="376" t="s">
        <v>181</v>
      </c>
      <c r="M136" s="376" t="s">
        <v>171</v>
      </c>
      <c r="N136" s="376" t="s">
        <v>172</v>
      </c>
      <c r="O136" s="379">
        <v>1</v>
      </c>
      <c r="P136" s="460">
        <v>1</v>
      </c>
      <c r="Q136" s="460">
        <v>1</v>
      </c>
      <c r="R136" s="380">
        <v>80</v>
      </c>
      <c r="S136" s="460">
        <v>1</v>
      </c>
      <c r="T136" s="380">
        <v>83097.7</v>
      </c>
      <c r="U136" s="380">
        <v>0</v>
      </c>
      <c r="V136" s="380">
        <v>28795.7</v>
      </c>
      <c r="W136" s="380">
        <v>81952</v>
      </c>
      <c r="X136" s="380">
        <v>29314.720000000001</v>
      </c>
      <c r="Y136" s="380">
        <v>81952</v>
      </c>
      <c r="Z136" s="380">
        <v>28888.57</v>
      </c>
      <c r="AA136" s="376" t="s">
        <v>674</v>
      </c>
      <c r="AB136" s="376" t="s">
        <v>675</v>
      </c>
      <c r="AC136" s="376" t="s">
        <v>676</v>
      </c>
      <c r="AD136" s="376" t="s">
        <v>171</v>
      </c>
      <c r="AE136" s="376" t="s">
        <v>344</v>
      </c>
      <c r="AF136" s="376" t="s">
        <v>349</v>
      </c>
      <c r="AG136" s="376" t="s">
        <v>178</v>
      </c>
      <c r="AH136" s="381">
        <v>39.4</v>
      </c>
      <c r="AI136" s="381">
        <v>27575.7</v>
      </c>
      <c r="AJ136" s="376" t="s">
        <v>179</v>
      </c>
      <c r="AK136" s="376" t="s">
        <v>180</v>
      </c>
      <c r="AL136" s="376" t="s">
        <v>181</v>
      </c>
      <c r="AM136" s="376" t="s">
        <v>182</v>
      </c>
      <c r="AN136" s="376" t="s">
        <v>68</v>
      </c>
      <c r="AO136" s="379">
        <v>80</v>
      </c>
      <c r="AP136" s="460">
        <v>1</v>
      </c>
      <c r="AQ136" s="460">
        <v>1</v>
      </c>
      <c r="AR136" s="458" t="s">
        <v>183</v>
      </c>
      <c r="AS136" s="462">
        <f t="shared" si="34"/>
        <v>1</v>
      </c>
      <c r="AT136">
        <f t="shared" si="35"/>
        <v>1</v>
      </c>
      <c r="AU136" s="462">
        <f>IF(AT136=0,"",IF(AND(AT136=1,M136="F",SUMIF(C2:C170,C136,AS2:AS170)&lt;=1),SUMIF(C2:C170,C136,AS2:AS170),IF(AND(AT136=1,M136="F",SUMIF(C2:C170,C136,AS2:AS170)&gt;1),1,"")))</f>
        <v>1</v>
      </c>
      <c r="AV136" s="462" t="str">
        <f>IF(AT136=0,"",IF(AND(AT136=3,M136="F",SUMIF(C2:C170,C136,AS2:AS170)&lt;=1),SUMIF(C2:C170,C136,AS2:AS170),IF(AND(AT136=3,M136="F",SUMIF(C2:C170,C136,AS2:AS170)&gt;1),1,"")))</f>
        <v/>
      </c>
      <c r="AW136" s="462">
        <f>SUMIF(C2:C170,C136,O2:O170)</f>
        <v>1</v>
      </c>
      <c r="AX136" s="462">
        <f>IF(AND(M136="F",AS136&lt;&gt;0),SUMIF(C2:C170,C136,W2:W170),0)</f>
        <v>81952</v>
      </c>
      <c r="AY136" s="462">
        <f t="shared" si="36"/>
        <v>81952</v>
      </c>
      <c r="AZ136" s="462" t="str">
        <f t="shared" si="37"/>
        <v/>
      </c>
      <c r="BA136" s="462">
        <f t="shared" si="38"/>
        <v>0</v>
      </c>
      <c r="BB136" s="462">
        <f>IF(AND(AT136=1,AK136="E",AU136&gt;=0.75,AW136=1),Health,IF(AND(AT136=1,AK136="E",AU136&gt;=0.75),Health*P136,IF(AND(AT136=1,AK136="E",AU136&gt;=0.5,AW136=1),PTHealth,IF(AND(AT136=1,AK136="E",AU136&gt;=0.5),PTHealth*P136,0))))</f>
        <v>11650</v>
      </c>
      <c r="BC136" s="462">
        <f>IF(AND(AT136=3,AK136="E",AV136&gt;=0.75,AW136=1),Health,IF(AND(AT136=3,AK136="E",AV136&gt;=0.75),Health*P136,IF(AND(AT136=3,AK136="E",AV136&gt;=0.5,AW136=1),PTHealth,IF(AND(AT136=3,AK136="E",AV136&gt;=0.5),PTHealth*P136,0))))</f>
        <v>0</v>
      </c>
      <c r="BD136" s="462">
        <f>IF(AND(AT136&lt;&gt;0,AX136&gt;=MAXSSDI),SSDI*MAXSSDI*P136,IF(AT136&lt;&gt;0,SSDI*W136,0))</f>
        <v>5081.0240000000003</v>
      </c>
      <c r="BE136" s="462">
        <f>IF(AT136&lt;&gt;0,SSHI*W136,0)</f>
        <v>1188.3040000000001</v>
      </c>
      <c r="BF136" s="462">
        <f>IF(AND(AT136&lt;&gt;0,AN136&lt;&gt;"NE"),VLOOKUP(AN136,Retirement_Rates,3,FALSE)*W136,0)</f>
        <v>9785.0688000000009</v>
      </c>
      <c r="BG136" s="462">
        <f>IF(AND(AT136&lt;&gt;0,AJ136&lt;&gt;"PF"),Life*W136,0)</f>
        <v>590.87392</v>
      </c>
      <c r="BH136" s="462">
        <f>IF(AND(AT136&lt;&gt;0,AM136="Y"),UI*W136,0)</f>
        <v>401.56479999999999</v>
      </c>
      <c r="BI136" s="462">
        <f>IF(AND(AT136&lt;&gt;0,N136&lt;&gt;"NR"),DHR*W136,0)</f>
        <v>454.01407999999998</v>
      </c>
      <c r="BJ136" s="462">
        <f>IF(AT136&lt;&gt;0,WC*W136,0)</f>
        <v>163.904</v>
      </c>
      <c r="BK136" s="462">
        <f>IF(OR(AND(AT136&lt;&gt;0,AJ136&lt;&gt;"PF",AN136&lt;&gt;"NE",AG136&lt;&gt;"A"),AND(AL136="E",OR(AT136=1,AT136=3))),Sick*W136,0)</f>
        <v>0</v>
      </c>
      <c r="BL136" s="462">
        <f t="shared" si="39"/>
        <v>17664.7536</v>
      </c>
      <c r="BM136" s="462">
        <f t="shared" si="40"/>
        <v>0</v>
      </c>
      <c r="BN136" s="462">
        <f>IF(AND(AT136=1,AK136="E",AU136&gt;=0.75,AW136=1),HealthBY,IF(AND(AT136=1,AK136="E",AU136&gt;=0.75),HealthBY*P136,IF(AND(AT136=1,AK136="E",AU136&gt;=0.5,AW136=1),PTHealthBY,IF(AND(AT136=1,AK136="E",AU136&gt;=0.5),PTHealthBY*P136,0))))</f>
        <v>11650</v>
      </c>
      <c r="BO136" s="462">
        <f>IF(AND(AT136=3,AK136="E",AV136&gt;=0.75,AW136=1),HealthBY,IF(AND(AT136=3,AK136="E",AV136&gt;=0.75),HealthBY*P136,IF(AND(AT136=3,AK136="E",AV136&gt;=0.5,AW136=1),PTHealthBY,IF(AND(AT136=3,AK136="E",AV136&gt;=0.5),PTHealthBY*P136,0))))</f>
        <v>0</v>
      </c>
      <c r="BP136" s="462">
        <f>IF(AND(AT136&lt;&gt;0,(AX136+BA136)&gt;=MAXSSDIBY),SSDIBY*MAXSSDIBY*P136,IF(AT136&lt;&gt;0,SSDIBY*W136,0))</f>
        <v>5081.0240000000003</v>
      </c>
      <c r="BQ136" s="462">
        <f>IF(AT136&lt;&gt;0,SSHIBY*W136,0)</f>
        <v>1188.3040000000001</v>
      </c>
      <c r="BR136" s="462">
        <f>IF(AND(AT136&lt;&gt;0,AN136&lt;&gt;"NE"),VLOOKUP(AN136,Retirement_Rates,4,FALSE)*W136,0)</f>
        <v>9785.0688000000009</v>
      </c>
      <c r="BS136" s="462">
        <f>IF(AND(AT136&lt;&gt;0,AJ136&lt;&gt;"PF"),LifeBY*W136,0)</f>
        <v>590.87392</v>
      </c>
      <c r="BT136" s="462">
        <f>IF(AND(AT136&lt;&gt;0,AM136="Y"),UIBY*W136,0)</f>
        <v>0</v>
      </c>
      <c r="BU136" s="462">
        <f>IF(AND(AT136&lt;&gt;0,N136&lt;&gt;"NR"),DHRBY*W136,0)</f>
        <v>454.01407999999998</v>
      </c>
      <c r="BV136" s="462">
        <f>IF(AT136&lt;&gt;0,WCBY*W136,0)</f>
        <v>139.3184</v>
      </c>
      <c r="BW136" s="462">
        <f>IF(OR(AND(AT136&lt;&gt;0,AJ136&lt;&gt;"PF",AN136&lt;&gt;"NE",AG136&lt;&gt;"A"),AND(AL136="E",OR(AT136=1,AT136=3))),SickBY*W136,0)</f>
        <v>0</v>
      </c>
      <c r="BX136" s="462">
        <f t="shared" si="41"/>
        <v>17238.603200000001</v>
      </c>
      <c r="BY136" s="462">
        <f t="shared" si="42"/>
        <v>0</v>
      </c>
      <c r="BZ136" s="462">
        <f t="shared" si="43"/>
        <v>0</v>
      </c>
      <c r="CA136" s="462">
        <f t="shared" si="44"/>
        <v>0</v>
      </c>
      <c r="CB136" s="462">
        <f t="shared" si="45"/>
        <v>0</v>
      </c>
      <c r="CC136" s="462">
        <f>IF(AT136&lt;&gt;0,SSHICHG*Y136,0)</f>
        <v>0</v>
      </c>
      <c r="CD136" s="462">
        <f>IF(AND(AT136&lt;&gt;0,AN136&lt;&gt;"NE"),VLOOKUP(AN136,Retirement_Rates,5,FALSE)*Y136,0)</f>
        <v>0</v>
      </c>
      <c r="CE136" s="462">
        <f>IF(AND(AT136&lt;&gt;0,AJ136&lt;&gt;"PF"),LifeCHG*Y136,0)</f>
        <v>0</v>
      </c>
      <c r="CF136" s="462">
        <f>IF(AND(AT136&lt;&gt;0,AM136="Y"),UICHG*Y136,0)</f>
        <v>-401.56479999999999</v>
      </c>
      <c r="CG136" s="462">
        <f>IF(AND(AT136&lt;&gt;0,N136&lt;&gt;"NR"),DHRCHG*Y136,0)</f>
        <v>0</v>
      </c>
      <c r="CH136" s="462">
        <f>IF(AT136&lt;&gt;0,WCCHG*Y136,0)</f>
        <v>-24.58560000000001</v>
      </c>
      <c r="CI136" s="462">
        <f>IF(OR(AND(AT136&lt;&gt;0,AJ136&lt;&gt;"PF",AN136&lt;&gt;"NE",AG136&lt;&gt;"A"),AND(AL136="E",OR(AT136=1,AT136=3))),SickCHG*Y136,0)</f>
        <v>0</v>
      </c>
      <c r="CJ136" s="462">
        <f t="shared" si="46"/>
        <v>-426.15039999999999</v>
      </c>
      <c r="CK136" s="462" t="str">
        <f t="shared" si="47"/>
        <v/>
      </c>
      <c r="CL136" s="462" t="str">
        <f t="shared" si="48"/>
        <v/>
      </c>
      <c r="CM136" s="462" t="str">
        <f t="shared" si="49"/>
        <v/>
      </c>
      <c r="CN136" s="462" t="str">
        <f t="shared" si="50"/>
        <v>0450-38</v>
      </c>
    </row>
    <row r="137" spans="1:92" ht="15" thickBot="1" x14ac:dyDescent="0.35">
      <c r="A137" s="376" t="s">
        <v>161</v>
      </c>
      <c r="B137" s="376" t="s">
        <v>162</v>
      </c>
      <c r="C137" s="376" t="s">
        <v>677</v>
      </c>
      <c r="D137" s="376" t="s">
        <v>388</v>
      </c>
      <c r="E137" s="376" t="s">
        <v>314</v>
      </c>
      <c r="F137" s="382" t="s">
        <v>406</v>
      </c>
      <c r="G137" s="376" t="s">
        <v>167</v>
      </c>
      <c r="H137" s="378"/>
      <c r="I137" s="378"/>
      <c r="J137" s="376" t="s">
        <v>168</v>
      </c>
      <c r="K137" s="376" t="s">
        <v>389</v>
      </c>
      <c r="L137" s="376" t="s">
        <v>216</v>
      </c>
      <c r="M137" s="376" t="s">
        <v>171</v>
      </c>
      <c r="N137" s="376" t="s">
        <v>172</v>
      </c>
      <c r="O137" s="379">
        <v>1</v>
      </c>
      <c r="P137" s="460">
        <v>1</v>
      </c>
      <c r="Q137" s="460">
        <v>1</v>
      </c>
      <c r="R137" s="380">
        <v>80</v>
      </c>
      <c r="S137" s="460">
        <v>1</v>
      </c>
      <c r="T137" s="380">
        <v>59088.85</v>
      </c>
      <c r="U137" s="380">
        <v>0</v>
      </c>
      <c r="V137" s="380">
        <v>23519.81</v>
      </c>
      <c r="W137" s="380">
        <v>71281.600000000006</v>
      </c>
      <c r="X137" s="380">
        <v>27014.720000000001</v>
      </c>
      <c r="Y137" s="380">
        <v>71281.600000000006</v>
      </c>
      <c r="Z137" s="380">
        <v>26644.06</v>
      </c>
      <c r="AA137" s="376" t="s">
        <v>678</v>
      </c>
      <c r="AB137" s="376" t="s">
        <v>679</v>
      </c>
      <c r="AC137" s="376" t="s">
        <v>680</v>
      </c>
      <c r="AD137" s="376" t="s">
        <v>220</v>
      </c>
      <c r="AE137" s="376" t="s">
        <v>389</v>
      </c>
      <c r="AF137" s="376" t="s">
        <v>311</v>
      </c>
      <c r="AG137" s="376" t="s">
        <v>178</v>
      </c>
      <c r="AH137" s="381">
        <v>34.270000000000003</v>
      </c>
      <c r="AI137" s="379">
        <v>1764</v>
      </c>
      <c r="AJ137" s="376" t="s">
        <v>179</v>
      </c>
      <c r="AK137" s="376" t="s">
        <v>180</v>
      </c>
      <c r="AL137" s="376" t="s">
        <v>181</v>
      </c>
      <c r="AM137" s="376" t="s">
        <v>182</v>
      </c>
      <c r="AN137" s="376" t="s">
        <v>68</v>
      </c>
      <c r="AO137" s="379">
        <v>80</v>
      </c>
      <c r="AP137" s="460">
        <v>1</v>
      </c>
      <c r="AQ137" s="460">
        <v>1</v>
      </c>
      <c r="AR137" s="458" t="s">
        <v>183</v>
      </c>
      <c r="AS137" s="462">
        <f t="shared" si="34"/>
        <v>1</v>
      </c>
      <c r="AT137">
        <f t="shared" si="35"/>
        <v>1</v>
      </c>
      <c r="AU137" s="462">
        <f>IF(AT137=0,"",IF(AND(AT137=1,M137="F",SUMIF(C2:C170,C137,AS2:AS170)&lt;=1),SUMIF(C2:C170,C137,AS2:AS170),IF(AND(AT137=1,M137="F",SUMIF(C2:C170,C137,AS2:AS170)&gt;1),1,"")))</f>
        <v>1</v>
      </c>
      <c r="AV137" s="462" t="str">
        <f>IF(AT137=0,"",IF(AND(AT137=3,M137="F",SUMIF(C2:C170,C137,AS2:AS170)&lt;=1),SUMIF(C2:C170,C137,AS2:AS170),IF(AND(AT137=3,M137="F",SUMIF(C2:C170,C137,AS2:AS170)&gt;1),1,"")))</f>
        <v/>
      </c>
      <c r="AW137" s="462">
        <f>SUMIF(C2:C170,C137,O2:O170)</f>
        <v>1</v>
      </c>
      <c r="AX137" s="462">
        <f>IF(AND(M137="F",AS137&lt;&gt;0),SUMIF(C2:C170,C137,W2:W170),0)</f>
        <v>71281.600000000006</v>
      </c>
      <c r="AY137" s="462">
        <f t="shared" si="36"/>
        <v>71281.600000000006</v>
      </c>
      <c r="AZ137" s="462" t="str">
        <f t="shared" si="37"/>
        <v/>
      </c>
      <c r="BA137" s="462">
        <f t="shared" si="38"/>
        <v>0</v>
      </c>
      <c r="BB137" s="462">
        <f>IF(AND(AT137=1,AK137="E",AU137&gt;=0.75,AW137=1),Health,IF(AND(AT137=1,AK137="E",AU137&gt;=0.75),Health*P137,IF(AND(AT137=1,AK137="E",AU137&gt;=0.5,AW137=1),PTHealth,IF(AND(AT137=1,AK137="E",AU137&gt;=0.5),PTHealth*P137,0))))</f>
        <v>11650</v>
      </c>
      <c r="BC137" s="462">
        <f>IF(AND(AT137=3,AK137="E",AV137&gt;=0.75,AW137=1),Health,IF(AND(AT137=3,AK137="E",AV137&gt;=0.75),Health*P137,IF(AND(AT137=3,AK137="E",AV137&gt;=0.5,AW137=1),PTHealth,IF(AND(AT137=3,AK137="E",AV137&gt;=0.5),PTHealth*P137,0))))</f>
        <v>0</v>
      </c>
      <c r="BD137" s="462">
        <f>IF(AND(AT137&lt;&gt;0,AX137&gt;=MAXSSDI),SSDI*MAXSSDI*P137,IF(AT137&lt;&gt;0,SSDI*W137,0))</f>
        <v>4419.4592000000002</v>
      </c>
      <c r="BE137" s="462">
        <f>IF(AT137&lt;&gt;0,SSHI*W137,0)</f>
        <v>1033.5832</v>
      </c>
      <c r="BF137" s="462">
        <f>IF(AND(AT137&lt;&gt;0,AN137&lt;&gt;"NE"),VLOOKUP(AN137,Retirement_Rates,3,FALSE)*W137,0)</f>
        <v>8511.0230400000019</v>
      </c>
      <c r="BG137" s="462">
        <f>IF(AND(AT137&lt;&gt;0,AJ137&lt;&gt;"PF"),Life*W137,0)</f>
        <v>513.94033600000012</v>
      </c>
      <c r="BH137" s="462">
        <f>IF(AND(AT137&lt;&gt;0,AM137="Y"),UI*W137,0)</f>
        <v>349.27984000000004</v>
      </c>
      <c r="BI137" s="462">
        <f>IF(AND(AT137&lt;&gt;0,N137&lt;&gt;"NR"),DHR*W137,0)</f>
        <v>394.90006400000004</v>
      </c>
      <c r="BJ137" s="462">
        <f>IF(AT137&lt;&gt;0,WC*W137,0)</f>
        <v>142.56320000000002</v>
      </c>
      <c r="BK137" s="462">
        <f>IF(OR(AND(AT137&lt;&gt;0,AJ137&lt;&gt;"PF",AN137&lt;&gt;"NE",AG137&lt;&gt;"A"),AND(AL137="E",OR(AT137=1,AT137=3))),Sick*W137,0)</f>
        <v>0</v>
      </c>
      <c r="BL137" s="462">
        <f t="shared" si="39"/>
        <v>15364.748880000001</v>
      </c>
      <c r="BM137" s="462">
        <f t="shared" si="40"/>
        <v>0</v>
      </c>
      <c r="BN137" s="462">
        <f>IF(AND(AT137=1,AK137="E",AU137&gt;=0.75,AW137=1),HealthBY,IF(AND(AT137=1,AK137="E",AU137&gt;=0.75),HealthBY*P137,IF(AND(AT137=1,AK137="E",AU137&gt;=0.5,AW137=1),PTHealthBY,IF(AND(AT137=1,AK137="E",AU137&gt;=0.5),PTHealthBY*P137,0))))</f>
        <v>11650</v>
      </c>
      <c r="BO137" s="462">
        <f>IF(AND(AT137=3,AK137="E",AV137&gt;=0.75,AW137=1),HealthBY,IF(AND(AT137=3,AK137="E",AV137&gt;=0.75),HealthBY*P137,IF(AND(AT137=3,AK137="E",AV137&gt;=0.5,AW137=1),PTHealthBY,IF(AND(AT137=3,AK137="E",AV137&gt;=0.5),PTHealthBY*P137,0))))</f>
        <v>0</v>
      </c>
      <c r="BP137" s="462">
        <f>IF(AND(AT137&lt;&gt;0,(AX137+BA137)&gt;=MAXSSDIBY),SSDIBY*MAXSSDIBY*P137,IF(AT137&lt;&gt;0,SSDIBY*W137,0))</f>
        <v>4419.4592000000002</v>
      </c>
      <c r="BQ137" s="462">
        <f>IF(AT137&lt;&gt;0,SSHIBY*W137,0)</f>
        <v>1033.5832</v>
      </c>
      <c r="BR137" s="462">
        <f>IF(AND(AT137&lt;&gt;0,AN137&lt;&gt;"NE"),VLOOKUP(AN137,Retirement_Rates,4,FALSE)*W137,0)</f>
        <v>8511.0230400000019</v>
      </c>
      <c r="BS137" s="462">
        <f>IF(AND(AT137&lt;&gt;0,AJ137&lt;&gt;"PF"),LifeBY*W137,0)</f>
        <v>513.94033600000012</v>
      </c>
      <c r="BT137" s="462">
        <f>IF(AND(AT137&lt;&gt;0,AM137="Y"),UIBY*W137,0)</f>
        <v>0</v>
      </c>
      <c r="BU137" s="462">
        <f>IF(AND(AT137&lt;&gt;0,N137&lt;&gt;"NR"),DHRBY*W137,0)</f>
        <v>394.90006400000004</v>
      </c>
      <c r="BV137" s="462">
        <f>IF(AT137&lt;&gt;0,WCBY*W137,0)</f>
        <v>121.17872</v>
      </c>
      <c r="BW137" s="462">
        <f>IF(OR(AND(AT137&lt;&gt;0,AJ137&lt;&gt;"PF",AN137&lt;&gt;"NE",AG137&lt;&gt;"A"),AND(AL137="E",OR(AT137=1,AT137=3))),SickBY*W137,0)</f>
        <v>0</v>
      </c>
      <c r="BX137" s="462">
        <f t="shared" si="41"/>
        <v>14994.084560000001</v>
      </c>
      <c r="BY137" s="462">
        <f t="shared" si="42"/>
        <v>0</v>
      </c>
      <c r="BZ137" s="462">
        <f t="shared" si="43"/>
        <v>0</v>
      </c>
      <c r="CA137" s="462">
        <f t="shared" si="44"/>
        <v>0</v>
      </c>
      <c r="CB137" s="462">
        <f t="shared" si="45"/>
        <v>0</v>
      </c>
      <c r="CC137" s="462">
        <f>IF(AT137&lt;&gt;0,SSHICHG*Y137,0)</f>
        <v>0</v>
      </c>
      <c r="CD137" s="462">
        <f>IF(AND(AT137&lt;&gt;0,AN137&lt;&gt;"NE"),VLOOKUP(AN137,Retirement_Rates,5,FALSE)*Y137,0)</f>
        <v>0</v>
      </c>
      <c r="CE137" s="462">
        <f>IF(AND(AT137&lt;&gt;0,AJ137&lt;&gt;"PF"),LifeCHG*Y137,0)</f>
        <v>0</v>
      </c>
      <c r="CF137" s="462">
        <f>IF(AND(AT137&lt;&gt;0,AM137="Y"),UICHG*Y137,0)</f>
        <v>-349.27984000000004</v>
      </c>
      <c r="CG137" s="462">
        <f>IF(AND(AT137&lt;&gt;0,N137&lt;&gt;"NR"),DHRCHG*Y137,0)</f>
        <v>0</v>
      </c>
      <c r="CH137" s="462">
        <f>IF(AT137&lt;&gt;0,WCCHG*Y137,0)</f>
        <v>-21.384480000000011</v>
      </c>
      <c r="CI137" s="462">
        <f>IF(OR(AND(AT137&lt;&gt;0,AJ137&lt;&gt;"PF",AN137&lt;&gt;"NE",AG137&lt;&gt;"A"),AND(AL137="E",OR(AT137=1,AT137=3))),SickCHG*Y137,0)</f>
        <v>0</v>
      </c>
      <c r="CJ137" s="462">
        <f t="shared" si="46"/>
        <v>-370.66432000000003</v>
      </c>
      <c r="CK137" s="462" t="str">
        <f t="shared" si="47"/>
        <v/>
      </c>
      <c r="CL137" s="462" t="str">
        <f t="shared" si="48"/>
        <v/>
      </c>
      <c r="CM137" s="462" t="str">
        <f t="shared" si="49"/>
        <v/>
      </c>
      <c r="CN137" s="462" t="str">
        <f t="shared" si="50"/>
        <v>0450-38</v>
      </c>
    </row>
    <row r="138" spans="1:92" ht="15" thickBot="1" x14ac:dyDescent="0.35">
      <c r="A138" s="376" t="s">
        <v>161</v>
      </c>
      <c r="B138" s="376" t="s">
        <v>162</v>
      </c>
      <c r="C138" s="376" t="s">
        <v>681</v>
      </c>
      <c r="D138" s="376" t="s">
        <v>356</v>
      </c>
      <c r="E138" s="376" t="s">
        <v>314</v>
      </c>
      <c r="F138" s="382" t="s">
        <v>406</v>
      </c>
      <c r="G138" s="376" t="s">
        <v>167</v>
      </c>
      <c r="H138" s="378"/>
      <c r="I138" s="378"/>
      <c r="J138" s="376" t="s">
        <v>168</v>
      </c>
      <c r="K138" s="376" t="s">
        <v>682</v>
      </c>
      <c r="L138" s="376" t="s">
        <v>216</v>
      </c>
      <c r="M138" s="376" t="s">
        <v>171</v>
      </c>
      <c r="N138" s="376" t="s">
        <v>172</v>
      </c>
      <c r="O138" s="379">
        <v>1</v>
      </c>
      <c r="P138" s="460">
        <v>1</v>
      </c>
      <c r="Q138" s="460">
        <v>1</v>
      </c>
      <c r="R138" s="380">
        <v>80</v>
      </c>
      <c r="S138" s="460">
        <v>1</v>
      </c>
      <c r="T138" s="380">
        <v>66041.649999999994</v>
      </c>
      <c r="U138" s="380">
        <v>0</v>
      </c>
      <c r="V138" s="380">
        <v>26426.34</v>
      </c>
      <c r="W138" s="380">
        <v>65665.600000000006</v>
      </c>
      <c r="X138" s="380">
        <v>25804.19</v>
      </c>
      <c r="Y138" s="380">
        <v>65665.600000000006</v>
      </c>
      <c r="Z138" s="380">
        <v>25462.73</v>
      </c>
      <c r="AA138" s="376" t="s">
        <v>683</v>
      </c>
      <c r="AB138" s="376" t="s">
        <v>328</v>
      </c>
      <c r="AC138" s="376" t="s">
        <v>684</v>
      </c>
      <c r="AD138" s="376" t="s">
        <v>270</v>
      </c>
      <c r="AE138" s="376" t="s">
        <v>682</v>
      </c>
      <c r="AF138" s="376" t="s">
        <v>311</v>
      </c>
      <c r="AG138" s="376" t="s">
        <v>178</v>
      </c>
      <c r="AH138" s="381">
        <v>31.57</v>
      </c>
      <c r="AI138" s="381">
        <v>18341.3</v>
      </c>
      <c r="AJ138" s="376" t="s">
        <v>179</v>
      </c>
      <c r="AK138" s="376" t="s">
        <v>180</v>
      </c>
      <c r="AL138" s="376" t="s">
        <v>181</v>
      </c>
      <c r="AM138" s="376" t="s">
        <v>182</v>
      </c>
      <c r="AN138" s="376" t="s">
        <v>68</v>
      </c>
      <c r="AO138" s="379">
        <v>80</v>
      </c>
      <c r="AP138" s="460">
        <v>1</v>
      </c>
      <c r="AQ138" s="460">
        <v>1</v>
      </c>
      <c r="AR138" s="458" t="s">
        <v>183</v>
      </c>
      <c r="AS138" s="462">
        <f t="shared" si="34"/>
        <v>1</v>
      </c>
      <c r="AT138">
        <f t="shared" si="35"/>
        <v>1</v>
      </c>
      <c r="AU138" s="462">
        <f>IF(AT138=0,"",IF(AND(AT138=1,M138="F",SUMIF(C2:C170,C138,AS2:AS170)&lt;=1),SUMIF(C2:C170,C138,AS2:AS170),IF(AND(AT138=1,M138="F",SUMIF(C2:C170,C138,AS2:AS170)&gt;1),1,"")))</f>
        <v>1</v>
      </c>
      <c r="AV138" s="462" t="str">
        <f>IF(AT138=0,"",IF(AND(AT138=3,M138="F",SUMIF(C2:C170,C138,AS2:AS170)&lt;=1),SUMIF(C2:C170,C138,AS2:AS170),IF(AND(AT138=3,M138="F",SUMIF(C2:C170,C138,AS2:AS170)&gt;1),1,"")))</f>
        <v/>
      </c>
      <c r="AW138" s="462">
        <f>SUMIF(C2:C170,C138,O2:O170)</f>
        <v>1</v>
      </c>
      <c r="AX138" s="462">
        <f>IF(AND(M138="F",AS138&lt;&gt;0),SUMIF(C2:C170,C138,W2:W170),0)</f>
        <v>65665.600000000006</v>
      </c>
      <c r="AY138" s="462">
        <f t="shared" si="36"/>
        <v>65665.600000000006</v>
      </c>
      <c r="AZ138" s="462" t="str">
        <f t="shared" si="37"/>
        <v/>
      </c>
      <c r="BA138" s="462">
        <f t="shared" si="38"/>
        <v>0</v>
      </c>
      <c r="BB138" s="462">
        <f>IF(AND(AT138=1,AK138="E",AU138&gt;=0.75,AW138=1),Health,IF(AND(AT138=1,AK138="E",AU138&gt;=0.75),Health*P138,IF(AND(AT138=1,AK138="E",AU138&gt;=0.5,AW138=1),PTHealth,IF(AND(AT138=1,AK138="E",AU138&gt;=0.5),PTHealth*P138,0))))</f>
        <v>11650</v>
      </c>
      <c r="BC138" s="462">
        <f>IF(AND(AT138=3,AK138="E",AV138&gt;=0.75,AW138=1),Health,IF(AND(AT138=3,AK138="E",AV138&gt;=0.75),Health*P138,IF(AND(AT138=3,AK138="E",AV138&gt;=0.5,AW138=1),PTHealth,IF(AND(AT138=3,AK138="E",AV138&gt;=0.5),PTHealth*P138,0))))</f>
        <v>0</v>
      </c>
      <c r="BD138" s="462">
        <f>IF(AND(AT138&lt;&gt;0,AX138&gt;=MAXSSDI),SSDI*MAXSSDI*P138,IF(AT138&lt;&gt;0,SSDI*W138,0))</f>
        <v>4071.2672000000002</v>
      </c>
      <c r="BE138" s="462">
        <f>IF(AT138&lt;&gt;0,SSHI*W138,0)</f>
        <v>952.15120000000013</v>
      </c>
      <c r="BF138" s="462">
        <f>IF(AND(AT138&lt;&gt;0,AN138&lt;&gt;"NE"),VLOOKUP(AN138,Retirement_Rates,3,FALSE)*W138,0)</f>
        <v>7840.4726400000009</v>
      </c>
      <c r="BG138" s="462">
        <f>IF(AND(AT138&lt;&gt;0,AJ138&lt;&gt;"PF"),Life*W138,0)</f>
        <v>473.44897600000007</v>
      </c>
      <c r="BH138" s="462">
        <f>IF(AND(AT138&lt;&gt;0,AM138="Y"),UI*W138,0)</f>
        <v>321.76143999999999</v>
      </c>
      <c r="BI138" s="462">
        <f>IF(AND(AT138&lt;&gt;0,N138&lt;&gt;"NR"),DHR*W138,0)</f>
        <v>363.78742400000004</v>
      </c>
      <c r="BJ138" s="462">
        <f>IF(AT138&lt;&gt;0,WC*W138,0)</f>
        <v>131.33120000000002</v>
      </c>
      <c r="BK138" s="462">
        <f>IF(OR(AND(AT138&lt;&gt;0,AJ138&lt;&gt;"PF",AN138&lt;&gt;"NE",AG138&lt;&gt;"A"),AND(AL138="E",OR(AT138=1,AT138=3))),Sick*W138,0)</f>
        <v>0</v>
      </c>
      <c r="BL138" s="462">
        <f t="shared" si="39"/>
        <v>14154.220080000003</v>
      </c>
      <c r="BM138" s="462">
        <f t="shared" si="40"/>
        <v>0</v>
      </c>
      <c r="BN138" s="462">
        <f>IF(AND(AT138=1,AK138="E",AU138&gt;=0.75,AW138=1),HealthBY,IF(AND(AT138=1,AK138="E",AU138&gt;=0.75),HealthBY*P138,IF(AND(AT138=1,AK138="E",AU138&gt;=0.5,AW138=1),PTHealthBY,IF(AND(AT138=1,AK138="E",AU138&gt;=0.5),PTHealthBY*P138,0))))</f>
        <v>11650</v>
      </c>
      <c r="BO138" s="462">
        <f>IF(AND(AT138=3,AK138="E",AV138&gt;=0.75,AW138=1),HealthBY,IF(AND(AT138=3,AK138="E",AV138&gt;=0.75),HealthBY*P138,IF(AND(AT138=3,AK138="E",AV138&gt;=0.5,AW138=1),PTHealthBY,IF(AND(AT138=3,AK138="E",AV138&gt;=0.5),PTHealthBY*P138,0))))</f>
        <v>0</v>
      </c>
      <c r="BP138" s="462">
        <f>IF(AND(AT138&lt;&gt;0,(AX138+BA138)&gt;=MAXSSDIBY),SSDIBY*MAXSSDIBY*P138,IF(AT138&lt;&gt;0,SSDIBY*W138,0))</f>
        <v>4071.2672000000002</v>
      </c>
      <c r="BQ138" s="462">
        <f>IF(AT138&lt;&gt;0,SSHIBY*W138,0)</f>
        <v>952.15120000000013</v>
      </c>
      <c r="BR138" s="462">
        <f>IF(AND(AT138&lt;&gt;0,AN138&lt;&gt;"NE"),VLOOKUP(AN138,Retirement_Rates,4,FALSE)*W138,0)</f>
        <v>7840.4726400000009</v>
      </c>
      <c r="BS138" s="462">
        <f>IF(AND(AT138&lt;&gt;0,AJ138&lt;&gt;"PF"),LifeBY*W138,0)</f>
        <v>473.44897600000007</v>
      </c>
      <c r="BT138" s="462">
        <f>IF(AND(AT138&lt;&gt;0,AM138="Y"),UIBY*W138,0)</f>
        <v>0</v>
      </c>
      <c r="BU138" s="462">
        <f>IF(AND(AT138&lt;&gt;0,N138&lt;&gt;"NR"),DHRBY*W138,0)</f>
        <v>363.78742400000004</v>
      </c>
      <c r="BV138" s="462">
        <f>IF(AT138&lt;&gt;0,WCBY*W138,0)</f>
        <v>111.63152000000001</v>
      </c>
      <c r="BW138" s="462">
        <f>IF(OR(AND(AT138&lt;&gt;0,AJ138&lt;&gt;"PF",AN138&lt;&gt;"NE",AG138&lt;&gt;"A"),AND(AL138="E",OR(AT138=1,AT138=3))),SickBY*W138,0)</f>
        <v>0</v>
      </c>
      <c r="BX138" s="462">
        <f t="shared" si="41"/>
        <v>13812.758960000003</v>
      </c>
      <c r="BY138" s="462">
        <f t="shared" si="42"/>
        <v>0</v>
      </c>
      <c r="BZ138" s="462">
        <f t="shared" si="43"/>
        <v>0</v>
      </c>
      <c r="CA138" s="462">
        <f t="shared" si="44"/>
        <v>0</v>
      </c>
      <c r="CB138" s="462">
        <f t="shared" si="45"/>
        <v>0</v>
      </c>
      <c r="CC138" s="462">
        <f>IF(AT138&lt;&gt;0,SSHICHG*Y138,0)</f>
        <v>0</v>
      </c>
      <c r="CD138" s="462">
        <f>IF(AND(AT138&lt;&gt;0,AN138&lt;&gt;"NE"),VLOOKUP(AN138,Retirement_Rates,5,FALSE)*Y138,0)</f>
        <v>0</v>
      </c>
      <c r="CE138" s="462">
        <f>IF(AND(AT138&lt;&gt;0,AJ138&lt;&gt;"PF"),LifeCHG*Y138,0)</f>
        <v>0</v>
      </c>
      <c r="CF138" s="462">
        <f>IF(AND(AT138&lt;&gt;0,AM138="Y"),UICHG*Y138,0)</f>
        <v>-321.76143999999999</v>
      </c>
      <c r="CG138" s="462">
        <f>IF(AND(AT138&lt;&gt;0,N138&lt;&gt;"NR"),DHRCHG*Y138,0)</f>
        <v>0</v>
      </c>
      <c r="CH138" s="462">
        <f>IF(AT138&lt;&gt;0,WCCHG*Y138,0)</f>
        <v>-19.699680000000011</v>
      </c>
      <c r="CI138" s="462">
        <f>IF(OR(AND(AT138&lt;&gt;0,AJ138&lt;&gt;"PF",AN138&lt;&gt;"NE",AG138&lt;&gt;"A"),AND(AL138="E",OR(AT138=1,AT138=3))),SickCHG*Y138,0)</f>
        <v>0</v>
      </c>
      <c r="CJ138" s="462">
        <f t="shared" si="46"/>
        <v>-341.46111999999999</v>
      </c>
      <c r="CK138" s="462" t="str">
        <f t="shared" si="47"/>
        <v/>
      </c>
      <c r="CL138" s="462" t="str">
        <f t="shared" si="48"/>
        <v/>
      </c>
      <c r="CM138" s="462" t="str">
        <f t="shared" si="49"/>
        <v/>
      </c>
      <c r="CN138" s="462" t="str">
        <f t="shared" si="50"/>
        <v>0450-38</v>
      </c>
    </row>
    <row r="139" spans="1:92" ht="15" thickBot="1" x14ac:dyDescent="0.35">
      <c r="A139" s="376" t="s">
        <v>161</v>
      </c>
      <c r="B139" s="376" t="s">
        <v>162</v>
      </c>
      <c r="C139" s="376" t="s">
        <v>320</v>
      </c>
      <c r="D139" s="376" t="s">
        <v>263</v>
      </c>
      <c r="E139" s="376" t="s">
        <v>314</v>
      </c>
      <c r="F139" s="382" t="s">
        <v>406</v>
      </c>
      <c r="G139" s="376" t="s">
        <v>167</v>
      </c>
      <c r="H139" s="378"/>
      <c r="I139" s="378"/>
      <c r="J139" s="376" t="s">
        <v>168</v>
      </c>
      <c r="K139" s="376" t="s">
        <v>321</v>
      </c>
      <c r="L139" s="376" t="s">
        <v>216</v>
      </c>
      <c r="M139" s="376" t="s">
        <v>171</v>
      </c>
      <c r="N139" s="376" t="s">
        <v>172</v>
      </c>
      <c r="O139" s="379">
        <v>1</v>
      </c>
      <c r="P139" s="460">
        <v>1</v>
      </c>
      <c r="Q139" s="460">
        <v>1</v>
      </c>
      <c r="R139" s="380">
        <v>80</v>
      </c>
      <c r="S139" s="460">
        <v>1</v>
      </c>
      <c r="T139" s="380">
        <v>0</v>
      </c>
      <c r="U139" s="380">
        <v>0</v>
      </c>
      <c r="V139" s="380">
        <v>0</v>
      </c>
      <c r="W139" s="380">
        <v>72009.600000000006</v>
      </c>
      <c r="X139" s="380">
        <v>27171.62</v>
      </c>
      <c r="Y139" s="380">
        <v>72009.600000000006</v>
      </c>
      <c r="Z139" s="380">
        <v>26797.18</v>
      </c>
      <c r="AA139" s="376" t="s">
        <v>322</v>
      </c>
      <c r="AB139" s="376" t="s">
        <v>323</v>
      </c>
      <c r="AC139" s="376" t="s">
        <v>324</v>
      </c>
      <c r="AD139" s="376" t="s">
        <v>325</v>
      </c>
      <c r="AE139" s="376" t="s">
        <v>321</v>
      </c>
      <c r="AF139" s="376" t="s">
        <v>311</v>
      </c>
      <c r="AG139" s="376" t="s">
        <v>178</v>
      </c>
      <c r="AH139" s="381">
        <v>34.619999999999997</v>
      </c>
      <c r="AI139" s="379">
        <v>10044</v>
      </c>
      <c r="AJ139" s="376" t="s">
        <v>179</v>
      </c>
      <c r="AK139" s="376" t="s">
        <v>180</v>
      </c>
      <c r="AL139" s="376" t="s">
        <v>181</v>
      </c>
      <c r="AM139" s="376" t="s">
        <v>182</v>
      </c>
      <c r="AN139" s="376" t="s">
        <v>68</v>
      </c>
      <c r="AO139" s="379">
        <v>80</v>
      </c>
      <c r="AP139" s="460">
        <v>1</v>
      </c>
      <c r="AQ139" s="460">
        <v>1</v>
      </c>
      <c r="AR139" s="458" t="s">
        <v>183</v>
      </c>
      <c r="AS139" s="462">
        <f t="shared" si="34"/>
        <v>1</v>
      </c>
      <c r="AT139">
        <f t="shared" si="35"/>
        <v>1</v>
      </c>
      <c r="AU139" s="462">
        <f>IF(AT139=0,"",IF(AND(AT139=1,M139="F",SUMIF(C2:C170,C139,AS2:AS170)&lt;=1),SUMIF(C2:C170,C139,AS2:AS170),IF(AND(AT139=1,M139="F",SUMIF(C2:C170,C139,AS2:AS170)&gt;1),1,"")))</f>
        <v>1</v>
      </c>
      <c r="AV139" s="462" t="str">
        <f>IF(AT139=0,"",IF(AND(AT139=3,M139="F",SUMIF(C2:C170,C139,AS2:AS170)&lt;=1),SUMIF(C2:C170,C139,AS2:AS170),IF(AND(AT139=3,M139="F",SUMIF(C2:C170,C139,AS2:AS170)&gt;1),1,"")))</f>
        <v/>
      </c>
      <c r="AW139" s="462">
        <f>SUMIF(C2:C170,C139,O2:O170)</f>
        <v>2</v>
      </c>
      <c r="AX139" s="462">
        <f>IF(AND(M139="F",AS139&lt;&gt;0),SUMIF(C2:C170,C139,W2:W170),0)</f>
        <v>72009.600000000006</v>
      </c>
      <c r="AY139" s="462">
        <f t="shared" si="36"/>
        <v>72009.600000000006</v>
      </c>
      <c r="AZ139" s="462" t="str">
        <f t="shared" si="37"/>
        <v/>
      </c>
      <c r="BA139" s="462">
        <f t="shared" si="38"/>
        <v>0</v>
      </c>
      <c r="BB139" s="462">
        <f>IF(AND(AT139=1,AK139="E",AU139&gt;=0.75,AW139=1),Health,IF(AND(AT139=1,AK139="E",AU139&gt;=0.75),Health*P139,IF(AND(AT139=1,AK139="E",AU139&gt;=0.5,AW139=1),PTHealth,IF(AND(AT139=1,AK139="E",AU139&gt;=0.5),PTHealth*P139,0))))</f>
        <v>11650</v>
      </c>
      <c r="BC139" s="462">
        <f>IF(AND(AT139=3,AK139="E",AV139&gt;=0.75,AW139=1),Health,IF(AND(AT139=3,AK139="E",AV139&gt;=0.75),Health*P139,IF(AND(AT139=3,AK139="E",AV139&gt;=0.5,AW139=1),PTHealth,IF(AND(AT139=3,AK139="E",AV139&gt;=0.5),PTHealth*P139,0))))</f>
        <v>0</v>
      </c>
      <c r="BD139" s="462">
        <f>IF(AND(AT139&lt;&gt;0,AX139&gt;=MAXSSDI),SSDI*MAXSSDI*P139,IF(AT139&lt;&gt;0,SSDI*W139,0))</f>
        <v>4464.5952000000007</v>
      </c>
      <c r="BE139" s="462">
        <f>IF(AT139&lt;&gt;0,SSHI*W139,0)</f>
        <v>1044.1392000000001</v>
      </c>
      <c r="BF139" s="462">
        <f>IF(AND(AT139&lt;&gt;0,AN139&lt;&gt;"NE"),VLOOKUP(AN139,Retirement_Rates,3,FALSE)*W139,0)</f>
        <v>8597.9462400000011</v>
      </c>
      <c r="BG139" s="462">
        <f>IF(AND(AT139&lt;&gt;0,AJ139&lt;&gt;"PF"),Life*W139,0)</f>
        <v>519.1892160000001</v>
      </c>
      <c r="BH139" s="462">
        <f>IF(AND(AT139&lt;&gt;0,AM139="Y"),UI*W139,0)</f>
        <v>352.84703999999999</v>
      </c>
      <c r="BI139" s="462">
        <f>IF(AND(AT139&lt;&gt;0,N139&lt;&gt;"NR"),DHR*W139,0)</f>
        <v>398.93318400000004</v>
      </c>
      <c r="BJ139" s="462">
        <f>IF(AT139&lt;&gt;0,WC*W139,0)</f>
        <v>144.01920000000001</v>
      </c>
      <c r="BK139" s="462">
        <f>IF(OR(AND(AT139&lt;&gt;0,AJ139&lt;&gt;"PF",AN139&lt;&gt;"NE",AG139&lt;&gt;"A"),AND(AL139="E",OR(AT139=1,AT139=3))),Sick*W139,0)</f>
        <v>0</v>
      </c>
      <c r="BL139" s="462">
        <f t="shared" si="39"/>
        <v>15521.669280000004</v>
      </c>
      <c r="BM139" s="462">
        <f t="shared" si="40"/>
        <v>0</v>
      </c>
      <c r="BN139" s="462">
        <f>IF(AND(AT139=1,AK139="E",AU139&gt;=0.75,AW139=1),HealthBY,IF(AND(AT139=1,AK139="E",AU139&gt;=0.75),HealthBY*P139,IF(AND(AT139=1,AK139="E",AU139&gt;=0.5,AW139=1),PTHealthBY,IF(AND(AT139=1,AK139="E",AU139&gt;=0.5),PTHealthBY*P139,0))))</f>
        <v>11650</v>
      </c>
      <c r="BO139" s="462">
        <f>IF(AND(AT139=3,AK139="E",AV139&gt;=0.75,AW139=1),HealthBY,IF(AND(AT139=3,AK139="E",AV139&gt;=0.75),HealthBY*P139,IF(AND(AT139=3,AK139="E",AV139&gt;=0.5,AW139=1),PTHealthBY,IF(AND(AT139=3,AK139="E",AV139&gt;=0.5),PTHealthBY*P139,0))))</f>
        <v>0</v>
      </c>
      <c r="BP139" s="462">
        <f>IF(AND(AT139&lt;&gt;0,(AX139+BA139)&gt;=MAXSSDIBY),SSDIBY*MAXSSDIBY*P139,IF(AT139&lt;&gt;0,SSDIBY*W139,0))</f>
        <v>4464.5952000000007</v>
      </c>
      <c r="BQ139" s="462">
        <f>IF(AT139&lt;&gt;0,SSHIBY*W139,0)</f>
        <v>1044.1392000000001</v>
      </c>
      <c r="BR139" s="462">
        <f>IF(AND(AT139&lt;&gt;0,AN139&lt;&gt;"NE"),VLOOKUP(AN139,Retirement_Rates,4,FALSE)*W139,0)</f>
        <v>8597.9462400000011</v>
      </c>
      <c r="BS139" s="462">
        <f>IF(AND(AT139&lt;&gt;0,AJ139&lt;&gt;"PF"),LifeBY*W139,0)</f>
        <v>519.1892160000001</v>
      </c>
      <c r="BT139" s="462">
        <f>IF(AND(AT139&lt;&gt;0,AM139="Y"),UIBY*W139,0)</f>
        <v>0</v>
      </c>
      <c r="BU139" s="462">
        <f>IF(AND(AT139&lt;&gt;0,N139&lt;&gt;"NR"),DHRBY*W139,0)</f>
        <v>398.93318400000004</v>
      </c>
      <c r="BV139" s="462">
        <f>IF(AT139&lt;&gt;0,WCBY*W139,0)</f>
        <v>122.41632</v>
      </c>
      <c r="BW139" s="462">
        <f>IF(OR(AND(AT139&lt;&gt;0,AJ139&lt;&gt;"PF",AN139&lt;&gt;"NE",AG139&lt;&gt;"A"),AND(AL139="E",OR(AT139=1,AT139=3))),SickBY*W139,0)</f>
        <v>0</v>
      </c>
      <c r="BX139" s="462">
        <f t="shared" si="41"/>
        <v>15147.219360000003</v>
      </c>
      <c r="BY139" s="462">
        <f t="shared" si="42"/>
        <v>0</v>
      </c>
      <c r="BZ139" s="462">
        <f t="shared" si="43"/>
        <v>0</v>
      </c>
      <c r="CA139" s="462">
        <f t="shared" si="44"/>
        <v>0</v>
      </c>
      <c r="CB139" s="462">
        <f t="shared" si="45"/>
        <v>0</v>
      </c>
      <c r="CC139" s="462">
        <f>IF(AT139&lt;&gt;0,SSHICHG*Y139,0)</f>
        <v>0</v>
      </c>
      <c r="CD139" s="462">
        <f>IF(AND(AT139&lt;&gt;0,AN139&lt;&gt;"NE"),VLOOKUP(AN139,Retirement_Rates,5,FALSE)*Y139,0)</f>
        <v>0</v>
      </c>
      <c r="CE139" s="462">
        <f>IF(AND(AT139&lt;&gt;0,AJ139&lt;&gt;"PF"),LifeCHG*Y139,0)</f>
        <v>0</v>
      </c>
      <c r="CF139" s="462">
        <f>IF(AND(AT139&lt;&gt;0,AM139="Y"),UICHG*Y139,0)</f>
        <v>-352.84703999999999</v>
      </c>
      <c r="CG139" s="462">
        <f>IF(AND(AT139&lt;&gt;0,N139&lt;&gt;"NR"),DHRCHG*Y139,0)</f>
        <v>0</v>
      </c>
      <c r="CH139" s="462">
        <f>IF(AT139&lt;&gt;0,WCCHG*Y139,0)</f>
        <v>-21.602880000000013</v>
      </c>
      <c r="CI139" s="462">
        <f>IF(OR(AND(AT139&lt;&gt;0,AJ139&lt;&gt;"PF",AN139&lt;&gt;"NE",AG139&lt;&gt;"A"),AND(AL139="E",OR(AT139=1,AT139=3))),SickCHG*Y139,0)</f>
        <v>0</v>
      </c>
      <c r="CJ139" s="462">
        <f t="shared" si="46"/>
        <v>-374.44992000000002</v>
      </c>
      <c r="CK139" s="462" t="str">
        <f t="shared" si="47"/>
        <v/>
      </c>
      <c r="CL139" s="462" t="str">
        <f t="shared" si="48"/>
        <v/>
      </c>
      <c r="CM139" s="462" t="str">
        <f t="shared" si="49"/>
        <v/>
      </c>
      <c r="CN139" s="462" t="str">
        <f t="shared" si="50"/>
        <v>0450-38</v>
      </c>
    </row>
    <row r="140" spans="1:92" ht="15" thickBot="1" x14ac:dyDescent="0.35">
      <c r="A140" s="376" t="s">
        <v>161</v>
      </c>
      <c r="B140" s="376" t="s">
        <v>162</v>
      </c>
      <c r="C140" s="376" t="s">
        <v>685</v>
      </c>
      <c r="D140" s="376" t="s">
        <v>430</v>
      </c>
      <c r="E140" s="376" t="s">
        <v>314</v>
      </c>
      <c r="F140" s="382" t="s">
        <v>406</v>
      </c>
      <c r="G140" s="376" t="s">
        <v>167</v>
      </c>
      <c r="H140" s="378"/>
      <c r="I140" s="378"/>
      <c r="J140" s="376" t="s">
        <v>168</v>
      </c>
      <c r="K140" s="376" t="s">
        <v>686</v>
      </c>
      <c r="L140" s="376" t="s">
        <v>181</v>
      </c>
      <c r="M140" s="376" t="s">
        <v>171</v>
      </c>
      <c r="N140" s="376" t="s">
        <v>172</v>
      </c>
      <c r="O140" s="379">
        <v>1</v>
      </c>
      <c r="P140" s="460">
        <v>1</v>
      </c>
      <c r="Q140" s="460">
        <v>1</v>
      </c>
      <c r="R140" s="380">
        <v>80</v>
      </c>
      <c r="S140" s="460">
        <v>1</v>
      </c>
      <c r="T140" s="380">
        <v>49536.74</v>
      </c>
      <c r="U140" s="380">
        <v>0</v>
      </c>
      <c r="V140" s="380">
        <v>17579.13</v>
      </c>
      <c r="W140" s="380">
        <v>79372.800000000003</v>
      </c>
      <c r="X140" s="380">
        <v>28758.77</v>
      </c>
      <c r="Y140" s="380">
        <v>79372.800000000003</v>
      </c>
      <c r="Z140" s="380">
        <v>28346.04</v>
      </c>
      <c r="AA140" s="376" t="s">
        <v>687</v>
      </c>
      <c r="AB140" s="376" t="s">
        <v>688</v>
      </c>
      <c r="AC140" s="376" t="s">
        <v>689</v>
      </c>
      <c r="AD140" s="376" t="s">
        <v>269</v>
      </c>
      <c r="AE140" s="376" t="s">
        <v>686</v>
      </c>
      <c r="AF140" s="376" t="s">
        <v>349</v>
      </c>
      <c r="AG140" s="376" t="s">
        <v>178</v>
      </c>
      <c r="AH140" s="381">
        <v>38.159999999999997</v>
      </c>
      <c r="AI140" s="381">
        <v>6005.5</v>
      </c>
      <c r="AJ140" s="376" t="s">
        <v>179</v>
      </c>
      <c r="AK140" s="376" t="s">
        <v>180</v>
      </c>
      <c r="AL140" s="376" t="s">
        <v>181</v>
      </c>
      <c r="AM140" s="376" t="s">
        <v>182</v>
      </c>
      <c r="AN140" s="376" t="s">
        <v>68</v>
      </c>
      <c r="AO140" s="379">
        <v>80</v>
      </c>
      <c r="AP140" s="460">
        <v>1</v>
      </c>
      <c r="AQ140" s="460">
        <v>1</v>
      </c>
      <c r="AR140" s="458" t="s">
        <v>183</v>
      </c>
      <c r="AS140" s="462">
        <f t="shared" si="34"/>
        <v>1</v>
      </c>
      <c r="AT140">
        <f t="shared" si="35"/>
        <v>1</v>
      </c>
      <c r="AU140" s="462">
        <f>IF(AT140=0,"",IF(AND(AT140=1,M140="F",SUMIF(C2:C170,C140,AS2:AS170)&lt;=1),SUMIF(C2:C170,C140,AS2:AS170),IF(AND(AT140=1,M140="F",SUMIF(C2:C170,C140,AS2:AS170)&gt;1),1,"")))</f>
        <v>1</v>
      </c>
      <c r="AV140" s="462" t="str">
        <f>IF(AT140=0,"",IF(AND(AT140=3,M140="F",SUMIF(C2:C170,C140,AS2:AS170)&lt;=1),SUMIF(C2:C170,C140,AS2:AS170),IF(AND(AT140=3,M140="F",SUMIF(C2:C170,C140,AS2:AS170)&gt;1),1,"")))</f>
        <v/>
      </c>
      <c r="AW140" s="462">
        <f>SUMIF(C2:C170,C140,O2:O170)</f>
        <v>1</v>
      </c>
      <c r="AX140" s="462">
        <f>IF(AND(M140="F",AS140&lt;&gt;0),SUMIF(C2:C170,C140,W2:W170),0)</f>
        <v>79372.800000000003</v>
      </c>
      <c r="AY140" s="462">
        <f t="shared" si="36"/>
        <v>79372.800000000003</v>
      </c>
      <c r="AZ140" s="462" t="str">
        <f t="shared" si="37"/>
        <v/>
      </c>
      <c r="BA140" s="462">
        <f t="shared" si="38"/>
        <v>0</v>
      </c>
      <c r="BB140" s="462">
        <f>IF(AND(AT140=1,AK140="E",AU140&gt;=0.75,AW140=1),Health,IF(AND(AT140=1,AK140="E",AU140&gt;=0.75),Health*P140,IF(AND(AT140=1,AK140="E",AU140&gt;=0.5,AW140=1),PTHealth,IF(AND(AT140=1,AK140="E",AU140&gt;=0.5),PTHealth*P140,0))))</f>
        <v>11650</v>
      </c>
      <c r="BC140" s="462">
        <f>IF(AND(AT140=3,AK140="E",AV140&gt;=0.75,AW140=1),Health,IF(AND(AT140=3,AK140="E",AV140&gt;=0.75),Health*P140,IF(AND(AT140=3,AK140="E",AV140&gt;=0.5,AW140=1),PTHealth,IF(AND(AT140=3,AK140="E",AV140&gt;=0.5),PTHealth*P140,0))))</f>
        <v>0</v>
      </c>
      <c r="BD140" s="462">
        <f>IF(AND(AT140&lt;&gt;0,AX140&gt;=MAXSSDI),SSDI*MAXSSDI*P140,IF(AT140&lt;&gt;0,SSDI*W140,0))</f>
        <v>4921.1136000000006</v>
      </c>
      <c r="BE140" s="462">
        <f>IF(AT140&lt;&gt;0,SSHI*W140,0)</f>
        <v>1150.9056</v>
      </c>
      <c r="BF140" s="462">
        <f>IF(AND(AT140&lt;&gt;0,AN140&lt;&gt;"NE"),VLOOKUP(AN140,Retirement_Rates,3,FALSE)*W140,0)</f>
        <v>9477.1123200000002</v>
      </c>
      <c r="BG140" s="462">
        <f>IF(AND(AT140&lt;&gt;0,AJ140&lt;&gt;"PF"),Life*W140,0)</f>
        <v>572.27788800000008</v>
      </c>
      <c r="BH140" s="462">
        <f>IF(AND(AT140&lt;&gt;0,AM140="Y"),UI*W140,0)</f>
        <v>388.92671999999999</v>
      </c>
      <c r="BI140" s="462">
        <f>IF(AND(AT140&lt;&gt;0,N140&lt;&gt;"NR"),DHR*W140,0)</f>
        <v>439.72531199999997</v>
      </c>
      <c r="BJ140" s="462">
        <f>IF(AT140&lt;&gt;0,WC*W140,0)</f>
        <v>158.7456</v>
      </c>
      <c r="BK140" s="462">
        <f>IF(OR(AND(AT140&lt;&gt;0,AJ140&lt;&gt;"PF",AN140&lt;&gt;"NE",AG140&lt;&gt;"A"),AND(AL140="E",OR(AT140=1,AT140=3))),Sick*W140,0)</f>
        <v>0</v>
      </c>
      <c r="BL140" s="462">
        <f t="shared" si="39"/>
        <v>17108.80704</v>
      </c>
      <c r="BM140" s="462">
        <f t="shared" si="40"/>
        <v>0</v>
      </c>
      <c r="BN140" s="462">
        <f>IF(AND(AT140=1,AK140="E",AU140&gt;=0.75,AW140=1),HealthBY,IF(AND(AT140=1,AK140="E",AU140&gt;=0.75),HealthBY*P140,IF(AND(AT140=1,AK140="E",AU140&gt;=0.5,AW140=1),PTHealthBY,IF(AND(AT140=1,AK140="E",AU140&gt;=0.5),PTHealthBY*P140,0))))</f>
        <v>11650</v>
      </c>
      <c r="BO140" s="462">
        <f>IF(AND(AT140=3,AK140="E",AV140&gt;=0.75,AW140=1),HealthBY,IF(AND(AT140=3,AK140="E",AV140&gt;=0.75),HealthBY*P140,IF(AND(AT140=3,AK140="E",AV140&gt;=0.5,AW140=1),PTHealthBY,IF(AND(AT140=3,AK140="E",AV140&gt;=0.5),PTHealthBY*P140,0))))</f>
        <v>0</v>
      </c>
      <c r="BP140" s="462">
        <f>IF(AND(AT140&lt;&gt;0,(AX140+BA140)&gt;=MAXSSDIBY),SSDIBY*MAXSSDIBY*P140,IF(AT140&lt;&gt;0,SSDIBY*W140,0))</f>
        <v>4921.1136000000006</v>
      </c>
      <c r="BQ140" s="462">
        <f>IF(AT140&lt;&gt;0,SSHIBY*W140,0)</f>
        <v>1150.9056</v>
      </c>
      <c r="BR140" s="462">
        <f>IF(AND(AT140&lt;&gt;0,AN140&lt;&gt;"NE"),VLOOKUP(AN140,Retirement_Rates,4,FALSE)*W140,0)</f>
        <v>9477.1123200000002</v>
      </c>
      <c r="BS140" s="462">
        <f>IF(AND(AT140&lt;&gt;0,AJ140&lt;&gt;"PF"),LifeBY*W140,0)</f>
        <v>572.27788800000008</v>
      </c>
      <c r="BT140" s="462">
        <f>IF(AND(AT140&lt;&gt;0,AM140="Y"),UIBY*W140,0)</f>
        <v>0</v>
      </c>
      <c r="BU140" s="462">
        <f>IF(AND(AT140&lt;&gt;0,N140&lt;&gt;"NR"),DHRBY*W140,0)</f>
        <v>439.72531199999997</v>
      </c>
      <c r="BV140" s="462">
        <f>IF(AT140&lt;&gt;0,WCBY*W140,0)</f>
        <v>134.93376000000001</v>
      </c>
      <c r="BW140" s="462">
        <f>IF(OR(AND(AT140&lt;&gt;0,AJ140&lt;&gt;"PF",AN140&lt;&gt;"NE",AG140&lt;&gt;"A"),AND(AL140="E",OR(AT140=1,AT140=3))),SickBY*W140,0)</f>
        <v>0</v>
      </c>
      <c r="BX140" s="462">
        <f t="shared" si="41"/>
        <v>16696.068480000002</v>
      </c>
      <c r="BY140" s="462">
        <f t="shared" si="42"/>
        <v>0</v>
      </c>
      <c r="BZ140" s="462">
        <f t="shared" si="43"/>
        <v>0</v>
      </c>
      <c r="CA140" s="462">
        <f t="shared" si="44"/>
        <v>0</v>
      </c>
      <c r="CB140" s="462">
        <f t="shared" si="45"/>
        <v>0</v>
      </c>
      <c r="CC140" s="462">
        <f>IF(AT140&lt;&gt;0,SSHICHG*Y140,0)</f>
        <v>0</v>
      </c>
      <c r="CD140" s="462">
        <f>IF(AND(AT140&lt;&gt;0,AN140&lt;&gt;"NE"),VLOOKUP(AN140,Retirement_Rates,5,FALSE)*Y140,0)</f>
        <v>0</v>
      </c>
      <c r="CE140" s="462">
        <f>IF(AND(AT140&lt;&gt;0,AJ140&lt;&gt;"PF"),LifeCHG*Y140,0)</f>
        <v>0</v>
      </c>
      <c r="CF140" s="462">
        <f>IF(AND(AT140&lt;&gt;0,AM140="Y"),UICHG*Y140,0)</f>
        <v>-388.92671999999999</v>
      </c>
      <c r="CG140" s="462">
        <f>IF(AND(AT140&lt;&gt;0,N140&lt;&gt;"NR"),DHRCHG*Y140,0)</f>
        <v>0</v>
      </c>
      <c r="CH140" s="462">
        <f>IF(AT140&lt;&gt;0,WCCHG*Y140,0)</f>
        <v>-23.811840000000011</v>
      </c>
      <c r="CI140" s="462">
        <f>IF(OR(AND(AT140&lt;&gt;0,AJ140&lt;&gt;"PF",AN140&lt;&gt;"NE",AG140&lt;&gt;"A"),AND(AL140="E",OR(AT140=1,AT140=3))),SickCHG*Y140,0)</f>
        <v>0</v>
      </c>
      <c r="CJ140" s="462">
        <f t="shared" si="46"/>
        <v>-412.73856000000001</v>
      </c>
      <c r="CK140" s="462" t="str">
        <f t="shared" si="47"/>
        <v/>
      </c>
      <c r="CL140" s="462" t="str">
        <f t="shared" si="48"/>
        <v/>
      </c>
      <c r="CM140" s="462" t="str">
        <f t="shared" si="49"/>
        <v/>
      </c>
      <c r="CN140" s="462" t="str">
        <f t="shared" si="50"/>
        <v>0450-38</v>
      </c>
    </row>
    <row r="141" spans="1:92" ht="15" thickBot="1" x14ac:dyDescent="0.35">
      <c r="A141" s="376" t="s">
        <v>161</v>
      </c>
      <c r="B141" s="376" t="s">
        <v>162</v>
      </c>
      <c r="C141" s="376" t="s">
        <v>690</v>
      </c>
      <c r="D141" s="376" t="s">
        <v>356</v>
      </c>
      <c r="E141" s="376" t="s">
        <v>314</v>
      </c>
      <c r="F141" s="382" t="s">
        <v>406</v>
      </c>
      <c r="G141" s="376" t="s">
        <v>167</v>
      </c>
      <c r="H141" s="378"/>
      <c r="I141" s="378"/>
      <c r="J141" s="376" t="s">
        <v>168</v>
      </c>
      <c r="K141" s="376" t="s">
        <v>358</v>
      </c>
      <c r="L141" s="376" t="s">
        <v>176</v>
      </c>
      <c r="M141" s="376" t="s">
        <v>171</v>
      </c>
      <c r="N141" s="376" t="s">
        <v>172</v>
      </c>
      <c r="O141" s="379">
        <v>1</v>
      </c>
      <c r="P141" s="460">
        <v>1</v>
      </c>
      <c r="Q141" s="460">
        <v>1</v>
      </c>
      <c r="R141" s="380">
        <v>80</v>
      </c>
      <c r="S141" s="460">
        <v>1</v>
      </c>
      <c r="T141" s="380">
        <v>53444.31</v>
      </c>
      <c r="U141" s="380">
        <v>0</v>
      </c>
      <c r="V141" s="380">
        <v>22837.99</v>
      </c>
      <c r="W141" s="380">
        <v>52748.800000000003</v>
      </c>
      <c r="X141" s="380">
        <v>23019.95</v>
      </c>
      <c r="Y141" s="380">
        <v>52748.800000000003</v>
      </c>
      <c r="Z141" s="380">
        <v>22745.67</v>
      </c>
      <c r="AA141" s="376" t="s">
        <v>691</v>
      </c>
      <c r="AB141" s="376" t="s">
        <v>198</v>
      </c>
      <c r="AC141" s="376" t="s">
        <v>692</v>
      </c>
      <c r="AD141" s="376" t="s">
        <v>693</v>
      </c>
      <c r="AE141" s="376" t="s">
        <v>358</v>
      </c>
      <c r="AF141" s="376" t="s">
        <v>190</v>
      </c>
      <c r="AG141" s="376" t="s">
        <v>178</v>
      </c>
      <c r="AH141" s="381">
        <v>25.36</v>
      </c>
      <c r="AI141" s="379">
        <v>2764</v>
      </c>
      <c r="AJ141" s="376" t="s">
        <v>179</v>
      </c>
      <c r="AK141" s="376" t="s">
        <v>180</v>
      </c>
      <c r="AL141" s="376" t="s">
        <v>181</v>
      </c>
      <c r="AM141" s="376" t="s">
        <v>182</v>
      </c>
      <c r="AN141" s="376" t="s">
        <v>68</v>
      </c>
      <c r="AO141" s="379">
        <v>80</v>
      </c>
      <c r="AP141" s="460">
        <v>1</v>
      </c>
      <c r="AQ141" s="460">
        <v>1</v>
      </c>
      <c r="AR141" s="458" t="s">
        <v>183</v>
      </c>
      <c r="AS141" s="462">
        <f t="shared" si="34"/>
        <v>1</v>
      </c>
      <c r="AT141">
        <f t="shared" si="35"/>
        <v>1</v>
      </c>
      <c r="AU141" s="462">
        <f>IF(AT141=0,"",IF(AND(AT141=1,M141="F",SUMIF(C2:C170,C141,AS2:AS170)&lt;=1),SUMIF(C2:C170,C141,AS2:AS170),IF(AND(AT141=1,M141="F",SUMIF(C2:C170,C141,AS2:AS170)&gt;1),1,"")))</f>
        <v>1</v>
      </c>
      <c r="AV141" s="462" t="str">
        <f>IF(AT141=0,"",IF(AND(AT141=3,M141="F",SUMIF(C2:C170,C141,AS2:AS170)&lt;=1),SUMIF(C2:C170,C141,AS2:AS170),IF(AND(AT141=3,M141="F",SUMIF(C2:C170,C141,AS2:AS170)&gt;1),1,"")))</f>
        <v/>
      </c>
      <c r="AW141" s="462">
        <f>SUMIF(C2:C170,C141,O2:O170)</f>
        <v>1</v>
      </c>
      <c r="AX141" s="462">
        <f>IF(AND(M141="F",AS141&lt;&gt;0),SUMIF(C2:C170,C141,W2:W170),0)</f>
        <v>52748.800000000003</v>
      </c>
      <c r="AY141" s="462">
        <f t="shared" si="36"/>
        <v>52748.800000000003</v>
      </c>
      <c r="AZ141" s="462" t="str">
        <f t="shared" si="37"/>
        <v/>
      </c>
      <c r="BA141" s="462">
        <f t="shared" si="38"/>
        <v>0</v>
      </c>
      <c r="BB141" s="462">
        <f>IF(AND(AT141=1,AK141="E",AU141&gt;=0.75,AW141=1),Health,IF(AND(AT141=1,AK141="E",AU141&gt;=0.75),Health*P141,IF(AND(AT141=1,AK141="E",AU141&gt;=0.5,AW141=1),PTHealth,IF(AND(AT141=1,AK141="E",AU141&gt;=0.5),PTHealth*P141,0))))</f>
        <v>11650</v>
      </c>
      <c r="BC141" s="462">
        <f>IF(AND(AT141=3,AK141="E",AV141&gt;=0.75,AW141=1),Health,IF(AND(AT141=3,AK141="E",AV141&gt;=0.75),Health*P141,IF(AND(AT141=3,AK141="E",AV141&gt;=0.5,AW141=1),PTHealth,IF(AND(AT141=3,AK141="E",AV141&gt;=0.5),PTHealth*P141,0))))</f>
        <v>0</v>
      </c>
      <c r="BD141" s="462">
        <f>IF(AND(AT141&lt;&gt;0,AX141&gt;=MAXSSDI),SSDI*MAXSSDI*P141,IF(AT141&lt;&gt;0,SSDI*W141,0))</f>
        <v>3270.4256</v>
      </c>
      <c r="BE141" s="462">
        <f>IF(AT141&lt;&gt;0,SSHI*W141,0)</f>
        <v>764.85760000000005</v>
      </c>
      <c r="BF141" s="462">
        <f>IF(AND(AT141&lt;&gt;0,AN141&lt;&gt;"NE"),VLOOKUP(AN141,Retirement_Rates,3,FALSE)*W141,0)</f>
        <v>6298.206720000001</v>
      </c>
      <c r="BG141" s="462">
        <f>IF(AND(AT141&lt;&gt;0,AJ141&lt;&gt;"PF"),Life*W141,0)</f>
        <v>380.31884800000006</v>
      </c>
      <c r="BH141" s="462">
        <f>IF(AND(AT141&lt;&gt;0,AM141="Y"),UI*W141,0)</f>
        <v>258.46912000000003</v>
      </c>
      <c r="BI141" s="462">
        <f>IF(AND(AT141&lt;&gt;0,N141&lt;&gt;"NR"),DHR*W141,0)</f>
        <v>292.22835200000003</v>
      </c>
      <c r="BJ141" s="462">
        <f>IF(AT141&lt;&gt;0,WC*W141,0)</f>
        <v>105.49760000000001</v>
      </c>
      <c r="BK141" s="462">
        <f>IF(OR(AND(AT141&lt;&gt;0,AJ141&lt;&gt;"PF",AN141&lt;&gt;"NE",AG141&lt;&gt;"A"),AND(AL141="E",OR(AT141=1,AT141=3))),Sick*W141,0)</f>
        <v>0</v>
      </c>
      <c r="BL141" s="462">
        <f t="shared" si="39"/>
        <v>11370.003840000001</v>
      </c>
      <c r="BM141" s="462">
        <f t="shared" si="40"/>
        <v>0</v>
      </c>
      <c r="BN141" s="462">
        <f>IF(AND(AT141=1,AK141="E",AU141&gt;=0.75,AW141=1),HealthBY,IF(AND(AT141=1,AK141="E",AU141&gt;=0.75),HealthBY*P141,IF(AND(AT141=1,AK141="E",AU141&gt;=0.5,AW141=1),PTHealthBY,IF(AND(AT141=1,AK141="E",AU141&gt;=0.5),PTHealthBY*P141,0))))</f>
        <v>11650</v>
      </c>
      <c r="BO141" s="462">
        <f>IF(AND(AT141=3,AK141="E",AV141&gt;=0.75,AW141=1),HealthBY,IF(AND(AT141=3,AK141="E",AV141&gt;=0.75),HealthBY*P141,IF(AND(AT141=3,AK141="E",AV141&gt;=0.5,AW141=1),PTHealthBY,IF(AND(AT141=3,AK141="E",AV141&gt;=0.5),PTHealthBY*P141,0))))</f>
        <v>0</v>
      </c>
      <c r="BP141" s="462">
        <f>IF(AND(AT141&lt;&gt;0,(AX141+BA141)&gt;=MAXSSDIBY),SSDIBY*MAXSSDIBY*P141,IF(AT141&lt;&gt;0,SSDIBY*W141,0))</f>
        <v>3270.4256</v>
      </c>
      <c r="BQ141" s="462">
        <f>IF(AT141&lt;&gt;0,SSHIBY*W141,0)</f>
        <v>764.85760000000005</v>
      </c>
      <c r="BR141" s="462">
        <f>IF(AND(AT141&lt;&gt;0,AN141&lt;&gt;"NE"),VLOOKUP(AN141,Retirement_Rates,4,FALSE)*W141,0)</f>
        <v>6298.206720000001</v>
      </c>
      <c r="BS141" s="462">
        <f>IF(AND(AT141&lt;&gt;0,AJ141&lt;&gt;"PF"),LifeBY*W141,0)</f>
        <v>380.31884800000006</v>
      </c>
      <c r="BT141" s="462">
        <f>IF(AND(AT141&lt;&gt;0,AM141="Y"),UIBY*W141,0)</f>
        <v>0</v>
      </c>
      <c r="BU141" s="462">
        <f>IF(AND(AT141&lt;&gt;0,N141&lt;&gt;"NR"),DHRBY*W141,0)</f>
        <v>292.22835200000003</v>
      </c>
      <c r="BV141" s="462">
        <f>IF(AT141&lt;&gt;0,WCBY*W141,0)</f>
        <v>89.672960000000003</v>
      </c>
      <c r="BW141" s="462">
        <f>IF(OR(AND(AT141&lt;&gt;0,AJ141&lt;&gt;"PF",AN141&lt;&gt;"NE",AG141&lt;&gt;"A"),AND(AL141="E",OR(AT141=1,AT141=3))),SickBY*W141,0)</f>
        <v>0</v>
      </c>
      <c r="BX141" s="462">
        <f t="shared" si="41"/>
        <v>11095.710080000001</v>
      </c>
      <c r="BY141" s="462">
        <f t="shared" si="42"/>
        <v>0</v>
      </c>
      <c r="BZ141" s="462">
        <f t="shared" si="43"/>
        <v>0</v>
      </c>
      <c r="CA141" s="462">
        <f t="shared" si="44"/>
        <v>0</v>
      </c>
      <c r="CB141" s="462">
        <f t="shared" si="45"/>
        <v>0</v>
      </c>
      <c r="CC141" s="462">
        <f>IF(AT141&lt;&gt;0,SSHICHG*Y141,0)</f>
        <v>0</v>
      </c>
      <c r="CD141" s="462">
        <f>IF(AND(AT141&lt;&gt;0,AN141&lt;&gt;"NE"),VLOOKUP(AN141,Retirement_Rates,5,FALSE)*Y141,0)</f>
        <v>0</v>
      </c>
      <c r="CE141" s="462">
        <f>IF(AND(AT141&lt;&gt;0,AJ141&lt;&gt;"PF"),LifeCHG*Y141,0)</f>
        <v>0</v>
      </c>
      <c r="CF141" s="462">
        <f>IF(AND(AT141&lt;&gt;0,AM141="Y"),UICHG*Y141,0)</f>
        <v>-258.46912000000003</v>
      </c>
      <c r="CG141" s="462">
        <f>IF(AND(AT141&lt;&gt;0,N141&lt;&gt;"NR"),DHRCHG*Y141,0)</f>
        <v>0</v>
      </c>
      <c r="CH141" s="462">
        <f>IF(AT141&lt;&gt;0,WCCHG*Y141,0)</f>
        <v>-15.824640000000008</v>
      </c>
      <c r="CI141" s="462">
        <f>IF(OR(AND(AT141&lt;&gt;0,AJ141&lt;&gt;"PF",AN141&lt;&gt;"NE",AG141&lt;&gt;"A"),AND(AL141="E",OR(AT141=1,AT141=3))),SickCHG*Y141,0)</f>
        <v>0</v>
      </c>
      <c r="CJ141" s="462">
        <f t="shared" si="46"/>
        <v>-274.29376000000002</v>
      </c>
      <c r="CK141" s="462" t="str">
        <f t="shared" si="47"/>
        <v/>
      </c>
      <c r="CL141" s="462" t="str">
        <f t="shared" si="48"/>
        <v/>
      </c>
      <c r="CM141" s="462" t="str">
        <f t="shared" si="49"/>
        <v/>
      </c>
      <c r="CN141" s="462" t="str">
        <f t="shared" si="50"/>
        <v>0450-38</v>
      </c>
    </row>
    <row r="142" spans="1:92" ht="15" thickBot="1" x14ac:dyDescent="0.35">
      <c r="A142" s="376" t="s">
        <v>161</v>
      </c>
      <c r="B142" s="376" t="s">
        <v>162</v>
      </c>
      <c r="C142" s="376" t="s">
        <v>694</v>
      </c>
      <c r="D142" s="376" t="s">
        <v>356</v>
      </c>
      <c r="E142" s="376" t="s">
        <v>314</v>
      </c>
      <c r="F142" s="382" t="s">
        <v>406</v>
      </c>
      <c r="G142" s="376" t="s">
        <v>167</v>
      </c>
      <c r="H142" s="378"/>
      <c r="I142" s="378"/>
      <c r="J142" s="376" t="s">
        <v>168</v>
      </c>
      <c r="K142" s="376" t="s">
        <v>682</v>
      </c>
      <c r="L142" s="376" t="s">
        <v>216</v>
      </c>
      <c r="M142" s="376" t="s">
        <v>171</v>
      </c>
      <c r="N142" s="376" t="s">
        <v>172</v>
      </c>
      <c r="O142" s="379">
        <v>1</v>
      </c>
      <c r="P142" s="460">
        <v>1</v>
      </c>
      <c r="Q142" s="460">
        <v>1</v>
      </c>
      <c r="R142" s="380">
        <v>80</v>
      </c>
      <c r="S142" s="460">
        <v>1</v>
      </c>
      <c r="T142" s="380">
        <v>70099.759999999995</v>
      </c>
      <c r="U142" s="380">
        <v>0</v>
      </c>
      <c r="V142" s="380">
        <v>26102.38</v>
      </c>
      <c r="W142" s="380">
        <v>71136</v>
      </c>
      <c r="X142" s="380">
        <v>26983.34</v>
      </c>
      <c r="Y142" s="380">
        <v>71136</v>
      </c>
      <c r="Z142" s="380">
        <v>26613.439999999999</v>
      </c>
      <c r="AA142" s="376" t="s">
        <v>695</v>
      </c>
      <c r="AB142" s="376" t="s">
        <v>696</v>
      </c>
      <c r="AC142" s="376" t="s">
        <v>697</v>
      </c>
      <c r="AD142" s="376" t="s">
        <v>252</v>
      </c>
      <c r="AE142" s="376" t="s">
        <v>682</v>
      </c>
      <c r="AF142" s="376" t="s">
        <v>311</v>
      </c>
      <c r="AG142" s="376" t="s">
        <v>178</v>
      </c>
      <c r="AH142" s="381">
        <v>34.200000000000003</v>
      </c>
      <c r="AI142" s="381">
        <v>24475.8</v>
      </c>
      <c r="AJ142" s="376" t="s">
        <v>179</v>
      </c>
      <c r="AK142" s="376" t="s">
        <v>180</v>
      </c>
      <c r="AL142" s="376" t="s">
        <v>181</v>
      </c>
      <c r="AM142" s="376" t="s">
        <v>182</v>
      </c>
      <c r="AN142" s="376" t="s">
        <v>68</v>
      </c>
      <c r="AO142" s="379">
        <v>80</v>
      </c>
      <c r="AP142" s="460">
        <v>1</v>
      </c>
      <c r="AQ142" s="460">
        <v>1</v>
      </c>
      <c r="AR142" s="458" t="s">
        <v>183</v>
      </c>
      <c r="AS142" s="462">
        <f t="shared" si="34"/>
        <v>1</v>
      </c>
      <c r="AT142">
        <f t="shared" si="35"/>
        <v>1</v>
      </c>
      <c r="AU142" s="462">
        <f>IF(AT142=0,"",IF(AND(AT142=1,M142="F",SUMIF(C2:C170,C142,AS2:AS170)&lt;=1),SUMIF(C2:C170,C142,AS2:AS170),IF(AND(AT142=1,M142="F",SUMIF(C2:C170,C142,AS2:AS170)&gt;1),1,"")))</f>
        <v>1</v>
      </c>
      <c r="AV142" s="462" t="str">
        <f>IF(AT142=0,"",IF(AND(AT142=3,M142="F",SUMIF(C2:C170,C142,AS2:AS170)&lt;=1),SUMIF(C2:C170,C142,AS2:AS170),IF(AND(AT142=3,M142="F",SUMIF(C2:C170,C142,AS2:AS170)&gt;1),1,"")))</f>
        <v/>
      </c>
      <c r="AW142" s="462">
        <f>SUMIF(C2:C170,C142,O2:O170)</f>
        <v>1</v>
      </c>
      <c r="AX142" s="462">
        <f>IF(AND(M142="F",AS142&lt;&gt;0),SUMIF(C2:C170,C142,W2:W170),0)</f>
        <v>71136</v>
      </c>
      <c r="AY142" s="462">
        <f t="shared" si="36"/>
        <v>71136</v>
      </c>
      <c r="AZ142" s="462" t="str">
        <f t="shared" si="37"/>
        <v/>
      </c>
      <c r="BA142" s="462">
        <f t="shared" si="38"/>
        <v>0</v>
      </c>
      <c r="BB142" s="462">
        <f>IF(AND(AT142=1,AK142="E",AU142&gt;=0.75,AW142=1),Health,IF(AND(AT142=1,AK142="E",AU142&gt;=0.75),Health*P142,IF(AND(AT142=1,AK142="E",AU142&gt;=0.5,AW142=1),PTHealth,IF(AND(AT142=1,AK142="E",AU142&gt;=0.5),PTHealth*P142,0))))</f>
        <v>11650</v>
      </c>
      <c r="BC142" s="462">
        <f>IF(AND(AT142=3,AK142="E",AV142&gt;=0.75,AW142=1),Health,IF(AND(AT142=3,AK142="E",AV142&gt;=0.75),Health*P142,IF(AND(AT142=3,AK142="E",AV142&gt;=0.5,AW142=1),PTHealth,IF(AND(AT142=3,AK142="E",AV142&gt;=0.5),PTHealth*P142,0))))</f>
        <v>0</v>
      </c>
      <c r="BD142" s="462">
        <f>IF(AND(AT142&lt;&gt;0,AX142&gt;=MAXSSDI),SSDI*MAXSSDI*P142,IF(AT142&lt;&gt;0,SSDI*W142,0))</f>
        <v>4410.4319999999998</v>
      </c>
      <c r="BE142" s="462">
        <f>IF(AT142&lt;&gt;0,SSHI*W142,0)</f>
        <v>1031.472</v>
      </c>
      <c r="BF142" s="462">
        <f>IF(AND(AT142&lt;&gt;0,AN142&lt;&gt;"NE"),VLOOKUP(AN142,Retirement_Rates,3,FALSE)*W142,0)</f>
        <v>8493.6383999999998</v>
      </c>
      <c r="BG142" s="462">
        <f>IF(AND(AT142&lt;&gt;0,AJ142&lt;&gt;"PF"),Life*W142,0)</f>
        <v>512.89056000000005</v>
      </c>
      <c r="BH142" s="462">
        <f>IF(AND(AT142&lt;&gt;0,AM142="Y"),UI*W142,0)</f>
        <v>348.56639999999999</v>
      </c>
      <c r="BI142" s="462">
        <f>IF(AND(AT142&lt;&gt;0,N142&lt;&gt;"NR"),DHR*W142,0)</f>
        <v>394.09343999999999</v>
      </c>
      <c r="BJ142" s="462">
        <f>IF(AT142&lt;&gt;0,WC*W142,0)</f>
        <v>142.27199999999999</v>
      </c>
      <c r="BK142" s="462">
        <f>IF(OR(AND(AT142&lt;&gt;0,AJ142&lt;&gt;"PF",AN142&lt;&gt;"NE",AG142&lt;&gt;"A"),AND(AL142="E",OR(AT142=1,AT142=3))),Sick*W142,0)</f>
        <v>0</v>
      </c>
      <c r="BL142" s="462">
        <f t="shared" si="39"/>
        <v>15333.364799999999</v>
      </c>
      <c r="BM142" s="462">
        <f t="shared" si="40"/>
        <v>0</v>
      </c>
      <c r="BN142" s="462">
        <f>IF(AND(AT142=1,AK142="E",AU142&gt;=0.75,AW142=1),HealthBY,IF(AND(AT142=1,AK142="E",AU142&gt;=0.75),HealthBY*P142,IF(AND(AT142=1,AK142="E",AU142&gt;=0.5,AW142=1),PTHealthBY,IF(AND(AT142=1,AK142="E",AU142&gt;=0.5),PTHealthBY*P142,0))))</f>
        <v>11650</v>
      </c>
      <c r="BO142" s="462">
        <f>IF(AND(AT142=3,AK142="E",AV142&gt;=0.75,AW142=1),HealthBY,IF(AND(AT142=3,AK142="E",AV142&gt;=0.75),HealthBY*P142,IF(AND(AT142=3,AK142="E",AV142&gt;=0.5,AW142=1),PTHealthBY,IF(AND(AT142=3,AK142="E",AV142&gt;=0.5),PTHealthBY*P142,0))))</f>
        <v>0</v>
      </c>
      <c r="BP142" s="462">
        <f>IF(AND(AT142&lt;&gt;0,(AX142+BA142)&gt;=MAXSSDIBY),SSDIBY*MAXSSDIBY*P142,IF(AT142&lt;&gt;0,SSDIBY*W142,0))</f>
        <v>4410.4319999999998</v>
      </c>
      <c r="BQ142" s="462">
        <f>IF(AT142&lt;&gt;0,SSHIBY*W142,0)</f>
        <v>1031.472</v>
      </c>
      <c r="BR142" s="462">
        <f>IF(AND(AT142&lt;&gt;0,AN142&lt;&gt;"NE"),VLOOKUP(AN142,Retirement_Rates,4,FALSE)*W142,0)</f>
        <v>8493.6383999999998</v>
      </c>
      <c r="BS142" s="462">
        <f>IF(AND(AT142&lt;&gt;0,AJ142&lt;&gt;"PF"),LifeBY*W142,0)</f>
        <v>512.89056000000005</v>
      </c>
      <c r="BT142" s="462">
        <f>IF(AND(AT142&lt;&gt;0,AM142="Y"),UIBY*W142,0)</f>
        <v>0</v>
      </c>
      <c r="BU142" s="462">
        <f>IF(AND(AT142&lt;&gt;0,N142&lt;&gt;"NR"),DHRBY*W142,0)</f>
        <v>394.09343999999999</v>
      </c>
      <c r="BV142" s="462">
        <f>IF(AT142&lt;&gt;0,WCBY*W142,0)</f>
        <v>120.93119999999999</v>
      </c>
      <c r="BW142" s="462">
        <f>IF(OR(AND(AT142&lt;&gt;0,AJ142&lt;&gt;"PF",AN142&lt;&gt;"NE",AG142&lt;&gt;"A"),AND(AL142="E",OR(AT142=1,AT142=3))),SickBY*W142,0)</f>
        <v>0</v>
      </c>
      <c r="BX142" s="462">
        <f t="shared" si="41"/>
        <v>14963.457599999998</v>
      </c>
      <c r="BY142" s="462">
        <f t="shared" si="42"/>
        <v>0</v>
      </c>
      <c r="BZ142" s="462">
        <f t="shared" si="43"/>
        <v>0</v>
      </c>
      <c r="CA142" s="462">
        <f t="shared" si="44"/>
        <v>0</v>
      </c>
      <c r="CB142" s="462">
        <f t="shared" si="45"/>
        <v>0</v>
      </c>
      <c r="CC142" s="462">
        <f>IF(AT142&lt;&gt;0,SSHICHG*Y142,0)</f>
        <v>0</v>
      </c>
      <c r="CD142" s="462">
        <f>IF(AND(AT142&lt;&gt;0,AN142&lt;&gt;"NE"),VLOOKUP(AN142,Retirement_Rates,5,FALSE)*Y142,0)</f>
        <v>0</v>
      </c>
      <c r="CE142" s="462">
        <f>IF(AND(AT142&lt;&gt;0,AJ142&lt;&gt;"PF"),LifeCHG*Y142,0)</f>
        <v>0</v>
      </c>
      <c r="CF142" s="462">
        <f>IF(AND(AT142&lt;&gt;0,AM142="Y"),UICHG*Y142,0)</f>
        <v>-348.56639999999999</v>
      </c>
      <c r="CG142" s="462">
        <f>IF(AND(AT142&lt;&gt;0,N142&lt;&gt;"NR"),DHRCHG*Y142,0)</f>
        <v>0</v>
      </c>
      <c r="CH142" s="462">
        <f>IF(AT142&lt;&gt;0,WCCHG*Y142,0)</f>
        <v>-21.340800000000009</v>
      </c>
      <c r="CI142" s="462">
        <f>IF(OR(AND(AT142&lt;&gt;0,AJ142&lt;&gt;"PF",AN142&lt;&gt;"NE",AG142&lt;&gt;"A"),AND(AL142="E",OR(AT142=1,AT142=3))),SickCHG*Y142,0)</f>
        <v>0</v>
      </c>
      <c r="CJ142" s="462">
        <f t="shared" si="46"/>
        <v>-369.90719999999999</v>
      </c>
      <c r="CK142" s="462" t="str">
        <f t="shared" si="47"/>
        <v/>
      </c>
      <c r="CL142" s="462" t="str">
        <f t="shared" si="48"/>
        <v/>
      </c>
      <c r="CM142" s="462" t="str">
        <f t="shared" si="49"/>
        <v/>
      </c>
      <c r="CN142" s="462" t="str">
        <f t="shared" si="50"/>
        <v>0450-38</v>
      </c>
    </row>
    <row r="143" spans="1:92" ht="15" thickBot="1" x14ac:dyDescent="0.35">
      <c r="A143" s="376" t="s">
        <v>161</v>
      </c>
      <c r="B143" s="376" t="s">
        <v>162</v>
      </c>
      <c r="C143" s="376" t="s">
        <v>354</v>
      </c>
      <c r="D143" s="376" t="s">
        <v>263</v>
      </c>
      <c r="E143" s="376" t="s">
        <v>314</v>
      </c>
      <c r="F143" s="382" t="s">
        <v>406</v>
      </c>
      <c r="G143" s="376" t="s">
        <v>167</v>
      </c>
      <c r="H143" s="378"/>
      <c r="I143" s="378"/>
      <c r="J143" s="376" t="s">
        <v>168</v>
      </c>
      <c r="K143" s="376" t="s">
        <v>321</v>
      </c>
      <c r="L143" s="376" t="s">
        <v>216</v>
      </c>
      <c r="M143" s="376" t="s">
        <v>265</v>
      </c>
      <c r="N143" s="376" t="s">
        <v>172</v>
      </c>
      <c r="O143" s="379">
        <v>0</v>
      </c>
      <c r="P143" s="460">
        <v>1</v>
      </c>
      <c r="Q143" s="460">
        <v>1</v>
      </c>
      <c r="R143" s="380">
        <v>80</v>
      </c>
      <c r="S143" s="460">
        <v>1</v>
      </c>
      <c r="T143" s="380">
        <v>0</v>
      </c>
      <c r="U143" s="380">
        <v>0</v>
      </c>
      <c r="V143" s="380">
        <v>0</v>
      </c>
      <c r="W143" s="380">
        <v>60465.599999999999</v>
      </c>
      <c r="X143" s="380">
        <v>26483.93</v>
      </c>
      <c r="Y143" s="380">
        <v>60465.599999999999</v>
      </c>
      <c r="Z143" s="380">
        <v>26181.599999999999</v>
      </c>
      <c r="AA143" s="378"/>
      <c r="AB143" s="378"/>
      <c r="AC143" s="378"/>
      <c r="AD143" s="378"/>
      <c r="AE143" s="378"/>
      <c r="AF143" s="378"/>
      <c r="AG143" s="378"/>
      <c r="AH143" s="379">
        <v>0</v>
      </c>
      <c r="AI143" s="379">
        <v>0</v>
      </c>
      <c r="AJ143" s="378"/>
      <c r="AK143" s="378"/>
      <c r="AL143" s="376" t="s">
        <v>181</v>
      </c>
      <c r="AM143" s="378"/>
      <c r="AN143" s="378"/>
      <c r="AO143" s="379">
        <v>0</v>
      </c>
      <c r="AP143" s="460">
        <v>0</v>
      </c>
      <c r="AQ143" s="460">
        <v>0</v>
      </c>
      <c r="AR143" s="459"/>
      <c r="AS143" s="462">
        <f t="shared" si="34"/>
        <v>0</v>
      </c>
      <c r="AT143">
        <f t="shared" si="35"/>
        <v>0</v>
      </c>
      <c r="AU143" s="462" t="str">
        <f>IF(AT143=0,"",IF(AND(AT143=1,M143="F",SUMIF(C2:C170,C143,AS2:AS170)&lt;=1),SUMIF(C2:C170,C143,AS2:AS170),IF(AND(AT143=1,M143="F",SUMIF(C2:C170,C143,AS2:AS170)&gt;1),1,"")))</f>
        <v/>
      </c>
      <c r="AV143" s="462" t="str">
        <f>IF(AT143=0,"",IF(AND(AT143=3,M143="F",SUMIF(C2:C170,C143,AS2:AS170)&lt;=1),SUMIF(C2:C170,C143,AS2:AS170),IF(AND(AT143=3,M143="F",SUMIF(C2:C170,C143,AS2:AS170)&gt;1),1,"")))</f>
        <v/>
      </c>
      <c r="AW143" s="462">
        <f>SUMIF(C2:C170,C143,O2:O170)</f>
        <v>0</v>
      </c>
      <c r="AX143" s="462">
        <f>IF(AND(M143="F",AS143&lt;&gt;0),SUMIF(C2:C170,C143,W2:W170),0)</f>
        <v>0</v>
      </c>
      <c r="AY143" s="462" t="str">
        <f t="shared" si="36"/>
        <v/>
      </c>
      <c r="AZ143" s="462" t="str">
        <f t="shared" si="37"/>
        <v/>
      </c>
      <c r="BA143" s="462">
        <f t="shared" si="38"/>
        <v>0</v>
      </c>
      <c r="BB143" s="462">
        <f>IF(AND(AT143=1,AK143="E",AU143&gt;=0.75,AW143=1),Health,IF(AND(AT143=1,AK143="E",AU143&gt;=0.75),Health*P143,IF(AND(AT143=1,AK143="E",AU143&gt;=0.5,AW143=1),PTHealth,IF(AND(AT143=1,AK143="E",AU143&gt;=0.5),PTHealth*P143,0))))</f>
        <v>0</v>
      </c>
      <c r="BC143" s="462">
        <f>IF(AND(AT143=3,AK143="E",AV143&gt;=0.75,AW143=1),Health,IF(AND(AT143=3,AK143="E",AV143&gt;=0.75),Health*P143,IF(AND(AT143=3,AK143="E",AV143&gt;=0.5,AW143=1),PTHealth,IF(AND(AT143=3,AK143="E",AV143&gt;=0.5),PTHealth*P143,0))))</f>
        <v>0</v>
      </c>
      <c r="BD143" s="462">
        <f>IF(AND(AT143&lt;&gt;0,AX143&gt;=MAXSSDI),SSDI*MAXSSDI*P143,IF(AT143&lt;&gt;0,SSDI*W143,0))</f>
        <v>0</v>
      </c>
      <c r="BE143" s="462">
        <f>IF(AT143&lt;&gt;0,SSHI*W143,0)</f>
        <v>0</v>
      </c>
      <c r="BF143" s="462">
        <f>IF(AND(AT143&lt;&gt;0,AN143&lt;&gt;"NE"),VLOOKUP(AN143,Retirement_Rates,3,FALSE)*W143,0)</f>
        <v>0</v>
      </c>
      <c r="BG143" s="462">
        <f>IF(AND(AT143&lt;&gt;0,AJ143&lt;&gt;"PF"),Life*W143,0)</f>
        <v>0</v>
      </c>
      <c r="BH143" s="462">
        <f>IF(AND(AT143&lt;&gt;0,AM143="Y"),UI*W143,0)</f>
        <v>0</v>
      </c>
      <c r="BI143" s="462">
        <f>IF(AND(AT143&lt;&gt;0,N143&lt;&gt;"NR"),DHR*W143,0)</f>
        <v>0</v>
      </c>
      <c r="BJ143" s="462">
        <f>IF(AT143&lt;&gt;0,WC*W143,0)</f>
        <v>0</v>
      </c>
      <c r="BK143" s="462">
        <f>IF(OR(AND(AT143&lt;&gt;0,AJ143&lt;&gt;"PF",AN143&lt;&gt;"NE",AG143&lt;&gt;"A"),AND(AL143="E",OR(AT143=1,AT143=3))),Sick*W143,0)</f>
        <v>0</v>
      </c>
      <c r="BL143" s="462">
        <f t="shared" si="39"/>
        <v>0</v>
      </c>
      <c r="BM143" s="462">
        <f t="shared" si="40"/>
        <v>0</v>
      </c>
      <c r="BN143" s="462">
        <f>IF(AND(AT143=1,AK143="E",AU143&gt;=0.75,AW143=1),HealthBY,IF(AND(AT143=1,AK143="E",AU143&gt;=0.75),HealthBY*P143,IF(AND(AT143=1,AK143="E",AU143&gt;=0.5,AW143=1),PTHealthBY,IF(AND(AT143=1,AK143="E",AU143&gt;=0.5),PTHealthBY*P143,0))))</f>
        <v>0</v>
      </c>
      <c r="BO143" s="462">
        <f>IF(AND(AT143=3,AK143="E",AV143&gt;=0.75,AW143=1),HealthBY,IF(AND(AT143=3,AK143="E",AV143&gt;=0.75),HealthBY*P143,IF(AND(AT143=3,AK143="E",AV143&gt;=0.5,AW143=1),PTHealthBY,IF(AND(AT143=3,AK143="E",AV143&gt;=0.5),PTHealthBY*P143,0))))</f>
        <v>0</v>
      </c>
      <c r="BP143" s="462">
        <f>IF(AND(AT143&lt;&gt;0,(AX143+BA143)&gt;=MAXSSDIBY),SSDIBY*MAXSSDIBY*P143,IF(AT143&lt;&gt;0,SSDIBY*W143,0))</f>
        <v>0</v>
      </c>
      <c r="BQ143" s="462">
        <f>IF(AT143&lt;&gt;0,SSHIBY*W143,0)</f>
        <v>0</v>
      </c>
      <c r="BR143" s="462">
        <f>IF(AND(AT143&lt;&gt;0,AN143&lt;&gt;"NE"),VLOOKUP(AN143,Retirement_Rates,4,FALSE)*W143,0)</f>
        <v>0</v>
      </c>
      <c r="BS143" s="462">
        <f>IF(AND(AT143&lt;&gt;0,AJ143&lt;&gt;"PF"),LifeBY*W143,0)</f>
        <v>0</v>
      </c>
      <c r="BT143" s="462">
        <f>IF(AND(AT143&lt;&gt;0,AM143="Y"),UIBY*W143,0)</f>
        <v>0</v>
      </c>
      <c r="BU143" s="462">
        <f>IF(AND(AT143&lt;&gt;0,N143&lt;&gt;"NR"),DHRBY*W143,0)</f>
        <v>0</v>
      </c>
      <c r="BV143" s="462">
        <f>IF(AT143&lt;&gt;0,WCBY*W143,0)</f>
        <v>0</v>
      </c>
      <c r="BW143" s="462">
        <f>IF(OR(AND(AT143&lt;&gt;0,AJ143&lt;&gt;"PF",AN143&lt;&gt;"NE",AG143&lt;&gt;"A"),AND(AL143="E",OR(AT143=1,AT143=3))),SickBY*W143,0)</f>
        <v>0</v>
      </c>
      <c r="BX143" s="462">
        <f t="shared" si="41"/>
        <v>0</v>
      </c>
      <c r="BY143" s="462">
        <f t="shared" si="42"/>
        <v>0</v>
      </c>
      <c r="BZ143" s="462">
        <f t="shared" si="43"/>
        <v>0</v>
      </c>
      <c r="CA143" s="462">
        <f t="shared" si="44"/>
        <v>0</v>
      </c>
      <c r="CB143" s="462">
        <f t="shared" si="45"/>
        <v>0</v>
      </c>
      <c r="CC143" s="462">
        <f>IF(AT143&lt;&gt;0,SSHICHG*Y143,0)</f>
        <v>0</v>
      </c>
      <c r="CD143" s="462">
        <f>IF(AND(AT143&lt;&gt;0,AN143&lt;&gt;"NE"),VLOOKUP(AN143,Retirement_Rates,5,FALSE)*Y143,0)</f>
        <v>0</v>
      </c>
      <c r="CE143" s="462">
        <f>IF(AND(AT143&lt;&gt;0,AJ143&lt;&gt;"PF"),LifeCHG*Y143,0)</f>
        <v>0</v>
      </c>
      <c r="CF143" s="462">
        <f>IF(AND(AT143&lt;&gt;0,AM143="Y"),UICHG*Y143,0)</f>
        <v>0</v>
      </c>
      <c r="CG143" s="462">
        <f>IF(AND(AT143&lt;&gt;0,N143&lt;&gt;"NR"),DHRCHG*Y143,0)</f>
        <v>0</v>
      </c>
      <c r="CH143" s="462">
        <f>IF(AT143&lt;&gt;0,WCCHG*Y143,0)</f>
        <v>0</v>
      </c>
      <c r="CI143" s="462">
        <f>IF(OR(AND(AT143&lt;&gt;0,AJ143&lt;&gt;"PF",AN143&lt;&gt;"NE",AG143&lt;&gt;"A"),AND(AL143="E",OR(AT143=1,AT143=3))),SickCHG*Y143,0)</f>
        <v>0</v>
      </c>
      <c r="CJ143" s="462">
        <f t="shared" si="46"/>
        <v>0</v>
      </c>
      <c r="CK143" s="462" t="str">
        <f t="shared" si="47"/>
        <v/>
      </c>
      <c r="CL143" s="462" t="str">
        <f t="shared" si="48"/>
        <v/>
      </c>
      <c r="CM143" s="462" t="str">
        <f t="shared" si="49"/>
        <v/>
      </c>
      <c r="CN143" s="462" t="str">
        <f t="shared" si="50"/>
        <v>0450-38</v>
      </c>
    </row>
    <row r="144" spans="1:92" ht="15" thickBot="1" x14ac:dyDescent="0.35">
      <c r="A144" s="376" t="s">
        <v>161</v>
      </c>
      <c r="B144" s="376" t="s">
        <v>162</v>
      </c>
      <c r="C144" s="376" t="s">
        <v>698</v>
      </c>
      <c r="D144" s="376" t="s">
        <v>313</v>
      </c>
      <c r="E144" s="376" t="s">
        <v>314</v>
      </c>
      <c r="F144" s="382" t="s">
        <v>406</v>
      </c>
      <c r="G144" s="376" t="s">
        <v>167</v>
      </c>
      <c r="H144" s="378"/>
      <c r="I144" s="378"/>
      <c r="J144" s="376" t="s">
        <v>168</v>
      </c>
      <c r="K144" s="376" t="s">
        <v>316</v>
      </c>
      <c r="L144" s="376" t="s">
        <v>216</v>
      </c>
      <c r="M144" s="376" t="s">
        <v>171</v>
      </c>
      <c r="N144" s="376" t="s">
        <v>172</v>
      </c>
      <c r="O144" s="379">
        <v>1</v>
      </c>
      <c r="P144" s="460">
        <v>1</v>
      </c>
      <c r="Q144" s="460">
        <v>1</v>
      </c>
      <c r="R144" s="380">
        <v>80</v>
      </c>
      <c r="S144" s="460">
        <v>1</v>
      </c>
      <c r="T144" s="380">
        <v>54250.46</v>
      </c>
      <c r="U144" s="380">
        <v>0</v>
      </c>
      <c r="V144" s="380">
        <v>19968.38</v>
      </c>
      <c r="W144" s="380">
        <v>75233.600000000006</v>
      </c>
      <c r="X144" s="380">
        <v>27866.57</v>
      </c>
      <c r="Y144" s="380">
        <v>75233.600000000006</v>
      </c>
      <c r="Z144" s="380">
        <v>27475.360000000001</v>
      </c>
      <c r="AA144" s="376" t="s">
        <v>699</v>
      </c>
      <c r="AB144" s="376" t="s">
        <v>700</v>
      </c>
      <c r="AC144" s="376" t="s">
        <v>404</v>
      </c>
      <c r="AD144" s="376" t="s">
        <v>220</v>
      </c>
      <c r="AE144" s="376" t="s">
        <v>316</v>
      </c>
      <c r="AF144" s="376" t="s">
        <v>311</v>
      </c>
      <c r="AG144" s="376" t="s">
        <v>178</v>
      </c>
      <c r="AH144" s="381">
        <v>36.17</v>
      </c>
      <c r="AI144" s="381">
        <v>10166.5</v>
      </c>
      <c r="AJ144" s="376" t="s">
        <v>179</v>
      </c>
      <c r="AK144" s="376" t="s">
        <v>180</v>
      </c>
      <c r="AL144" s="376" t="s">
        <v>181</v>
      </c>
      <c r="AM144" s="376" t="s">
        <v>182</v>
      </c>
      <c r="AN144" s="376" t="s">
        <v>68</v>
      </c>
      <c r="AO144" s="379">
        <v>80</v>
      </c>
      <c r="AP144" s="460">
        <v>1</v>
      </c>
      <c r="AQ144" s="460">
        <v>1</v>
      </c>
      <c r="AR144" s="458" t="s">
        <v>183</v>
      </c>
      <c r="AS144" s="462">
        <f t="shared" si="34"/>
        <v>1</v>
      </c>
      <c r="AT144">
        <f t="shared" si="35"/>
        <v>1</v>
      </c>
      <c r="AU144" s="462">
        <f>IF(AT144=0,"",IF(AND(AT144=1,M144="F",SUMIF(C2:C170,C144,AS2:AS170)&lt;=1),SUMIF(C2:C170,C144,AS2:AS170),IF(AND(AT144=1,M144="F",SUMIF(C2:C170,C144,AS2:AS170)&gt;1),1,"")))</f>
        <v>1</v>
      </c>
      <c r="AV144" s="462" t="str">
        <f>IF(AT144=0,"",IF(AND(AT144=3,M144="F",SUMIF(C2:C170,C144,AS2:AS170)&lt;=1),SUMIF(C2:C170,C144,AS2:AS170),IF(AND(AT144=3,M144="F",SUMIF(C2:C170,C144,AS2:AS170)&gt;1),1,"")))</f>
        <v/>
      </c>
      <c r="AW144" s="462">
        <f>SUMIF(C2:C170,C144,O2:O170)</f>
        <v>1</v>
      </c>
      <c r="AX144" s="462">
        <f>IF(AND(M144="F",AS144&lt;&gt;0),SUMIF(C2:C170,C144,W2:W170),0)</f>
        <v>75233.600000000006</v>
      </c>
      <c r="AY144" s="462">
        <f t="shared" si="36"/>
        <v>75233.600000000006</v>
      </c>
      <c r="AZ144" s="462" t="str">
        <f t="shared" si="37"/>
        <v/>
      </c>
      <c r="BA144" s="462">
        <f t="shared" si="38"/>
        <v>0</v>
      </c>
      <c r="BB144" s="462">
        <f>IF(AND(AT144=1,AK144="E",AU144&gt;=0.75,AW144=1),Health,IF(AND(AT144=1,AK144="E",AU144&gt;=0.75),Health*P144,IF(AND(AT144=1,AK144="E",AU144&gt;=0.5,AW144=1),PTHealth,IF(AND(AT144=1,AK144="E",AU144&gt;=0.5),PTHealth*P144,0))))</f>
        <v>11650</v>
      </c>
      <c r="BC144" s="462">
        <f>IF(AND(AT144=3,AK144="E",AV144&gt;=0.75,AW144=1),Health,IF(AND(AT144=3,AK144="E",AV144&gt;=0.75),Health*P144,IF(AND(AT144=3,AK144="E",AV144&gt;=0.5,AW144=1),PTHealth,IF(AND(AT144=3,AK144="E",AV144&gt;=0.5),PTHealth*P144,0))))</f>
        <v>0</v>
      </c>
      <c r="BD144" s="462">
        <f>IF(AND(AT144&lt;&gt;0,AX144&gt;=MAXSSDI),SSDI*MAXSSDI*P144,IF(AT144&lt;&gt;0,SSDI*W144,0))</f>
        <v>4664.4832000000006</v>
      </c>
      <c r="BE144" s="462">
        <f>IF(AT144&lt;&gt;0,SSHI*W144,0)</f>
        <v>1090.8872000000001</v>
      </c>
      <c r="BF144" s="462">
        <f>IF(AND(AT144&lt;&gt;0,AN144&lt;&gt;"NE"),VLOOKUP(AN144,Retirement_Rates,3,FALSE)*W144,0)</f>
        <v>8982.891840000002</v>
      </c>
      <c r="BG144" s="462">
        <f>IF(AND(AT144&lt;&gt;0,AJ144&lt;&gt;"PF"),Life*W144,0)</f>
        <v>542.43425600000012</v>
      </c>
      <c r="BH144" s="462">
        <f>IF(AND(AT144&lt;&gt;0,AM144="Y"),UI*W144,0)</f>
        <v>368.64464000000004</v>
      </c>
      <c r="BI144" s="462">
        <f>IF(AND(AT144&lt;&gt;0,N144&lt;&gt;"NR"),DHR*W144,0)</f>
        <v>416.79414400000002</v>
      </c>
      <c r="BJ144" s="462">
        <f>IF(AT144&lt;&gt;0,WC*W144,0)</f>
        <v>150.46720000000002</v>
      </c>
      <c r="BK144" s="462">
        <f>IF(OR(AND(AT144&lt;&gt;0,AJ144&lt;&gt;"PF",AN144&lt;&gt;"NE",AG144&lt;&gt;"A"),AND(AL144="E",OR(AT144=1,AT144=3))),Sick*W144,0)</f>
        <v>0</v>
      </c>
      <c r="BL144" s="462">
        <f t="shared" si="39"/>
        <v>16216.602480000003</v>
      </c>
      <c r="BM144" s="462">
        <f t="shared" si="40"/>
        <v>0</v>
      </c>
      <c r="BN144" s="462">
        <f>IF(AND(AT144=1,AK144="E",AU144&gt;=0.75,AW144=1),HealthBY,IF(AND(AT144=1,AK144="E",AU144&gt;=0.75),HealthBY*P144,IF(AND(AT144=1,AK144="E",AU144&gt;=0.5,AW144=1),PTHealthBY,IF(AND(AT144=1,AK144="E",AU144&gt;=0.5),PTHealthBY*P144,0))))</f>
        <v>11650</v>
      </c>
      <c r="BO144" s="462">
        <f>IF(AND(AT144=3,AK144="E",AV144&gt;=0.75,AW144=1),HealthBY,IF(AND(AT144=3,AK144="E",AV144&gt;=0.75),HealthBY*P144,IF(AND(AT144=3,AK144="E",AV144&gt;=0.5,AW144=1),PTHealthBY,IF(AND(AT144=3,AK144="E",AV144&gt;=0.5),PTHealthBY*P144,0))))</f>
        <v>0</v>
      </c>
      <c r="BP144" s="462">
        <f>IF(AND(AT144&lt;&gt;0,(AX144+BA144)&gt;=MAXSSDIBY),SSDIBY*MAXSSDIBY*P144,IF(AT144&lt;&gt;0,SSDIBY*W144,0))</f>
        <v>4664.4832000000006</v>
      </c>
      <c r="BQ144" s="462">
        <f>IF(AT144&lt;&gt;0,SSHIBY*W144,0)</f>
        <v>1090.8872000000001</v>
      </c>
      <c r="BR144" s="462">
        <f>IF(AND(AT144&lt;&gt;0,AN144&lt;&gt;"NE"),VLOOKUP(AN144,Retirement_Rates,4,FALSE)*W144,0)</f>
        <v>8982.891840000002</v>
      </c>
      <c r="BS144" s="462">
        <f>IF(AND(AT144&lt;&gt;0,AJ144&lt;&gt;"PF"),LifeBY*W144,0)</f>
        <v>542.43425600000012</v>
      </c>
      <c r="BT144" s="462">
        <f>IF(AND(AT144&lt;&gt;0,AM144="Y"),UIBY*W144,0)</f>
        <v>0</v>
      </c>
      <c r="BU144" s="462">
        <f>IF(AND(AT144&lt;&gt;0,N144&lt;&gt;"NR"),DHRBY*W144,0)</f>
        <v>416.79414400000002</v>
      </c>
      <c r="BV144" s="462">
        <f>IF(AT144&lt;&gt;0,WCBY*W144,0)</f>
        <v>127.89712</v>
      </c>
      <c r="BW144" s="462">
        <f>IF(OR(AND(AT144&lt;&gt;0,AJ144&lt;&gt;"PF",AN144&lt;&gt;"NE",AG144&lt;&gt;"A"),AND(AL144="E",OR(AT144=1,AT144=3))),SickBY*W144,0)</f>
        <v>0</v>
      </c>
      <c r="BX144" s="462">
        <f t="shared" si="41"/>
        <v>15825.387760000003</v>
      </c>
      <c r="BY144" s="462">
        <f t="shared" si="42"/>
        <v>0</v>
      </c>
      <c r="BZ144" s="462">
        <f t="shared" si="43"/>
        <v>0</v>
      </c>
      <c r="CA144" s="462">
        <f t="shared" si="44"/>
        <v>0</v>
      </c>
      <c r="CB144" s="462">
        <f t="shared" si="45"/>
        <v>0</v>
      </c>
      <c r="CC144" s="462">
        <f>IF(AT144&lt;&gt;0,SSHICHG*Y144,0)</f>
        <v>0</v>
      </c>
      <c r="CD144" s="462">
        <f>IF(AND(AT144&lt;&gt;0,AN144&lt;&gt;"NE"),VLOOKUP(AN144,Retirement_Rates,5,FALSE)*Y144,0)</f>
        <v>0</v>
      </c>
      <c r="CE144" s="462">
        <f>IF(AND(AT144&lt;&gt;0,AJ144&lt;&gt;"PF"),LifeCHG*Y144,0)</f>
        <v>0</v>
      </c>
      <c r="CF144" s="462">
        <f>IF(AND(AT144&lt;&gt;0,AM144="Y"),UICHG*Y144,0)</f>
        <v>-368.64464000000004</v>
      </c>
      <c r="CG144" s="462">
        <f>IF(AND(AT144&lt;&gt;0,N144&lt;&gt;"NR"),DHRCHG*Y144,0)</f>
        <v>0</v>
      </c>
      <c r="CH144" s="462">
        <f>IF(AT144&lt;&gt;0,WCCHG*Y144,0)</f>
        <v>-22.570080000000011</v>
      </c>
      <c r="CI144" s="462">
        <f>IF(OR(AND(AT144&lt;&gt;0,AJ144&lt;&gt;"PF",AN144&lt;&gt;"NE",AG144&lt;&gt;"A"),AND(AL144="E",OR(AT144=1,AT144=3))),SickCHG*Y144,0)</f>
        <v>0</v>
      </c>
      <c r="CJ144" s="462">
        <f t="shared" si="46"/>
        <v>-391.21472000000006</v>
      </c>
      <c r="CK144" s="462" t="str">
        <f t="shared" si="47"/>
        <v/>
      </c>
      <c r="CL144" s="462" t="str">
        <f t="shared" si="48"/>
        <v/>
      </c>
      <c r="CM144" s="462" t="str">
        <f t="shared" si="49"/>
        <v/>
      </c>
      <c r="CN144" s="462" t="str">
        <f t="shared" si="50"/>
        <v>0450-38</v>
      </c>
    </row>
    <row r="145" spans="1:92" ht="15" thickBot="1" x14ac:dyDescent="0.35">
      <c r="A145" s="376" t="s">
        <v>161</v>
      </c>
      <c r="B145" s="376" t="s">
        <v>162</v>
      </c>
      <c r="C145" s="376" t="s">
        <v>701</v>
      </c>
      <c r="D145" s="376" t="s">
        <v>202</v>
      </c>
      <c r="E145" s="376" t="s">
        <v>314</v>
      </c>
      <c r="F145" s="382" t="s">
        <v>406</v>
      </c>
      <c r="G145" s="376" t="s">
        <v>167</v>
      </c>
      <c r="H145" s="378"/>
      <c r="I145" s="378"/>
      <c r="J145" s="376" t="s">
        <v>168</v>
      </c>
      <c r="K145" s="376" t="s">
        <v>203</v>
      </c>
      <c r="L145" s="376" t="s">
        <v>204</v>
      </c>
      <c r="M145" s="376" t="s">
        <v>171</v>
      </c>
      <c r="N145" s="376" t="s">
        <v>172</v>
      </c>
      <c r="O145" s="379">
        <v>1</v>
      </c>
      <c r="P145" s="460">
        <v>1</v>
      </c>
      <c r="Q145" s="460">
        <v>1</v>
      </c>
      <c r="R145" s="380">
        <v>80</v>
      </c>
      <c r="S145" s="460">
        <v>1</v>
      </c>
      <c r="T145" s="380">
        <v>88136.11</v>
      </c>
      <c r="U145" s="380">
        <v>0</v>
      </c>
      <c r="V145" s="380">
        <v>29774.73</v>
      </c>
      <c r="W145" s="380">
        <v>91832</v>
      </c>
      <c r="X145" s="380">
        <v>31444.35</v>
      </c>
      <c r="Y145" s="380">
        <v>91832</v>
      </c>
      <c r="Z145" s="380">
        <v>30966.83</v>
      </c>
      <c r="AA145" s="376" t="s">
        <v>702</v>
      </c>
      <c r="AB145" s="376" t="s">
        <v>703</v>
      </c>
      <c r="AC145" s="376" t="s">
        <v>428</v>
      </c>
      <c r="AD145" s="376" t="s">
        <v>260</v>
      </c>
      <c r="AE145" s="376" t="s">
        <v>203</v>
      </c>
      <c r="AF145" s="376" t="s">
        <v>209</v>
      </c>
      <c r="AG145" s="376" t="s">
        <v>178</v>
      </c>
      <c r="AH145" s="381">
        <v>44.15</v>
      </c>
      <c r="AI145" s="381">
        <v>51945.1</v>
      </c>
      <c r="AJ145" s="376" t="s">
        <v>179</v>
      </c>
      <c r="AK145" s="376" t="s">
        <v>180</v>
      </c>
      <c r="AL145" s="376" t="s">
        <v>181</v>
      </c>
      <c r="AM145" s="376" t="s">
        <v>182</v>
      </c>
      <c r="AN145" s="376" t="s">
        <v>68</v>
      </c>
      <c r="AO145" s="379">
        <v>80</v>
      </c>
      <c r="AP145" s="460">
        <v>1</v>
      </c>
      <c r="AQ145" s="460">
        <v>1</v>
      </c>
      <c r="AR145" s="458" t="s">
        <v>183</v>
      </c>
      <c r="AS145" s="462">
        <f t="shared" si="34"/>
        <v>1</v>
      </c>
      <c r="AT145">
        <f t="shared" si="35"/>
        <v>1</v>
      </c>
      <c r="AU145" s="462">
        <f>IF(AT145=0,"",IF(AND(AT145=1,M145="F",SUMIF(C2:C170,C145,AS2:AS170)&lt;=1),SUMIF(C2:C170,C145,AS2:AS170),IF(AND(AT145=1,M145="F",SUMIF(C2:C170,C145,AS2:AS170)&gt;1),1,"")))</f>
        <v>1</v>
      </c>
      <c r="AV145" s="462" t="str">
        <f>IF(AT145=0,"",IF(AND(AT145=3,M145="F",SUMIF(C2:C170,C145,AS2:AS170)&lt;=1),SUMIF(C2:C170,C145,AS2:AS170),IF(AND(AT145=3,M145="F",SUMIF(C2:C170,C145,AS2:AS170)&gt;1),1,"")))</f>
        <v/>
      </c>
      <c r="AW145" s="462">
        <f>SUMIF(C2:C170,C145,O2:O170)</f>
        <v>1</v>
      </c>
      <c r="AX145" s="462">
        <f>IF(AND(M145="F",AS145&lt;&gt;0),SUMIF(C2:C170,C145,W2:W170),0)</f>
        <v>91832</v>
      </c>
      <c r="AY145" s="462">
        <f t="shared" si="36"/>
        <v>91832</v>
      </c>
      <c r="AZ145" s="462" t="str">
        <f t="shared" si="37"/>
        <v/>
      </c>
      <c r="BA145" s="462">
        <f t="shared" si="38"/>
        <v>0</v>
      </c>
      <c r="BB145" s="462">
        <f>IF(AND(AT145=1,AK145="E",AU145&gt;=0.75,AW145=1),Health,IF(AND(AT145=1,AK145="E",AU145&gt;=0.75),Health*P145,IF(AND(AT145=1,AK145="E",AU145&gt;=0.5,AW145=1),PTHealth,IF(AND(AT145=1,AK145="E",AU145&gt;=0.5),PTHealth*P145,0))))</f>
        <v>11650</v>
      </c>
      <c r="BC145" s="462">
        <f>IF(AND(AT145=3,AK145="E",AV145&gt;=0.75,AW145=1),Health,IF(AND(AT145=3,AK145="E",AV145&gt;=0.75),Health*P145,IF(AND(AT145=3,AK145="E",AV145&gt;=0.5,AW145=1),PTHealth,IF(AND(AT145=3,AK145="E",AV145&gt;=0.5),PTHealth*P145,0))))</f>
        <v>0</v>
      </c>
      <c r="BD145" s="462">
        <f>IF(AND(AT145&lt;&gt;0,AX145&gt;=MAXSSDI),SSDI*MAXSSDI*P145,IF(AT145&lt;&gt;0,SSDI*W145,0))</f>
        <v>5693.5839999999998</v>
      </c>
      <c r="BE145" s="462">
        <f>IF(AT145&lt;&gt;0,SSHI*W145,0)</f>
        <v>1331.5640000000001</v>
      </c>
      <c r="BF145" s="462">
        <f>IF(AND(AT145&lt;&gt;0,AN145&lt;&gt;"NE"),VLOOKUP(AN145,Retirement_Rates,3,FALSE)*W145,0)</f>
        <v>10964.740800000001</v>
      </c>
      <c r="BG145" s="462">
        <f>IF(AND(AT145&lt;&gt;0,AJ145&lt;&gt;"PF"),Life*W145,0)</f>
        <v>662.10872000000006</v>
      </c>
      <c r="BH145" s="462">
        <f>IF(AND(AT145&lt;&gt;0,AM145="Y"),UI*W145,0)</f>
        <v>449.97679999999997</v>
      </c>
      <c r="BI145" s="462">
        <f>IF(AND(AT145&lt;&gt;0,N145&lt;&gt;"NR"),DHR*W145,0)</f>
        <v>508.74928</v>
      </c>
      <c r="BJ145" s="462">
        <f>IF(AT145&lt;&gt;0,WC*W145,0)</f>
        <v>183.66400000000002</v>
      </c>
      <c r="BK145" s="462">
        <f>IF(OR(AND(AT145&lt;&gt;0,AJ145&lt;&gt;"PF",AN145&lt;&gt;"NE",AG145&lt;&gt;"A"),AND(AL145="E",OR(AT145=1,AT145=3))),Sick*W145,0)</f>
        <v>0</v>
      </c>
      <c r="BL145" s="462">
        <f t="shared" si="39"/>
        <v>19794.387600000002</v>
      </c>
      <c r="BM145" s="462">
        <f t="shared" si="40"/>
        <v>0</v>
      </c>
      <c r="BN145" s="462">
        <f>IF(AND(AT145=1,AK145="E",AU145&gt;=0.75,AW145=1),HealthBY,IF(AND(AT145=1,AK145="E",AU145&gt;=0.75),HealthBY*P145,IF(AND(AT145=1,AK145="E",AU145&gt;=0.5,AW145=1),PTHealthBY,IF(AND(AT145=1,AK145="E",AU145&gt;=0.5),PTHealthBY*P145,0))))</f>
        <v>11650</v>
      </c>
      <c r="BO145" s="462">
        <f>IF(AND(AT145=3,AK145="E",AV145&gt;=0.75,AW145=1),HealthBY,IF(AND(AT145=3,AK145="E",AV145&gt;=0.75),HealthBY*P145,IF(AND(AT145=3,AK145="E",AV145&gt;=0.5,AW145=1),PTHealthBY,IF(AND(AT145=3,AK145="E",AV145&gt;=0.5),PTHealthBY*P145,0))))</f>
        <v>0</v>
      </c>
      <c r="BP145" s="462">
        <f>IF(AND(AT145&lt;&gt;0,(AX145+BA145)&gt;=MAXSSDIBY),SSDIBY*MAXSSDIBY*P145,IF(AT145&lt;&gt;0,SSDIBY*W145,0))</f>
        <v>5693.5839999999998</v>
      </c>
      <c r="BQ145" s="462">
        <f>IF(AT145&lt;&gt;0,SSHIBY*W145,0)</f>
        <v>1331.5640000000001</v>
      </c>
      <c r="BR145" s="462">
        <f>IF(AND(AT145&lt;&gt;0,AN145&lt;&gt;"NE"),VLOOKUP(AN145,Retirement_Rates,4,FALSE)*W145,0)</f>
        <v>10964.740800000001</v>
      </c>
      <c r="BS145" s="462">
        <f>IF(AND(AT145&lt;&gt;0,AJ145&lt;&gt;"PF"),LifeBY*W145,0)</f>
        <v>662.10872000000006</v>
      </c>
      <c r="BT145" s="462">
        <f>IF(AND(AT145&lt;&gt;0,AM145="Y"),UIBY*W145,0)</f>
        <v>0</v>
      </c>
      <c r="BU145" s="462">
        <f>IF(AND(AT145&lt;&gt;0,N145&lt;&gt;"NR"),DHRBY*W145,0)</f>
        <v>508.74928</v>
      </c>
      <c r="BV145" s="462">
        <f>IF(AT145&lt;&gt;0,WCBY*W145,0)</f>
        <v>156.11439999999999</v>
      </c>
      <c r="BW145" s="462">
        <f>IF(OR(AND(AT145&lt;&gt;0,AJ145&lt;&gt;"PF",AN145&lt;&gt;"NE",AG145&lt;&gt;"A"),AND(AL145="E",OR(AT145=1,AT145=3))),SickBY*W145,0)</f>
        <v>0</v>
      </c>
      <c r="BX145" s="462">
        <f t="shared" si="41"/>
        <v>19316.861199999999</v>
      </c>
      <c r="BY145" s="462">
        <f t="shared" si="42"/>
        <v>0</v>
      </c>
      <c r="BZ145" s="462">
        <f t="shared" si="43"/>
        <v>0</v>
      </c>
      <c r="CA145" s="462">
        <f t="shared" si="44"/>
        <v>0</v>
      </c>
      <c r="CB145" s="462">
        <f t="shared" si="45"/>
        <v>0</v>
      </c>
      <c r="CC145" s="462">
        <f>IF(AT145&lt;&gt;0,SSHICHG*Y145,0)</f>
        <v>0</v>
      </c>
      <c r="CD145" s="462">
        <f>IF(AND(AT145&lt;&gt;0,AN145&lt;&gt;"NE"),VLOOKUP(AN145,Retirement_Rates,5,FALSE)*Y145,0)</f>
        <v>0</v>
      </c>
      <c r="CE145" s="462">
        <f>IF(AND(AT145&lt;&gt;0,AJ145&lt;&gt;"PF"),LifeCHG*Y145,0)</f>
        <v>0</v>
      </c>
      <c r="CF145" s="462">
        <f>IF(AND(AT145&lt;&gt;0,AM145="Y"),UICHG*Y145,0)</f>
        <v>-449.97679999999997</v>
      </c>
      <c r="CG145" s="462">
        <f>IF(AND(AT145&lt;&gt;0,N145&lt;&gt;"NR"),DHRCHG*Y145,0)</f>
        <v>0</v>
      </c>
      <c r="CH145" s="462">
        <f>IF(AT145&lt;&gt;0,WCCHG*Y145,0)</f>
        <v>-27.549600000000012</v>
      </c>
      <c r="CI145" s="462">
        <f>IF(OR(AND(AT145&lt;&gt;0,AJ145&lt;&gt;"PF",AN145&lt;&gt;"NE",AG145&lt;&gt;"A"),AND(AL145="E",OR(AT145=1,AT145=3))),SickCHG*Y145,0)</f>
        <v>0</v>
      </c>
      <c r="CJ145" s="462">
        <f t="shared" si="46"/>
        <v>-477.52639999999997</v>
      </c>
      <c r="CK145" s="462" t="str">
        <f t="shared" si="47"/>
        <v/>
      </c>
      <c r="CL145" s="462" t="str">
        <f t="shared" si="48"/>
        <v/>
      </c>
      <c r="CM145" s="462" t="str">
        <f t="shared" si="49"/>
        <v/>
      </c>
      <c r="CN145" s="462" t="str">
        <f t="shared" si="50"/>
        <v>0450-38</v>
      </c>
    </row>
    <row r="146" spans="1:92" ht="15" thickBot="1" x14ac:dyDescent="0.35">
      <c r="A146" s="376" t="s">
        <v>161</v>
      </c>
      <c r="B146" s="376" t="s">
        <v>162</v>
      </c>
      <c r="C146" s="376" t="s">
        <v>704</v>
      </c>
      <c r="D146" s="376" t="s">
        <v>356</v>
      </c>
      <c r="E146" s="376" t="s">
        <v>314</v>
      </c>
      <c r="F146" s="382" t="s">
        <v>406</v>
      </c>
      <c r="G146" s="376" t="s">
        <v>167</v>
      </c>
      <c r="H146" s="378"/>
      <c r="I146" s="378"/>
      <c r="J146" s="376" t="s">
        <v>168</v>
      </c>
      <c r="K146" s="376" t="s">
        <v>372</v>
      </c>
      <c r="L146" s="376" t="s">
        <v>220</v>
      </c>
      <c r="M146" s="376" t="s">
        <v>171</v>
      </c>
      <c r="N146" s="376" t="s">
        <v>172</v>
      </c>
      <c r="O146" s="379">
        <v>1</v>
      </c>
      <c r="P146" s="460">
        <v>1</v>
      </c>
      <c r="Q146" s="460">
        <v>1</v>
      </c>
      <c r="R146" s="380">
        <v>80</v>
      </c>
      <c r="S146" s="460">
        <v>1</v>
      </c>
      <c r="T146" s="380">
        <v>59820.25</v>
      </c>
      <c r="U146" s="380">
        <v>0</v>
      </c>
      <c r="V146" s="380">
        <v>25141.79</v>
      </c>
      <c r="W146" s="380">
        <v>61068.800000000003</v>
      </c>
      <c r="X146" s="380">
        <v>24813.34</v>
      </c>
      <c r="Y146" s="380">
        <v>61068.800000000003</v>
      </c>
      <c r="Z146" s="380">
        <v>24495.79</v>
      </c>
      <c r="AA146" s="376" t="s">
        <v>705</v>
      </c>
      <c r="AB146" s="376" t="s">
        <v>706</v>
      </c>
      <c r="AC146" s="376" t="s">
        <v>199</v>
      </c>
      <c r="AD146" s="376" t="s">
        <v>325</v>
      </c>
      <c r="AE146" s="376" t="s">
        <v>372</v>
      </c>
      <c r="AF146" s="376" t="s">
        <v>224</v>
      </c>
      <c r="AG146" s="376" t="s">
        <v>178</v>
      </c>
      <c r="AH146" s="381">
        <v>29.36</v>
      </c>
      <c r="AI146" s="381">
        <v>30060.2</v>
      </c>
      <c r="AJ146" s="376" t="s">
        <v>179</v>
      </c>
      <c r="AK146" s="376" t="s">
        <v>180</v>
      </c>
      <c r="AL146" s="376" t="s">
        <v>181</v>
      </c>
      <c r="AM146" s="376" t="s">
        <v>182</v>
      </c>
      <c r="AN146" s="376" t="s">
        <v>68</v>
      </c>
      <c r="AO146" s="379">
        <v>80</v>
      </c>
      <c r="AP146" s="460">
        <v>1</v>
      </c>
      <c r="AQ146" s="460">
        <v>1</v>
      </c>
      <c r="AR146" s="458" t="s">
        <v>183</v>
      </c>
      <c r="AS146" s="462">
        <f t="shared" si="34"/>
        <v>1</v>
      </c>
      <c r="AT146">
        <f t="shared" si="35"/>
        <v>1</v>
      </c>
      <c r="AU146" s="462">
        <f>IF(AT146=0,"",IF(AND(AT146=1,M146="F",SUMIF(C2:C170,C146,AS2:AS170)&lt;=1),SUMIF(C2:C170,C146,AS2:AS170),IF(AND(AT146=1,M146="F",SUMIF(C2:C170,C146,AS2:AS170)&gt;1),1,"")))</f>
        <v>1</v>
      </c>
      <c r="AV146" s="462" t="str">
        <f>IF(AT146=0,"",IF(AND(AT146=3,M146="F",SUMIF(C2:C170,C146,AS2:AS170)&lt;=1),SUMIF(C2:C170,C146,AS2:AS170),IF(AND(AT146=3,M146="F",SUMIF(C2:C170,C146,AS2:AS170)&gt;1),1,"")))</f>
        <v/>
      </c>
      <c r="AW146" s="462">
        <f>SUMIF(C2:C170,C146,O2:O170)</f>
        <v>1</v>
      </c>
      <c r="AX146" s="462">
        <f>IF(AND(M146="F",AS146&lt;&gt;0),SUMIF(C2:C170,C146,W2:W170),0)</f>
        <v>61068.800000000003</v>
      </c>
      <c r="AY146" s="462">
        <f t="shared" si="36"/>
        <v>61068.800000000003</v>
      </c>
      <c r="AZ146" s="462" t="str">
        <f t="shared" si="37"/>
        <v/>
      </c>
      <c r="BA146" s="462">
        <f t="shared" si="38"/>
        <v>0</v>
      </c>
      <c r="BB146" s="462">
        <f>IF(AND(AT146=1,AK146="E",AU146&gt;=0.75,AW146=1),Health,IF(AND(AT146=1,AK146="E",AU146&gt;=0.75),Health*P146,IF(AND(AT146=1,AK146="E",AU146&gt;=0.5,AW146=1),PTHealth,IF(AND(AT146=1,AK146="E",AU146&gt;=0.5),PTHealth*P146,0))))</f>
        <v>11650</v>
      </c>
      <c r="BC146" s="462">
        <f>IF(AND(AT146=3,AK146="E",AV146&gt;=0.75,AW146=1),Health,IF(AND(AT146=3,AK146="E",AV146&gt;=0.75),Health*P146,IF(AND(AT146=3,AK146="E",AV146&gt;=0.5,AW146=1),PTHealth,IF(AND(AT146=3,AK146="E",AV146&gt;=0.5),PTHealth*P146,0))))</f>
        <v>0</v>
      </c>
      <c r="BD146" s="462">
        <f>IF(AND(AT146&lt;&gt;0,AX146&gt;=MAXSSDI),SSDI*MAXSSDI*P146,IF(AT146&lt;&gt;0,SSDI*W146,0))</f>
        <v>3786.2656000000002</v>
      </c>
      <c r="BE146" s="462">
        <f>IF(AT146&lt;&gt;0,SSHI*W146,0)</f>
        <v>885.49760000000003</v>
      </c>
      <c r="BF146" s="462">
        <f>IF(AND(AT146&lt;&gt;0,AN146&lt;&gt;"NE"),VLOOKUP(AN146,Retirement_Rates,3,FALSE)*W146,0)</f>
        <v>7291.6147200000005</v>
      </c>
      <c r="BG146" s="462">
        <f>IF(AND(AT146&lt;&gt;0,AJ146&lt;&gt;"PF"),Life*W146,0)</f>
        <v>440.30604800000003</v>
      </c>
      <c r="BH146" s="462">
        <f>IF(AND(AT146&lt;&gt;0,AM146="Y"),UI*W146,0)</f>
        <v>299.23712</v>
      </c>
      <c r="BI146" s="462">
        <f>IF(AND(AT146&lt;&gt;0,N146&lt;&gt;"NR"),DHR*W146,0)</f>
        <v>338.32115199999998</v>
      </c>
      <c r="BJ146" s="462">
        <f>IF(AT146&lt;&gt;0,WC*W146,0)</f>
        <v>122.13760000000001</v>
      </c>
      <c r="BK146" s="462">
        <f>IF(OR(AND(AT146&lt;&gt;0,AJ146&lt;&gt;"PF",AN146&lt;&gt;"NE",AG146&lt;&gt;"A"),AND(AL146="E",OR(AT146=1,AT146=3))),Sick*W146,0)</f>
        <v>0</v>
      </c>
      <c r="BL146" s="462">
        <f t="shared" si="39"/>
        <v>13163.379840000001</v>
      </c>
      <c r="BM146" s="462">
        <f t="shared" si="40"/>
        <v>0</v>
      </c>
      <c r="BN146" s="462">
        <f>IF(AND(AT146=1,AK146="E",AU146&gt;=0.75,AW146=1),HealthBY,IF(AND(AT146=1,AK146="E",AU146&gt;=0.75),HealthBY*P146,IF(AND(AT146=1,AK146="E",AU146&gt;=0.5,AW146=1),PTHealthBY,IF(AND(AT146=1,AK146="E",AU146&gt;=0.5),PTHealthBY*P146,0))))</f>
        <v>11650</v>
      </c>
      <c r="BO146" s="462">
        <f>IF(AND(AT146=3,AK146="E",AV146&gt;=0.75,AW146=1),HealthBY,IF(AND(AT146=3,AK146="E",AV146&gt;=0.75),HealthBY*P146,IF(AND(AT146=3,AK146="E",AV146&gt;=0.5,AW146=1),PTHealthBY,IF(AND(AT146=3,AK146="E",AV146&gt;=0.5),PTHealthBY*P146,0))))</f>
        <v>0</v>
      </c>
      <c r="BP146" s="462">
        <f>IF(AND(AT146&lt;&gt;0,(AX146+BA146)&gt;=MAXSSDIBY),SSDIBY*MAXSSDIBY*P146,IF(AT146&lt;&gt;0,SSDIBY*W146,0))</f>
        <v>3786.2656000000002</v>
      </c>
      <c r="BQ146" s="462">
        <f>IF(AT146&lt;&gt;0,SSHIBY*W146,0)</f>
        <v>885.49760000000003</v>
      </c>
      <c r="BR146" s="462">
        <f>IF(AND(AT146&lt;&gt;0,AN146&lt;&gt;"NE"),VLOOKUP(AN146,Retirement_Rates,4,FALSE)*W146,0)</f>
        <v>7291.6147200000005</v>
      </c>
      <c r="BS146" s="462">
        <f>IF(AND(AT146&lt;&gt;0,AJ146&lt;&gt;"PF"),LifeBY*W146,0)</f>
        <v>440.30604800000003</v>
      </c>
      <c r="BT146" s="462">
        <f>IF(AND(AT146&lt;&gt;0,AM146="Y"),UIBY*W146,0)</f>
        <v>0</v>
      </c>
      <c r="BU146" s="462">
        <f>IF(AND(AT146&lt;&gt;0,N146&lt;&gt;"NR"),DHRBY*W146,0)</f>
        <v>338.32115199999998</v>
      </c>
      <c r="BV146" s="462">
        <f>IF(AT146&lt;&gt;0,WCBY*W146,0)</f>
        <v>103.81695999999999</v>
      </c>
      <c r="BW146" s="462">
        <f>IF(OR(AND(AT146&lt;&gt;0,AJ146&lt;&gt;"PF",AN146&lt;&gt;"NE",AG146&lt;&gt;"A"),AND(AL146="E",OR(AT146=1,AT146=3))),SickBY*W146,0)</f>
        <v>0</v>
      </c>
      <c r="BX146" s="462">
        <f t="shared" si="41"/>
        <v>12845.822080000002</v>
      </c>
      <c r="BY146" s="462">
        <f t="shared" si="42"/>
        <v>0</v>
      </c>
      <c r="BZ146" s="462">
        <f t="shared" si="43"/>
        <v>0</v>
      </c>
      <c r="CA146" s="462">
        <f t="shared" si="44"/>
        <v>0</v>
      </c>
      <c r="CB146" s="462">
        <f t="shared" si="45"/>
        <v>0</v>
      </c>
      <c r="CC146" s="462">
        <f>IF(AT146&lt;&gt;0,SSHICHG*Y146,0)</f>
        <v>0</v>
      </c>
      <c r="CD146" s="462">
        <f>IF(AND(AT146&lt;&gt;0,AN146&lt;&gt;"NE"),VLOOKUP(AN146,Retirement_Rates,5,FALSE)*Y146,0)</f>
        <v>0</v>
      </c>
      <c r="CE146" s="462">
        <f>IF(AND(AT146&lt;&gt;0,AJ146&lt;&gt;"PF"),LifeCHG*Y146,0)</f>
        <v>0</v>
      </c>
      <c r="CF146" s="462">
        <f>IF(AND(AT146&lt;&gt;0,AM146="Y"),UICHG*Y146,0)</f>
        <v>-299.23712</v>
      </c>
      <c r="CG146" s="462">
        <f>IF(AND(AT146&lt;&gt;0,N146&lt;&gt;"NR"),DHRCHG*Y146,0)</f>
        <v>0</v>
      </c>
      <c r="CH146" s="462">
        <f>IF(AT146&lt;&gt;0,WCCHG*Y146,0)</f>
        <v>-18.320640000000008</v>
      </c>
      <c r="CI146" s="462">
        <f>IF(OR(AND(AT146&lt;&gt;0,AJ146&lt;&gt;"PF",AN146&lt;&gt;"NE",AG146&lt;&gt;"A"),AND(AL146="E",OR(AT146=1,AT146=3))),SickCHG*Y146,0)</f>
        <v>0</v>
      </c>
      <c r="CJ146" s="462">
        <f t="shared" si="46"/>
        <v>-317.55776000000003</v>
      </c>
      <c r="CK146" s="462" t="str">
        <f t="shared" si="47"/>
        <v/>
      </c>
      <c r="CL146" s="462" t="str">
        <f t="shared" si="48"/>
        <v/>
      </c>
      <c r="CM146" s="462" t="str">
        <f t="shared" si="49"/>
        <v/>
      </c>
      <c r="CN146" s="462" t="str">
        <f t="shared" si="50"/>
        <v>0450-38</v>
      </c>
    </row>
    <row r="147" spans="1:92" ht="15" thickBot="1" x14ac:dyDescent="0.35">
      <c r="A147" s="376" t="s">
        <v>161</v>
      </c>
      <c r="B147" s="376" t="s">
        <v>162</v>
      </c>
      <c r="C147" s="376" t="s">
        <v>707</v>
      </c>
      <c r="D147" s="376" t="s">
        <v>313</v>
      </c>
      <c r="E147" s="376" t="s">
        <v>314</v>
      </c>
      <c r="F147" s="382" t="s">
        <v>406</v>
      </c>
      <c r="G147" s="376" t="s">
        <v>167</v>
      </c>
      <c r="H147" s="378"/>
      <c r="I147" s="378"/>
      <c r="J147" s="376" t="s">
        <v>168</v>
      </c>
      <c r="K147" s="376" t="s">
        <v>316</v>
      </c>
      <c r="L147" s="376" t="s">
        <v>216</v>
      </c>
      <c r="M147" s="376" t="s">
        <v>171</v>
      </c>
      <c r="N147" s="376" t="s">
        <v>172</v>
      </c>
      <c r="O147" s="379">
        <v>1</v>
      </c>
      <c r="P147" s="460">
        <v>1</v>
      </c>
      <c r="Q147" s="460">
        <v>1</v>
      </c>
      <c r="R147" s="380">
        <v>80</v>
      </c>
      <c r="S147" s="460">
        <v>1</v>
      </c>
      <c r="T147" s="380">
        <v>69738.17</v>
      </c>
      <c r="U147" s="380">
        <v>0</v>
      </c>
      <c r="V147" s="380">
        <v>26211.25</v>
      </c>
      <c r="W147" s="380">
        <v>69576</v>
      </c>
      <c r="X147" s="380">
        <v>26647.09</v>
      </c>
      <c r="Y147" s="380">
        <v>69576</v>
      </c>
      <c r="Z147" s="380">
        <v>26285.29</v>
      </c>
      <c r="AA147" s="376" t="s">
        <v>708</v>
      </c>
      <c r="AB147" s="376" t="s">
        <v>709</v>
      </c>
      <c r="AC147" s="376" t="s">
        <v>296</v>
      </c>
      <c r="AD147" s="376" t="s">
        <v>252</v>
      </c>
      <c r="AE147" s="376" t="s">
        <v>316</v>
      </c>
      <c r="AF147" s="376" t="s">
        <v>311</v>
      </c>
      <c r="AG147" s="376" t="s">
        <v>178</v>
      </c>
      <c r="AH147" s="381">
        <v>33.450000000000003</v>
      </c>
      <c r="AI147" s="381">
        <v>20923.7</v>
      </c>
      <c r="AJ147" s="376" t="s">
        <v>179</v>
      </c>
      <c r="AK147" s="376" t="s">
        <v>180</v>
      </c>
      <c r="AL147" s="376" t="s">
        <v>181</v>
      </c>
      <c r="AM147" s="376" t="s">
        <v>182</v>
      </c>
      <c r="AN147" s="376" t="s">
        <v>68</v>
      </c>
      <c r="AO147" s="379">
        <v>80</v>
      </c>
      <c r="AP147" s="460">
        <v>1</v>
      </c>
      <c r="AQ147" s="460">
        <v>1</v>
      </c>
      <c r="AR147" s="458" t="s">
        <v>183</v>
      </c>
      <c r="AS147" s="462">
        <f t="shared" si="34"/>
        <v>1</v>
      </c>
      <c r="AT147">
        <f t="shared" si="35"/>
        <v>1</v>
      </c>
      <c r="AU147" s="462">
        <f>IF(AT147=0,"",IF(AND(AT147=1,M147="F",SUMIF(C2:C170,C147,AS2:AS170)&lt;=1),SUMIF(C2:C170,C147,AS2:AS170),IF(AND(AT147=1,M147="F",SUMIF(C2:C170,C147,AS2:AS170)&gt;1),1,"")))</f>
        <v>1</v>
      </c>
      <c r="AV147" s="462" t="str">
        <f>IF(AT147=0,"",IF(AND(AT147=3,M147="F",SUMIF(C2:C170,C147,AS2:AS170)&lt;=1),SUMIF(C2:C170,C147,AS2:AS170),IF(AND(AT147=3,M147="F",SUMIF(C2:C170,C147,AS2:AS170)&gt;1),1,"")))</f>
        <v/>
      </c>
      <c r="AW147" s="462">
        <f>SUMIF(C2:C170,C147,O2:O170)</f>
        <v>1</v>
      </c>
      <c r="AX147" s="462">
        <f>IF(AND(M147="F",AS147&lt;&gt;0),SUMIF(C2:C170,C147,W2:W170),0)</f>
        <v>69576</v>
      </c>
      <c r="AY147" s="462">
        <f t="shared" si="36"/>
        <v>69576</v>
      </c>
      <c r="AZ147" s="462" t="str">
        <f t="shared" si="37"/>
        <v/>
      </c>
      <c r="BA147" s="462">
        <f t="shared" si="38"/>
        <v>0</v>
      </c>
      <c r="BB147" s="462">
        <f>IF(AND(AT147=1,AK147="E",AU147&gt;=0.75,AW147=1),Health,IF(AND(AT147=1,AK147="E",AU147&gt;=0.75),Health*P147,IF(AND(AT147=1,AK147="E",AU147&gt;=0.5,AW147=1),PTHealth,IF(AND(AT147=1,AK147="E",AU147&gt;=0.5),PTHealth*P147,0))))</f>
        <v>11650</v>
      </c>
      <c r="BC147" s="462">
        <f>IF(AND(AT147=3,AK147="E",AV147&gt;=0.75,AW147=1),Health,IF(AND(AT147=3,AK147="E",AV147&gt;=0.75),Health*P147,IF(AND(AT147=3,AK147="E",AV147&gt;=0.5,AW147=1),PTHealth,IF(AND(AT147=3,AK147="E",AV147&gt;=0.5),PTHealth*P147,0))))</f>
        <v>0</v>
      </c>
      <c r="BD147" s="462">
        <f>IF(AND(AT147&lt;&gt;0,AX147&gt;=MAXSSDI),SSDI*MAXSSDI*P147,IF(AT147&lt;&gt;0,SSDI*W147,0))</f>
        <v>4313.7119999999995</v>
      </c>
      <c r="BE147" s="462">
        <f>IF(AT147&lt;&gt;0,SSHI*W147,0)</f>
        <v>1008.8520000000001</v>
      </c>
      <c r="BF147" s="462">
        <f>IF(AND(AT147&lt;&gt;0,AN147&lt;&gt;"NE"),VLOOKUP(AN147,Retirement_Rates,3,FALSE)*W147,0)</f>
        <v>8307.3744000000006</v>
      </c>
      <c r="BG147" s="462">
        <f>IF(AND(AT147&lt;&gt;0,AJ147&lt;&gt;"PF"),Life*W147,0)</f>
        <v>501.64296000000002</v>
      </c>
      <c r="BH147" s="462">
        <f>IF(AND(AT147&lt;&gt;0,AM147="Y"),UI*W147,0)</f>
        <v>340.92239999999998</v>
      </c>
      <c r="BI147" s="462">
        <f>IF(AND(AT147&lt;&gt;0,N147&lt;&gt;"NR"),DHR*W147,0)</f>
        <v>385.45103999999998</v>
      </c>
      <c r="BJ147" s="462">
        <f>IF(AT147&lt;&gt;0,WC*W147,0)</f>
        <v>139.15200000000002</v>
      </c>
      <c r="BK147" s="462">
        <f>IF(OR(AND(AT147&lt;&gt;0,AJ147&lt;&gt;"PF",AN147&lt;&gt;"NE",AG147&lt;&gt;"A"),AND(AL147="E",OR(AT147=1,AT147=3))),Sick*W147,0)</f>
        <v>0</v>
      </c>
      <c r="BL147" s="462">
        <f t="shared" si="39"/>
        <v>14997.106799999998</v>
      </c>
      <c r="BM147" s="462">
        <f t="shared" si="40"/>
        <v>0</v>
      </c>
      <c r="BN147" s="462">
        <f>IF(AND(AT147=1,AK147="E",AU147&gt;=0.75,AW147=1),HealthBY,IF(AND(AT147=1,AK147="E",AU147&gt;=0.75),HealthBY*P147,IF(AND(AT147=1,AK147="E",AU147&gt;=0.5,AW147=1),PTHealthBY,IF(AND(AT147=1,AK147="E",AU147&gt;=0.5),PTHealthBY*P147,0))))</f>
        <v>11650</v>
      </c>
      <c r="BO147" s="462">
        <f>IF(AND(AT147=3,AK147="E",AV147&gt;=0.75,AW147=1),HealthBY,IF(AND(AT147=3,AK147="E",AV147&gt;=0.75),HealthBY*P147,IF(AND(AT147=3,AK147="E",AV147&gt;=0.5,AW147=1),PTHealthBY,IF(AND(AT147=3,AK147="E",AV147&gt;=0.5),PTHealthBY*P147,0))))</f>
        <v>0</v>
      </c>
      <c r="BP147" s="462">
        <f>IF(AND(AT147&lt;&gt;0,(AX147+BA147)&gt;=MAXSSDIBY),SSDIBY*MAXSSDIBY*P147,IF(AT147&lt;&gt;0,SSDIBY*W147,0))</f>
        <v>4313.7119999999995</v>
      </c>
      <c r="BQ147" s="462">
        <f>IF(AT147&lt;&gt;0,SSHIBY*W147,0)</f>
        <v>1008.8520000000001</v>
      </c>
      <c r="BR147" s="462">
        <f>IF(AND(AT147&lt;&gt;0,AN147&lt;&gt;"NE"),VLOOKUP(AN147,Retirement_Rates,4,FALSE)*W147,0)</f>
        <v>8307.3744000000006</v>
      </c>
      <c r="BS147" s="462">
        <f>IF(AND(AT147&lt;&gt;0,AJ147&lt;&gt;"PF"),LifeBY*W147,0)</f>
        <v>501.64296000000002</v>
      </c>
      <c r="BT147" s="462">
        <f>IF(AND(AT147&lt;&gt;0,AM147="Y"),UIBY*W147,0)</f>
        <v>0</v>
      </c>
      <c r="BU147" s="462">
        <f>IF(AND(AT147&lt;&gt;0,N147&lt;&gt;"NR"),DHRBY*W147,0)</f>
        <v>385.45103999999998</v>
      </c>
      <c r="BV147" s="462">
        <f>IF(AT147&lt;&gt;0,WCBY*W147,0)</f>
        <v>118.27919999999999</v>
      </c>
      <c r="BW147" s="462">
        <f>IF(OR(AND(AT147&lt;&gt;0,AJ147&lt;&gt;"PF",AN147&lt;&gt;"NE",AG147&lt;&gt;"A"),AND(AL147="E",OR(AT147=1,AT147=3))),SickBY*W147,0)</f>
        <v>0</v>
      </c>
      <c r="BX147" s="462">
        <f t="shared" si="41"/>
        <v>14635.311599999999</v>
      </c>
      <c r="BY147" s="462">
        <f t="shared" si="42"/>
        <v>0</v>
      </c>
      <c r="BZ147" s="462">
        <f t="shared" si="43"/>
        <v>0</v>
      </c>
      <c r="CA147" s="462">
        <f t="shared" si="44"/>
        <v>0</v>
      </c>
      <c r="CB147" s="462">
        <f t="shared" si="45"/>
        <v>0</v>
      </c>
      <c r="CC147" s="462">
        <f>IF(AT147&lt;&gt;0,SSHICHG*Y147,0)</f>
        <v>0</v>
      </c>
      <c r="CD147" s="462">
        <f>IF(AND(AT147&lt;&gt;0,AN147&lt;&gt;"NE"),VLOOKUP(AN147,Retirement_Rates,5,FALSE)*Y147,0)</f>
        <v>0</v>
      </c>
      <c r="CE147" s="462">
        <f>IF(AND(AT147&lt;&gt;0,AJ147&lt;&gt;"PF"),LifeCHG*Y147,0)</f>
        <v>0</v>
      </c>
      <c r="CF147" s="462">
        <f>IF(AND(AT147&lt;&gt;0,AM147="Y"),UICHG*Y147,0)</f>
        <v>-340.92239999999998</v>
      </c>
      <c r="CG147" s="462">
        <f>IF(AND(AT147&lt;&gt;0,N147&lt;&gt;"NR"),DHRCHG*Y147,0)</f>
        <v>0</v>
      </c>
      <c r="CH147" s="462">
        <f>IF(AT147&lt;&gt;0,WCCHG*Y147,0)</f>
        <v>-20.872800000000009</v>
      </c>
      <c r="CI147" s="462">
        <f>IF(OR(AND(AT147&lt;&gt;0,AJ147&lt;&gt;"PF",AN147&lt;&gt;"NE",AG147&lt;&gt;"A"),AND(AL147="E",OR(AT147=1,AT147=3))),SickCHG*Y147,0)</f>
        <v>0</v>
      </c>
      <c r="CJ147" s="462">
        <f t="shared" si="46"/>
        <v>-361.79519999999997</v>
      </c>
      <c r="CK147" s="462" t="str">
        <f t="shared" si="47"/>
        <v/>
      </c>
      <c r="CL147" s="462" t="str">
        <f t="shared" si="48"/>
        <v/>
      </c>
      <c r="CM147" s="462" t="str">
        <f t="shared" si="49"/>
        <v/>
      </c>
      <c r="CN147" s="462" t="str">
        <f t="shared" si="50"/>
        <v>0450-38</v>
      </c>
    </row>
    <row r="148" spans="1:92" ht="15" thickBot="1" x14ac:dyDescent="0.35">
      <c r="A148" s="376" t="s">
        <v>161</v>
      </c>
      <c r="B148" s="376" t="s">
        <v>162</v>
      </c>
      <c r="C148" s="376" t="s">
        <v>710</v>
      </c>
      <c r="D148" s="376" t="s">
        <v>313</v>
      </c>
      <c r="E148" s="376" t="s">
        <v>314</v>
      </c>
      <c r="F148" s="382" t="s">
        <v>406</v>
      </c>
      <c r="G148" s="376" t="s">
        <v>167</v>
      </c>
      <c r="H148" s="378"/>
      <c r="I148" s="378"/>
      <c r="J148" s="376" t="s">
        <v>168</v>
      </c>
      <c r="K148" s="376" t="s">
        <v>316</v>
      </c>
      <c r="L148" s="376" t="s">
        <v>216</v>
      </c>
      <c r="M148" s="376" t="s">
        <v>171</v>
      </c>
      <c r="N148" s="376" t="s">
        <v>172</v>
      </c>
      <c r="O148" s="379">
        <v>1</v>
      </c>
      <c r="P148" s="460">
        <v>1</v>
      </c>
      <c r="Q148" s="460">
        <v>1</v>
      </c>
      <c r="R148" s="380">
        <v>80</v>
      </c>
      <c r="S148" s="460">
        <v>1</v>
      </c>
      <c r="T148" s="380">
        <v>68672.11</v>
      </c>
      <c r="U148" s="380">
        <v>0</v>
      </c>
      <c r="V148" s="380">
        <v>25663.58</v>
      </c>
      <c r="W148" s="380">
        <v>67683.199999999997</v>
      </c>
      <c r="X148" s="380">
        <v>26239.07</v>
      </c>
      <c r="Y148" s="380">
        <v>67683.199999999997</v>
      </c>
      <c r="Z148" s="380">
        <v>25887.13</v>
      </c>
      <c r="AA148" s="376" t="s">
        <v>711</v>
      </c>
      <c r="AB148" s="376" t="s">
        <v>693</v>
      </c>
      <c r="AC148" s="376" t="s">
        <v>712</v>
      </c>
      <c r="AD148" s="376" t="s">
        <v>617</v>
      </c>
      <c r="AE148" s="376" t="s">
        <v>316</v>
      </c>
      <c r="AF148" s="376" t="s">
        <v>311</v>
      </c>
      <c r="AG148" s="376" t="s">
        <v>178</v>
      </c>
      <c r="AH148" s="381">
        <v>32.54</v>
      </c>
      <c r="AI148" s="381">
        <v>7324.2</v>
      </c>
      <c r="AJ148" s="376" t="s">
        <v>179</v>
      </c>
      <c r="AK148" s="376" t="s">
        <v>180</v>
      </c>
      <c r="AL148" s="376" t="s">
        <v>181</v>
      </c>
      <c r="AM148" s="376" t="s">
        <v>182</v>
      </c>
      <c r="AN148" s="376" t="s">
        <v>68</v>
      </c>
      <c r="AO148" s="379">
        <v>80</v>
      </c>
      <c r="AP148" s="460">
        <v>1</v>
      </c>
      <c r="AQ148" s="460">
        <v>1</v>
      </c>
      <c r="AR148" s="458" t="s">
        <v>183</v>
      </c>
      <c r="AS148" s="462">
        <f t="shared" si="34"/>
        <v>1</v>
      </c>
      <c r="AT148">
        <f t="shared" si="35"/>
        <v>1</v>
      </c>
      <c r="AU148" s="462">
        <f>IF(AT148=0,"",IF(AND(AT148=1,M148="F",SUMIF(C2:C170,C148,AS2:AS170)&lt;=1),SUMIF(C2:C170,C148,AS2:AS170),IF(AND(AT148=1,M148="F",SUMIF(C2:C170,C148,AS2:AS170)&gt;1),1,"")))</f>
        <v>1</v>
      </c>
      <c r="AV148" s="462" t="str">
        <f>IF(AT148=0,"",IF(AND(AT148=3,M148="F",SUMIF(C2:C170,C148,AS2:AS170)&lt;=1),SUMIF(C2:C170,C148,AS2:AS170),IF(AND(AT148=3,M148="F",SUMIF(C2:C170,C148,AS2:AS170)&gt;1),1,"")))</f>
        <v/>
      </c>
      <c r="AW148" s="462">
        <f>SUMIF(C2:C170,C148,O2:O170)</f>
        <v>1</v>
      </c>
      <c r="AX148" s="462">
        <f>IF(AND(M148="F",AS148&lt;&gt;0),SUMIF(C2:C170,C148,W2:W170),0)</f>
        <v>67683.199999999997</v>
      </c>
      <c r="AY148" s="462">
        <f t="shared" si="36"/>
        <v>67683.199999999997</v>
      </c>
      <c r="AZ148" s="462" t="str">
        <f t="shared" si="37"/>
        <v/>
      </c>
      <c r="BA148" s="462">
        <f t="shared" si="38"/>
        <v>0</v>
      </c>
      <c r="BB148" s="462">
        <f>IF(AND(AT148=1,AK148="E",AU148&gt;=0.75,AW148=1),Health,IF(AND(AT148=1,AK148="E",AU148&gt;=0.75),Health*P148,IF(AND(AT148=1,AK148="E",AU148&gt;=0.5,AW148=1),PTHealth,IF(AND(AT148=1,AK148="E",AU148&gt;=0.5),PTHealth*P148,0))))</f>
        <v>11650</v>
      </c>
      <c r="BC148" s="462">
        <f>IF(AND(AT148=3,AK148="E",AV148&gt;=0.75,AW148=1),Health,IF(AND(AT148=3,AK148="E",AV148&gt;=0.75),Health*P148,IF(AND(AT148=3,AK148="E",AV148&gt;=0.5,AW148=1),PTHealth,IF(AND(AT148=3,AK148="E",AV148&gt;=0.5),PTHealth*P148,0))))</f>
        <v>0</v>
      </c>
      <c r="BD148" s="462">
        <f>IF(AND(AT148&lt;&gt;0,AX148&gt;=MAXSSDI),SSDI*MAXSSDI*P148,IF(AT148&lt;&gt;0,SSDI*W148,0))</f>
        <v>4196.3584000000001</v>
      </c>
      <c r="BE148" s="462">
        <f>IF(AT148&lt;&gt;0,SSHI*W148,0)</f>
        <v>981.40639999999996</v>
      </c>
      <c r="BF148" s="462">
        <f>IF(AND(AT148&lt;&gt;0,AN148&lt;&gt;"NE"),VLOOKUP(AN148,Retirement_Rates,3,FALSE)*W148,0)</f>
        <v>8081.3740800000005</v>
      </c>
      <c r="BG148" s="462">
        <f>IF(AND(AT148&lt;&gt;0,AJ148&lt;&gt;"PF"),Life*W148,0)</f>
        <v>487.99587200000002</v>
      </c>
      <c r="BH148" s="462">
        <f>IF(AND(AT148&lt;&gt;0,AM148="Y"),UI*W148,0)</f>
        <v>331.64767999999998</v>
      </c>
      <c r="BI148" s="462">
        <f>IF(AND(AT148&lt;&gt;0,N148&lt;&gt;"NR"),DHR*W148,0)</f>
        <v>374.96492799999999</v>
      </c>
      <c r="BJ148" s="462">
        <f>IF(AT148&lt;&gt;0,WC*W148,0)</f>
        <v>135.3664</v>
      </c>
      <c r="BK148" s="462">
        <f>IF(OR(AND(AT148&lt;&gt;0,AJ148&lt;&gt;"PF",AN148&lt;&gt;"NE",AG148&lt;&gt;"A"),AND(AL148="E",OR(AT148=1,AT148=3))),Sick*W148,0)</f>
        <v>0</v>
      </c>
      <c r="BL148" s="462">
        <f t="shared" si="39"/>
        <v>14589.11376</v>
      </c>
      <c r="BM148" s="462">
        <f t="shared" si="40"/>
        <v>0</v>
      </c>
      <c r="BN148" s="462">
        <f>IF(AND(AT148=1,AK148="E",AU148&gt;=0.75,AW148=1),HealthBY,IF(AND(AT148=1,AK148="E",AU148&gt;=0.75),HealthBY*P148,IF(AND(AT148=1,AK148="E",AU148&gt;=0.5,AW148=1),PTHealthBY,IF(AND(AT148=1,AK148="E",AU148&gt;=0.5),PTHealthBY*P148,0))))</f>
        <v>11650</v>
      </c>
      <c r="BO148" s="462">
        <f>IF(AND(AT148=3,AK148="E",AV148&gt;=0.75,AW148=1),HealthBY,IF(AND(AT148=3,AK148="E",AV148&gt;=0.75),HealthBY*P148,IF(AND(AT148=3,AK148="E",AV148&gt;=0.5,AW148=1),PTHealthBY,IF(AND(AT148=3,AK148="E",AV148&gt;=0.5),PTHealthBY*P148,0))))</f>
        <v>0</v>
      </c>
      <c r="BP148" s="462">
        <f>IF(AND(AT148&lt;&gt;0,(AX148+BA148)&gt;=MAXSSDIBY),SSDIBY*MAXSSDIBY*P148,IF(AT148&lt;&gt;0,SSDIBY*W148,0))</f>
        <v>4196.3584000000001</v>
      </c>
      <c r="BQ148" s="462">
        <f>IF(AT148&lt;&gt;0,SSHIBY*W148,0)</f>
        <v>981.40639999999996</v>
      </c>
      <c r="BR148" s="462">
        <f>IF(AND(AT148&lt;&gt;0,AN148&lt;&gt;"NE"),VLOOKUP(AN148,Retirement_Rates,4,FALSE)*W148,0)</f>
        <v>8081.3740800000005</v>
      </c>
      <c r="BS148" s="462">
        <f>IF(AND(AT148&lt;&gt;0,AJ148&lt;&gt;"PF"),LifeBY*W148,0)</f>
        <v>487.99587200000002</v>
      </c>
      <c r="BT148" s="462">
        <f>IF(AND(AT148&lt;&gt;0,AM148="Y"),UIBY*W148,0)</f>
        <v>0</v>
      </c>
      <c r="BU148" s="462">
        <f>IF(AND(AT148&lt;&gt;0,N148&lt;&gt;"NR"),DHRBY*W148,0)</f>
        <v>374.96492799999999</v>
      </c>
      <c r="BV148" s="462">
        <f>IF(AT148&lt;&gt;0,WCBY*W148,0)</f>
        <v>115.06143999999999</v>
      </c>
      <c r="BW148" s="462">
        <f>IF(OR(AND(AT148&lt;&gt;0,AJ148&lt;&gt;"PF",AN148&lt;&gt;"NE",AG148&lt;&gt;"A"),AND(AL148="E",OR(AT148=1,AT148=3))),SickBY*W148,0)</f>
        <v>0</v>
      </c>
      <c r="BX148" s="462">
        <f t="shared" si="41"/>
        <v>14237.161119999999</v>
      </c>
      <c r="BY148" s="462">
        <f t="shared" si="42"/>
        <v>0</v>
      </c>
      <c r="BZ148" s="462">
        <f t="shared" si="43"/>
        <v>0</v>
      </c>
      <c r="CA148" s="462">
        <f t="shared" si="44"/>
        <v>0</v>
      </c>
      <c r="CB148" s="462">
        <f t="shared" si="45"/>
        <v>0</v>
      </c>
      <c r="CC148" s="462">
        <f>IF(AT148&lt;&gt;0,SSHICHG*Y148,0)</f>
        <v>0</v>
      </c>
      <c r="CD148" s="462">
        <f>IF(AND(AT148&lt;&gt;0,AN148&lt;&gt;"NE"),VLOOKUP(AN148,Retirement_Rates,5,FALSE)*Y148,0)</f>
        <v>0</v>
      </c>
      <c r="CE148" s="462">
        <f>IF(AND(AT148&lt;&gt;0,AJ148&lt;&gt;"PF"),LifeCHG*Y148,0)</f>
        <v>0</v>
      </c>
      <c r="CF148" s="462">
        <f>IF(AND(AT148&lt;&gt;0,AM148="Y"),UICHG*Y148,0)</f>
        <v>-331.64767999999998</v>
      </c>
      <c r="CG148" s="462">
        <f>IF(AND(AT148&lt;&gt;0,N148&lt;&gt;"NR"),DHRCHG*Y148,0)</f>
        <v>0</v>
      </c>
      <c r="CH148" s="462">
        <f>IF(AT148&lt;&gt;0,WCCHG*Y148,0)</f>
        <v>-20.304960000000008</v>
      </c>
      <c r="CI148" s="462">
        <f>IF(OR(AND(AT148&lt;&gt;0,AJ148&lt;&gt;"PF",AN148&lt;&gt;"NE",AG148&lt;&gt;"A"),AND(AL148="E",OR(AT148=1,AT148=3))),SickCHG*Y148,0)</f>
        <v>0</v>
      </c>
      <c r="CJ148" s="462">
        <f t="shared" si="46"/>
        <v>-351.95263999999997</v>
      </c>
      <c r="CK148" s="462" t="str">
        <f t="shared" si="47"/>
        <v/>
      </c>
      <c r="CL148" s="462" t="str">
        <f t="shared" si="48"/>
        <v/>
      </c>
      <c r="CM148" s="462" t="str">
        <f t="shared" si="49"/>
        <v/>
      </c>
      <c r="CN148" s="462" t="str">
        <f t="shared" si="50"/>
        <v>0450-38</v>
      </c>
    </row>
    <row r="149" spans="1:92" ht="15" thickBot="1" x14ac:dyDescent="0.35">
      <c r="A149" s="376" t="s">
        <v>161</v>
      </c>
      <c r="B149" s="376" t="s">
        <v>162</v>
      </c>
      <c r="C149" s="376" t="s">
        <v>713</v>
      </c>
      <c r="D149" s="376" t="s">
        <v>570</v>
      </c>
      <c r="E149" s="376" t="s">
        <v>314</v>
      </c>
      <c r="F149" s="382" t="s">
        <v>406</v>
      </c>
      <c r="G149" s="376" t="s">
        <v>167</v>
      </c>
      <c r="H149" s="378"/>
      <c r="I149" s="378"/>
      <c r="J149" s="376" t="s">
        <v>168</v>
      </c>
      <c r="K149" s="376" t="s">
        <v>571</v>
      </c>
      <c r="L149" s="376" t="s">
        <v>181</v>
      </c>
      <c r="M149" s="376" t="s">
        <v>171</v>
      </c>
      <c r="N149" s="376" t="s">
        <v>172</v>
      </c>
      <c r="O149" s="379">
        <v>1</v>
      </c>
      <c r="P149" s="460">
        <v>1</v>
      </c>
      <c r="Q149" s="460">
        <v>1</v>
      </c>
      <c r="R149" s="380">
        <v>80</v>
      </c>
      <c r="S149" s="460">
        <v>1</v>
      </c>
      <c r="T149" s="380">
        <v>78275.199999999997</v>
      </c>
      <c r="U149" s="380">
        <v>0</v>
      </c>
      <c r="V149" s="380">
        <v>28117.79</v>
      </c>
      <c r="W149" s="380">
        <v>80246.399999999994</v>
      </c>
      <c r="X149" s="380">
        <v>28947.08</v>
      </c>
      <c r="Y149" s="380">
        <v>80246.399999999994</v>
      </c>
      <c r="Z149" s="380">
        <v>28529.8</v>
      </c>
      <c r="AA149" s="376" t="s">
        <v>714</v>
      </c>
      <c r="AB149" s="376" t="s">
        <v>715</v>
      </c>
      <c r="AC149" s="376" t="s">
        <v>716</v>
      </c>
      <c r="AD149" s="376" t="s">
        <v>717</v>
      </c>
      <c r="AE149" s="376" t="s">
        <v>571</v>
      </c>
      <c r="AF149" s="376" t="s">
        <v>349</v>
      </c>
      <c r="AG149" s="376" t="s">
        <v>178</v>
      </c>
      <c r="AH149" s="381">
        <v>38.58</v>
      </c>
      <c r="AI149" s="381">
        <v>48332.7</v>
      </c>
      <c r="AJ149" s="376" t="s">
        <v>179</v>
      </c>
      <c r="AK149" s="376" t="s">
        <v>180</v>
      </c>
      <c r="AL149" s="376" t="s">
        <v>181</v>
      </c>
      <c r="AM149" s="376" t="s">
        <v>182</v>
      </c>
      <c r="AN149" s="376" t="s">
        <v>68</v>
      </c>
      <c r="AO149" s="379">
        <v>80</v>
      </c>
      <c r="AP149" s="460">
        <v>1</v>
      </c>
      <c r="AQ149" s="460">
        <v>1</v>
      </c>
      <c r="AR149" s="458" t="s">
        <v>183</v>
      </c>
      <c r="AS149" s="462">
        <f t="shared" si="34"/>
        <v>1</v>
      </c>
      <c r="AT149">
        <f t="shared" si="35"/>
        <v>1</v>
      </c>
      <c r="AU149" s="462">
        <f>IF(AT149=0,"",IF(AND(AT149=1,M149="F",SUMIF(C2:C170,C149,AS2:AS170)&lt;=1),SUMIF(C2:C170,C149,AS2:AS170),IF(AND(AT149=1,M149="F",SUMIF(C2:C170,C149,AS2:AS170)&gt;1),1,"")))</f>
        <v>1</v>
      </c>
      <c r="AV149" s="462" t="str">
        <f>IF(AT149=0,"",IF(AND(AT149=3,M149="F",SUMIF(C2:C170,C149,AS2:AS170)&lt;=1),SUMIF(C2:C170,C149,AS2:AS170),IF(AND(AT149=3,M149="F",SUMIF(C2:C170,C149,AS2:AS170)&gt;1),1,"")))</f>
        <v/>
      </c>
      <c r="AW149" s="462">
        <f>SUMIF(C2:C170,C149,O2:O170)</f>
        <v>1</v>
      </c>
      <c r="AX149" s="462">
        <f>IF(AND(M149="F",AS149&lt;&gt;0),SUMIF(C2:C170,C149,W2:W170),0)</f>
        <v>80246.399999999994</v>
      </c>
      <c r="AY149" s="462">
        <f t="shared" si="36"/>
        <v>80246.399999999994</v>
      </c>
      <c r="AZ149" s="462" t="str">
        <f t="shared" si="37"/>
        <v/>
      </c>
      <c r="BA149" s="462">
        <f t="shared" si="38"/>
        <v>0</v>
      </c>
      <c r="BB149" s="462">
        <f>IF(AND(AT149=1,AK149="E",AU149&gt;=0.75,AW149=1),Health,IF(AND(AT149=1,AK149="E",AU149&gt;=0.75),Health*P149,IF(AND(AT149=1,AK149="E",AU149&gt;=0.5,AW149=1),PTHealth,IF(AND(AT149=1,AK149="E",AU149&gt;=0.5),PTHealth*P149,0))))</f>
        <v>11650</v>
      </c>
      <c r="BC149" s="462">
        <f>IF(AND(AT149=3,AK149="E",AV149&gt;=0.75,AW149=1),Health,IF(AND(AT149=3,AK149="E",AV149&gt;=0.75),Health*P149,IF(AND(AT149=3,AK149="E",AV149&gt;=0.5,AW149=1),PTHealth,IF(AND(AT149=3,AK149="E",AV149&gt;=0.5),PTHealth*P149,0))))</f>
        <v>0</v>
      </c>
      <c r="BD149" s="462">
        <f>IF(AND(AT149&lt;&gt;0,AX149&gt;=MAXSSDI),SSDI*MAXSSDI*P149,IF(AT149&lt;&gt;0,SSDI*W149,0))</f>
        <v>4975.2767999999996</v>
      </c>
      <c r="BE149" s="462">
        <f>IF(AT149&lt;&gt;0,SSHI*W149,0)</f>
        <v>1163.5727999999999</v>
      </c>
      <c r="BF149" s="462">
        <f>IF(AND(AT149&lt;&gt;0,AN149&lt;&gt;"NE"),VLOOKUP(AN149,Retirement_Rates,3,FALSE)*W149,0)</f>
        <v>9581.4201599999997</v>
      </c>
      <c r="BG149" s="462">
        <f>IF(AND(AT149&lt;&gt;0,AJ149&lt;&gt;"PF"),Life*W149,0)</f>
        <v>578.57654400000001</v>
      </c>
      <c r="BH149" s="462">
        <f>IF(AND(AT149&lt;&gt;0,AM149="Y"),UI*W149,0)</f>
        <v>393.20735999999994</v>
      </c>
      <c r="BI149" s="462">
        <f>IF(AND(AT149&lt;&gt;0,N149&lt;&gt;"NR"),DHR*W149,0)</f>
        <v>444.56505599999997</v>
      </c>
      <c r="BJ149" s="462">
        <f>IF(AT149&lt;&gt;0,WC*W149,0)</f>
        <v>160.49279999999999</v>
      </c>
      <c r="BK149" s="462">
        <f>IF(OR(AND(AT149&lt;&gt;0,AJ149&lt;&gt;"PF",AN149&lt;&gt;"NE",AG149&lt;&gt;"A"),AND(AL149="E",OR(AT149=1,AT149=3))),Sick*W149,0)</f>
        <v>0</v>
      </c>
      <c r="BL149" s="462">
        <f t="shared" si="39"/>
        <v>17297.111519999999</v>
      </c>
      <c r="BM149" s="462">
        <f t="shared" si="40"/>
        <v>0</v>
      </c>
      <c r="BN149" s="462">
        <f>IF(AND(AT149=1,AK149="E",AU149&gt;=0.75,AW149=1),HealthBY,IF(AND(AT149=1,AK149="E",AU149&gt;=0.75),HealthBY*P149,IF(AND(AT149=1,AK149="E",AU149&gt;=0.5,AW149=1),PTHealthBY,IF(AND(AT149=1,AK149="E",AU149&gt;=0.5),PTHealthBY*P149,0))))</f>
        <v>11650</v>
      </c>
      <c r="BO149" s="462">
        <f>IF(AND(AT149=3,AK149="E",AV149&gt;=0.75,AW149=1),HealthBY,IF(AND(AT149=3,AK149="E",AV149&gt;=0.75),HealthBY*P149,IF(AND(AT149=3,AK149="E",AV149&gt;=0.5,AW149=1),PTHealthBY,IF(AND(AT149=3,AK149="E",AV149&gt;=0.5),PTHealthBY*P149,0))))</f>
        <v>0</v>
      </c>
      <c r="BP149" s="462">
        <f>IF(AND(AT149&lt;&gt;0,(AX149+BA149)&gt;=MAXSSDIBY),SSDIBY*MAXSSDIBY*P149,IF(AT149&lt;&gt;0,SSDIBY*W149,0))</f>
        <v>4975.2767999999996</v>
      </c>
      <c r="BQ149" s="462">
        <f>IF(AT149&lt;&gt;0,SSHIBY*W149,0)</f>
        <v>1163.5727999999999</v>
      </c>
      <c r="BR149" s="462">
        <f>IF(AND(AT149&lt;&gt;0,AN149&lt;&gt;"NE"),VLOOKUP(AN149,Retirement_Rates,4,FALSE)*W149,0)</f>
        <v>9581.4201599999997</v>
      </c>
      <c r="BS149" s="462">
        <f>IF(AND(AT149&lt;&gt;0,AJ149&lt;&gt;"PF"),LifeBY*W149,0)</f>
        <v>578.57654400000001</v>
      </c>
      <c r="BT149" s="462">
        <f>IF(AND(AT149&lt;&gt;0,AM149="Y"),UIBY*W149,0)</f>
        <v>0</v>
      </c>
      <c r="BU149" s="462">
        <f>IF(AND(AT149&lt;&gt;0,N149&lt;&gt;"NR"),DHRBY*W149,0)</f>
        <v>444.56505599999997</v>
      </c>
      <c r="BV149" s="462">
        <f>IF(AT149&lt;&gt;0,WCBY*W149,0)</f>
        <v>136.41887999999997</v>
      </c>
      <c r="BW149" s="462">
        <f>IF(OR(AND(AT149&lt;&gt;0,AJ149&lt;&gt;"PF",AN149&lt;&gt;"NE",AG149&lt;&gt;"A"),AND(AL149="E",OR(AT149=1,AT149=3))),SickBY*W149,0)</f>
        <v>0</v>
      </c>
      <c r="BX149" s="462">
        <f t="shared" si="41"/>
        <v>16879.830239999999</v>
      </c>
      <c r="BY149" s="462">
        <f t="shared" si="42"/>
        <v>0</v>
      </c>
      <c r="BZ149" s="462">
        <f t="shared" si="43"/>
        <v>0</v>
      </c>
      <c r="CA149" s="462">
        <f t="shared" si="44"/>
        <v>0</v>
      </c>
      <c r="CB149" s="462">
        <f t="shared" si="45"/>
        <v>0</v>
      </c>
      <c r="CC149" s="462">
        <f>IF(AT149&lt;&gt;0,SSHICHG*Y149,0)</f>
        <v>0</v>
      </c>
      <c r="CD149" s="462">
        <f>IF(AND(AT149&lt;&gt;0,AN149&lt;&gt;"NE"),VLOOKUP(AN149,Retirement_Rates,5,FALSE)*Y149,0)</f>
        <v>0</v>
      </c>
      <c r="CE149" s="462">
        <f>IF(AND(AT149&lt;&gt;0,AJ149&lt;&gt;"PF"),LifeCHG*Y149,0)</f>
        <v>0</v>
      </c>
      <c r="CF149" s="462">
        <f>IF(AND(AT149&lt;&gt;0,AM149="Y"),UICHG*Y149,0)</f>
        <v>-393.20735999999994</v>
      </c>
      <c r="CG149" s="462">
        <f>IF(AND(AT149&lt;&gt;0,N149&lt;&gt;"NR"),DHRCHG*Y149,0)</f>
        <v>0</v>
      </c>
      <c r="CH149" s="462">
        <f>IF(AT149&lt;&gt;0,WCCHG*Y149,0)</f>
        <v>-24.073920000000008</v>
      </c>
      <c r="CI149" s="462">
        <f>IF(OR(AND(AT149&lt;&gt;0,AJ149&lt;&gt;"PF",AN149&lt;&gt;"NE",AG149&lt;&gt;"A"),AND(AL149="E",OR(AT149=1,AT149=3))),SickCHG*Y149,0)</f>
        <v>0</v>
      </c>
      <c r="CJ149" s="462">
        <f t="shared" si="46"/>
        <v>-417.28127999999992</v>
      </c>
      <c r="CK149" s="462" t="str">
        <f t="shared" si="47"/>
        <v/>
      </c>
      <c r="CL149" s="462" t="str">
        <f t="shared" si="48"/>
        <v/>
      </c>
      <c r="CM149" s="462" t="str">
        <f t="shared" si="49"/>
        <v/>
      </c>
      <c r="CN149" s="462" t="str">
        <f t="shared" si="50"/>
        <v>0450-38</v>
      </c>
    </row>
    <row r="150" spans="1:92" ht="15" thickBot="1" x14ac:dyDescent="0.35">
      <c r="A150" s="376" t="s">
        <v>161</v>
      </c>
      <c r="B150" s="376" t="s">
        <v>162</v>
      </c>
      <c r="C150" s="376" t="s">
        <v>718</v>
      </c>
      <c r="D150" s="376" t="s">
        <v>313</v>
      </c>
      <c r="E150" s="376" t="s">
        <v>314</v>
      </c>
      <c r="F150" s="382" t="s">
        <v>406</v>
      </c>
      <c r="G150" s="376" t="s">
        <v>167</v>
      </c>
      <c r="H150" s="378"/>
      <c r="I150" s="378"/>
      <c r="J150" s="376" t="s">
        <v>168</v>
      </c>
      <c r="K150" s="376" t="s">
        <v>316</v>
      </c>
      <c r="L150" s="376" t="s">
        <v>216</v>
      </c>
      <c r="M150" s="376" t="s">
        <v>171</v>
      </c>
      <c r="N150" s="376" t="s">
        <v>172</v>
      </c>
      <c r="O150" s="379">
        <v>1</v>
      </c>
      <c r="P150" s="460">
        <v>1</v>
      </c>
      <c r="Q150" s="460">
        <v>1</v>
      </c>
      <c r="R150" s="380">
        <v>80</v>
      </c>
      <c r="S150" s="460">
        <v>1</v>
      </c>
      <c r="T150" s="380">
        <v>73694.16</v>
      </c>
      <c r="U150" s="380">
        <v>0</v>
      </c>
      <c r="V150" s="380">
        <v>32411.94</v>
      </c>
      <c r="W150" s="380">
        <v>74131.199999999997</v>
      </c>
      <c r="X150" s="380">
        <v>27628.95</v>
      </c>
      <c r="Y150" s="380">
        <v>74131.199999999997</v>
      </c>
      <c r="Z150" s="380">
        <v>27243.47</v>
      </c>
      <c r="AA150" s="376" t="s">
        <v>719</v>
      </c>
      <c r="AB150" s="376" t="s">
        <v>720</v>
      </c>
      <c r="AC150" s="376" t="s">
        <v>554</v>
      </c>
      <c r="AD150" s="376" t="s">
        <v>721</v>
      </c>
      <c r="AE150" s="376" t="s">
        <v>316</v>
      </c>
      <c r="AF150" s="376" t="s">
        <v>311</v>
      </c>
      <c r="AG150" s="376" t="s">
        <v>178</v>
      </c>
      <c r="AH150" s="381">
        <v>35.64</v>
      </c>
      <c r="AI150" s="381">
        <v>14213.7</v>
      </c>
      <c r="AJ150" s="376" t="s">
        <v>179</v>
      </c>
      <c r="AK150" s="376" t="s">
        <v>180</v>
      </c>
      <c r="AL150" s="376" t="s">
        <v>181</v>
      </c>
      <c r="AM150" s="376" t="s">
        <v>182</v>
      </c>
      <c r="AN150" s="376" t="s">
        <v>68</v>
      </c>
      <c r="AO150" s="379">
        <v>80</v>
      </c>
      <c r="AP150" s="460">
        <v>1</v>
      </c>
      <c r="AQ150" s="460">
        <v>1</v>
      </c>
      <c r="AR150" s="458" t="s">
        <v>183</v>
      </c>
      <c r="AS150" s="462">
        <f t="shared" si="34"/>
        <v>1</v>
      </c>
      <c r="AT150">
        <f t="shared" si="35"/>
        <v>1</v>
      </c>
      <c r="AU150" s="462">
        <f>IF(AT150=0,"",IF(AND(AT150=1,M150="F",SUMIF(C2:C170,C150,AS2:AS170)&lt;=1),SUMIF(C2:C170,C150,AS2:AS170),IF(AND(AT150=1,M150="F",SUMIF(C2:C170,C150,AS2:AS170)&gt;1),1,"")))</f>
        <v>1</v>
      </c>
      <c r="AV150" s="462" t="str">
        <f>IF(AT150=0,"",IF(AND(AT150=3,M150="F",SUMIF(C2:C170,C150,AS2:AS170)&lt;=1),SUMIF(C2:C170,C150,AS2:AS170),IF(AND(AT150=3,M150="F",SUMIF(C2:C170,C150,AS2:AS170)&gt;1),1,"")))</f>
        <v/>
      </c>
      <c r="AW150" s="462">
        <f>SUMIF(C2:C170,C150,O2:O170)</f>
        <v>1</v>
      </c>
      <c r="AX150" s="462">
        <f>IF(AND(M150="F",AS150&lt;&gt;0),SUMIF(C2:C170,C150,W2:W170),0)</f>
        <v>74131.199999999997</v>
      </c>
      <c r="AY150" s="462">
        <f t="shared" si="36"/>
        <v>74131.199999999997</v>
      </c>
      <c r="AZ150" s="462" t="str">
        <f t="shared" si="37"/>
        <v/>
      </c>
      <c r="BA150" s="462">
        <f t="shared" si="38"/>
        <v>0</v>
      </c>
      <c r="BB150" s="462">
        <f>IF(AND(AT150=1,AK150="E",AU150&gt;=0.75,AW150=1),Health,IF(AND(AT150=1,AK150="E",AU150&gt;=0.75),Health*P150,IF(AND(AT150=1,AK150="E",AU150&gt;=0.5,AW150=1),PTHealth,IF(AND(AT150=1,AK150="E",AU150&gt;=0.5),PTHealth*P150,0))))</f>
        <v>11650</v>
      </c>
      <c r="BC150" s="462">
        <f>IF(AND(AT150=3,AK150="E",AV150&gt;=0.75,AW150=1),Health,IF(AND(AT150=3,AK150="E",AV150&gt;=0.75),Health*P150,IF(AND(AT150=3,AK150="E",AV150&gt;=0.5,AW150=1),PTHealth,IF(AND(AT150=3,AK150="E",AV150&gt;=0.5),PTHealth*P150,0))))</f>
        <v>0</v>
      </c>
      <c r="BD150" s="462">
        <f>IF(AND(AT150&lt;&gt;0,AX150&gt;=MAXSSDI),SSDI*MAXSSDI*P150,IF(AT150&lt;&gt;0,SSDI*W150,0))</f>
        <v>4596.1343999999999</v>
      </c>
      <c r="BE150" s="462">
        <f>IF(AT150&lt;&gt;0,SSHI*W150,0)</f>
        <v>1074.9023999999999</v>
      </c>
      <c r="BF150" s="462">
        <f>IF(AND(AT150&lt;&gt;0,AN150&lt;&gt;"NE"),VLOOKUP(AN150,Retirement_Rates,3,FALSE)*W150,0)</f>
        <v>8851.2652799999996</v>
      </c>
      <c r="BG150" s="462">
        <f>IF(AND(AT150&lt;&gt;0,AJ150&lt;&gt;"PF"),Life*W150,0)</f>
        <v>534.485952</v>
      </c>
      <c r="BH150" s="462">
        <f>IF(AND(AT150&lt;&gt;0,AM150="Y"),UI*W150,0)</f>
        <v>363.24287999999996</v>
      </c>
      <c r="BI150" s="462">
        <f>IF(AND(AT150&lt;&gt;0,N150&lt;&gt;"NR"),DHR*W150,0)</f>
        <v>410.68684799999994</v>
      </c>
      <c r="BJ150" s="462">
        <f>IF(AT150&lt;&gt;0,WC*W150,0)</f>
        <v>148.26239999999999</v>
      </c>
      <c r="BK150" s="462">
        <f>IF(OR(AND(AT150&lt;&gt;0,AJ150&lt;&gt;"PF",AN150&lt;&gt;"NE",AG150&lt;&gt;"A"),AND(AL150="E",OR(AT150=1,AT150=3))),Sick*W150,0)</f>
        <v>0</v>
      </c>
      <c r="BL150" s="462">
        <f t="shared" si="39"/>
        <v>15978.980159999999</v>
      </c>
      <c r="BM150" s="462">
        <f t="shared" si="40"/>
        <v>0</v>
      </c>
      <c r="BN150" s="462">
        <f>IF(AND(AT150=1,AK150="E",AU150&gt;=0.75,AW150=1),HealthBY,IF(AND(AT150=1,AK150="E",AU150&gt;=0.75),HealthBY*P150,IF(AND(AT150=1,AK150="E",AU150&gt;=0.5,AW150=1),PTHealthBY,IF(AND(AT150=1,AK150="E",AU150&gt;=0.5),PTHealthBY*P150,0))))</f>
        <v>11650</v>
      </c>
      <c r="BO150" s="462">
        <f>IF(AND(AT150=3,AK150="E",AV150&gt;=0.75,AW150=1),HealthBY,IF(AND(AT150=3,AK150="E",AV150&gt;=0.75),HealthBY*P150,IF(AND(AT150=3,AK150="E",AV150&gt;=0.5,AW150=1),PTHealthBY,IF(AND(AT150=3,AK150="E",AV150&gt;=0.5),PTHealthBY*P150,0))))</f>
        <v>0</v>
      </c>
      <c r="BP150" s="462">
        <f>IF(AND(AT150&lt;&gt;0,(AX150+BA150)&gt;=MAXSSDIBY),SSDIBY*MAXSSDIBY*P150,IF(AT150&lt;&gt;0,SSDIBY*W150,0))</f>
        <v>4596.1343999999999</v>
      </c>
      <c r="BQ150" s="462">
        <f>IF(AT150&lt;&gt;0,SSHIBY*W150,0)</f>
        <v>1074.9023999999999</v>
      </c>
      <c r="BR150" s="462">
        <f>IF(AND(AT150&lt;&gt;0,AN150&lt;&gt;"NE"),VLOOKUP(AN150,Retirement_Rates,4,FALSE)*W150,0)</f>
        <v>8851.2652799999996</v>
      </c>
      <c r="BS150" s="462">
        <f>IF(AND(AT150&lt;&gt;0,AJ150&lt;&gt;"PF"),LifeBY*W150,0)</f>
        <v>534.485952</v>
      </c>
      <c r="BT150" s="462">
        <f>IF(AND(AT150&lt;&gt;0,AM150="Y"),UIBY*W150,0)</f>
        <v>0</v>
      </c>
      <c r="BU150" s="462">
        <f>IF(AND(AT150&lt;&gt;0,N150&lt;&gt;"NR"),DHRBY*W150,0)</f>
        <v>410.68684799999994</v>
      </c>
      <c r="BV150" s="462">
        <f>IF(AT150&lt;&gt;0,WCBY*W150,0)</f>
        <v>126.02303999999999</v>
      </c>
      <c r="BW150" s="462">
        <f>IF(OR(AND(AT150&lt;&gt;0,AJ150&lt;&gt;"PF",AN150&lt;&gt;"NE",AG150&lt;&gt;"A"),AND(AL150="E",OR(AT150=1,AT150=3))),SickBY*W150,0)</f>
        <v>0</v>
      </c>
      <c r="BX150" s="462">
        <f t="shared" si="41"/>
        <v>15593.49792</v>
      </c>
      <c r="BY150" s="462">
        <f t="shared" si="42"/>
        <v>0</v>
      </c>
      <c r="BZ150" s="462">
        <f t="shared" si="43"/>
        <v>0</v>
      </c>
      <c r="CA150" s="462">
        <f t="shared" si="44"/>
        <v>0</v>
      </c>
      <c r="CB150" s="462">
        <f t="shared" si="45"/>
        <v>0</v>
      </c>
      <c r="CC150" s="462">
        <f>IF(AT150&lt;&gt;0,SSHICHG*Y150,0)</f>
        <v>0</v>
      </c>
      <c r="CD150" s="462">
        <f>IF(AND(AT150&lt;&gt;0,AN150&lt;&gt;"NE"),VLOOKUP(AN150,Retirement_Rates,5,FALSE)*Y150,0)</f>
        <v>0</v>
      </c>
      <c r="CE150" s="462">
        <f>IF(AND(AT150&lt;&gt;0,AJ150&lt;&gt;"PF"),LifeCHG*Y150,0)</f>
        <v>0</v>
      </c>
      <c r="CF150" s="462">
        <f>IF(AND(AT150&lt;&gt;0,AM150="Y"),UICHG*Y150,0)</f>
        <v>-363.24287999999996</v>
      </c>
      <c r="CG150" s="462">
        <f>IF(AND(AT150&lt;&gt;0,N150&lt;&gt;"NR"),DHRCHG*Y150,0)</f>
        <v>0</v>
      </c>
      <c r="CH150" s="462">
        <f>IF(AT150&lt;&gt;0,WCCHG*Y150,0)</f>
        <v>-22.239360000000008</v>
      </c>
      <c r="CI150" s="462">
        <f>IF(OR(AND(AT150&lt;&gt;0,AJ150&lt;&gt;"PF",AN150&lt;&gt;"NE",AG150&lt;&gt;"A"),AND(AL150="E",OR(AT150=1,AT150=3))),SickCHG*Y150,0)</f>
        <v>0</v>
      </c>
      <c r="CJ150" s="462">
        <f t="shared" si="46"/>
        <v>-385.48223999999999</v>
      </c>
      <c r="CK150" s="462" t="str">
        <f t="shared" si="47"/>
        <v/>
      </c>
      <c r="CL150" s="462" t="str">
        <f t="shared" si="48"/>
        <v/>
      </c>
      <c r="CM150" s="462" t="str">
        <f t="shared" si="49"/>
        <v/>
      </c>
      <c r="CN150" s="462" t="str">
        <f t="shared" si="50"/>
        <v>0450-38</v>
      </c>
    </row>
    <row r="151" spans="1:92" ht="15" thickBot="1" x14ac:dyDescent="0.35">
      <c r="A151" s="376" t="s">
        <v>161</v>
      </c>
      <c r="B151" s="376" t="s">
        <v>162</v>
      </c>
      <c r="C151" s="376" t="s">
        <v>722</v>
      </c>
      <c r="D151" s="376" t="s">
        <v>313</v>
      </c>
      <c r="E151" s="376" t="s">
        <v>314</v>
      </c>
      <c r="F151" s="382" t="s">
        <v>406</v>
      </c>
      <c r="G151" s="376" t="s">
        <v>167</v>
      </c>
      <c r="H151" s="378"/>
      <c r="I151" s="378"/>
      <c r="J151" s="376" t="s">
        <v>168</v>
      </c>
      <c r="K151" s="376" t="s">
        <v>316</v>
      </c>
      <c r="L151" s="376" t="s">
        <v>216</v>
      </c>
      <c r="M151" s="376" t="s">
        <v>171</v>
      </c>
      <c r="N151" s="376" t="s">
        <v>172</v>
      </c>
      <c r="O151" s="379">
        <v>1</v>
      </c>
      <c r="P151" s="460">
        <v>1</v>
      </c>
      <c r="Q151" s="460">
        <v>1</v>
      </c>
      <c r="R151" s="380">
        <v>80</v>
      </c>
      <c r="S151" s="460">
        <v>1</v>
      </c>
      <c r="T151" s="380">
        <v>65984.88</v>
      </c>
      <c r="U151" s="380">
        <v>0</v>
      </c>
      <c r="V151" s="380">
        <v>24865.03</v>
      </c>
      <c r="W151" s="380">
        <v>71281.600000000006</v>
      </c>
      <c r="X151" s="380">
        <v>27014.720000000001</v>
      </c>
      <c r="Y151" s="380">
        <v>71281.600000000006</v>
      </c>
      <c r="Z151" s="380">
        <v>26644.06</v>
      </c>
      <c r="AA151" s="376" t="s">
        <v>723</v>
      </c>
      <c r="AB151" s="376" t="s">
        <v>724</v>
      </c>
      <c r="AC151" s="376" t="s">
        <v>725</v>
      </c>
      <c r="AD151" s="376" t="s">
        <v>265</v>
      </c>
      <c r="AE151" s="376" t="s">
        <v>316</v>
      </c>
      <c r="AF151" s="376" t="s">
        <v>311</v>
      </c>
      <c r="AG151" s="376" t="s">
        <v>178</v>
      </c>
      <c r="AH151" s="381">
        <v>34.270000000000003</v>
      </c>
      <c r="AI151" s="379">
        <v>1514</v>
      </c>
      <c r="AJ151" s="376" t="s">
        <v>179</v>
      </c>
      <c r="AK151" s="376" t="s">
        <v>180</v>
      </c>
      <c r="AL151" s="376" t="s">
        <v>181</v>
      </c>
      <c r="AM151" s="376" t="s">
        <v>182</v>
      </c>
      <c r="AN151" s="376" t="s">
        <v>68</v>
      </c>
      <c r="AO151" s="379">
        <v>80</v>
      </c>
      <c r="AP151" s="460">
        <v>1</v>
      </c>
      <c r="AQ151" s="460">
        <v>1</v>
      </c>
      <c r="AR151" s="458" t="s">
        <v>183</v>
      </c>
      <c r="AS151" s="462">
        <f t="shared" si="34"/>
        <v>1</v>
      </c>
      <c r="AT151">
        <f t="shared" si="35"/>
        <v>1</v>
      </c>
      <c r="AU151" s="462">
        <f>IF(AT151=0,"",IF(AND(AT151=1,M151="F",SUMIF(C2:C170,C151,AS2:AS170)&lt;=1),SUMIF(C2:C170,C151,AS2:AS170),IF(AND(AT151=1,M151="F",SUMIF(C2:C170,C151,AS2:AS170)&gt;1),1,"")))</f>
        <v>1</v>
      </c>
      <c r="AV151" s="462" t="str">
        <f>IF(AT151=0,"",IF(AND(AT151=3,M151="F",SUMIF(C2:C170,C151,AS2:AS170)&lt;=1),SUMIF(C2:C170,C151,AS2:AS170),IF(AND(AT151=3,M151="F",SUMIF(C2:C170,C151,AS2:AS170)&gt;1),1,"")))</f>
        <v/>
      </c>
      <c r="AW151" s="462">
        <f>SUMIF(C2:C170,C151,O2:O170)</f>
        <v>1</v>
      </c>
      <c r="AX151" s="462">
        <f>IF(AND(M151="F",AS151&lt;&gt;0),SUMIF(C2:C170,C151,W2:W170),0)</f>
        <v>71281.600000000006</v>
      </c>
      <c r="AY151" s="462">
        <f t="shared" si="36"/>
        <v>71281.600000000006</v>
      </c>
      <c r="AZ151" s="462" t="str">
        <f t="shared" si="37"/>
        <v/>
      </c>
      <c r="BA151" s="462">
        <f t="shared" si="38"/>
        <v>0</v>
      </c>
      <c r="BB151" s="462">
        <f>IF(AND(AT151=1,AK151="E",AU151&gt;=0.75,AW151=1),Health,IF(AND(AT151=1,AK151="E",AU151&gt;=0.75),Health*P151,IF(AND(AT151=1,AK151="E",AU151&gt;=0.5,AW151=1),PTHealth,IF(AND(AT151=1,AK151="E",AU151&gt;=0.5),PTHealth*P151,0))))</f>
        <v>11650</v>
      </c>
      <c r="BC151" s="462">
        <f>IF(AND(AT151=3,AK151="E",AV151&gt;=0.75,AW151=1),Health,IF(AND(AT151=3,AK151="E",AV151&gt;=0.75),Health*P151,IF(AND(AT151=3,AK151="E",AV151&gt;=0.5,AW151=1),PTHealth,IF(AND(AT151=3,AK151="E",AV151&gt;=0.5),PTHealth*P151,0))))</f>
        <v>0</v>
      </c>
      <c r="BD151" s="462">
        <f>IF(AND(AT151&lt;&gt;0,AX151&gt;=MAXSSDI),SSDI*MAXSSDI*P151,IF(AT151&lt;&gt;0,SSDI*W151,0))</f>
        <v>4419.4592000000002</v>
      </c>
      <c r="BE151" s="462">
        <f>IF(AT151&lt;&gt;0,SSHI*W151,0)</f>
        <v>1033.5832</v>
      </c>
      <c r="BF151" s="462">
        <f>IF(AND(AT151&lt;&gt;0,AN151&lt;&gt;"NE"),VLOOKUP(AN151,Retirement_Rates,3,FALSE)*W151,0)</f>
        <v>8511.0230400000019</v>
      </c>
      <c r="BG151" s="462">
        <f>IF(AND(AT151&lt;&gt;0,AJ151&lt;&gt;"PF"),Life*W151,0)</f>
        <v>513.94033600000012</v>
      </c>
      <c r="BH151" s="462">
        <f>IF(AND(AT151&lt;&gt;0,AM151="Y"),UI*W151,0)</f>
        <v>349.27984000000004</v>
      </c>
      <c r="BI151" s="462">
        <f>IF(AND(AT151&lt;&gt;0,N151&lt;&gt;"NR"),DHR*W151,0)</f>
        <v>394.90006400000004</v>
      </c>
      <c r="BJ151" s="462">
        <f>IF(AT151&lt;&gt;0,WC*W151,0)</f>
        <v>142.56320000000002</v>
      </c>
      <c r="BK151" s="462">
        <f>IF(OR(AND(AT151&lt;&gt;0,AJ151&lt;&gt;"PF",AN151&lt;&gt;"NE",AG151&lt;&gt;"A"),AND(AL151="E",OR(AT151=1,AT151=3))),Sick*W151,0)</f>
        <v>0</v>
      </c>
      <c r="BL151" s="462">
        <f t="shared" si="39"/>
        <v>15364.748880000001</v>
      </c>
      <c r="BM151" s="462">
        <f t="shared" si="40"/>
        <v>0</v>
      </c>
      <c r="BN151" s="462">
        <f>IF(AND(AT151=1,AK151="E",AU151&gt;=0.75,AW151=1),HealthBY,IF(AND(AT151=1,AK151="E",AU151&gt;=0.75),HealthBY*P151,IF(AND(AT151=1,AK151="E",AU151&gt;=0.5,AW151=1),PTHealthBY,IF(AND(AT151=1,AK151="E",AU151&gt;=0.5),PTHealthBY*P151,0))))</f>
        <v>11650</v>
      </c>
      <c r="BO151" s="462">
        <f>IF(AND(AT151=3,AK151="E",AV151&gt;=0.75,AW151=1),HealthBY,IF(AND(AT151=3,AK151="E",AV151&gt;=0.75),HealthBY*P151,IF(AND(AT151=3,AK151="E",AV151&gt;=0.5,AW151=1),PTHealthBY,IF(AND(AT151=3,AK151="E",AV151&gt;=0.5),PTHealthBY*P151,0))))</f>
        <v>0</v>
      </c>
      <c r="BP151" s="462">
        <f>IF(AND(AT151&lt;&gt;0,(AX151+BA151)&gt;=MAXSSDIBY),SSDIBY*MAXSSDIBY*P151,IF(AT151&lt;&gt;0,SSDIBY*W151,0))</f>
        <v>4419.4592000000002</v>
      </c>
      <c r="BQ151" s="462">
        <f>IF(AT151&lt;&gt;0,SSHIBY*W151,0)</f>
        <v>1033.5832</v>
      </c>
      <c r="BR151" s="462">
        <f>IF(AND(AT151&lt;&gt;0,AN151&lt;&gt;"NE"),VLOOKUP(AN151,Retirement_Rates,4,FALSE)*W151,0)</f>
        <v>8511.0230400000019</v>
      </c>
      <c r="BS151" s="462">
        <f>IF(AND(AT151&lt;&gt;0,AJ151&lt;&gt;"PF"),LifeBY*W151,0)</f>
        <v>513.94033600000012</v>
      </c>
      <c r="BT151" s="462">
        <f>IF(AND(AT151&lt;&gt;0,AM151="Y"),UIBY*W151,0)</f>
        <v>0</v>
      </c>
      <c r="BU151" s="462">
        <f>IF(AND(AT151&lt;&gt;0,N151&lt;&gt;"NR"),DHRBY*W151,0)</f>
        <v>394.90006400000004</v>
      </c>
      <c r="BV151" s="462">
        <f>IF(AT151&lt;&gt;0,WCBY*W151,0)</f>
        <v>121.17872</v>
      </c>
      <c r="BW151" s="462">
        <f>IF(OR(AND(AT151&lt;&gt;0,AJ151&lt;&gt;"PF",AN151&lt;&gt;"NE",AG151&lt;&gt;"A"),AND(AL151="E",OR(AT151=1,AT151=3))),SickBY*W151,0)</f>
        <v>0</v>
      </c>
      <c r="BX151" s="462">
        <f t="shared" si="41"/>
        <v>14994.084560000001</v>
      </c>
      <c r="BY151" s="462">
        <f t="shared" si="42"/>
        <v>0</v>
      </c>
      <c r="BZ151" s="462">
        <f t="shared" si="43"/>
        <v>0</v>
      </c>
      <c r="CA151" s="462">
        <f t="shared" si="44"/>
        <v>0</v>
      </c>
      <c r="CB151" s="462">
        <f t="shared" si="45"/>
        <v>0</v>
      </c>
      <c r="CC151" s="462">
        <f>IF(AT151&lt;&gt;0,SSHICHG*Y151,0)</f>
        <v>0</v>
      </c>
      <c r="CD151" s="462">
        <f>IF(AND(AT151&lt;&gt;0,AN151&lt;&gt;"NE"),VLOOKUP(AN151,Retirement_Rates,5,FALSE)*Y151,0)</f>
        <v>0</v>
      </c>
      <c r="CE151" s="462">
        <f>IF(AND(AT151&lt;&gt;0,AJ151&lt;&gt;"PF"),LifeCHG*Y151,0)</f>
        <v>0</v>
      </c>
      <c r="CF151" s="462">
        <f>IF(AND(AT151&lt;&gt;0,AM151="Y"),UICHG*Y151,0)</f>
        <v>-349.27984000000004</v>
      </c>
      <c r="CG151" s="462">
        <f>IF(AND(AT151&lt;&gt;0,N151&lt;&gt;"NR"),DHRCHG*Y151,0)</f>
        <v>0</v>
      </c>
      <c r="CH151" s="462">
        <f>IF(AT151&lt;&gt;0,WCCHG*Y151,0)</f>
        <v>-21.384480000000011</v>
      </c>
      <c r="CI151" s="462">
        <f>IF(OR(AND(AT151&lt;&gt;0,AJ151&lt;&gt;"PF",AN151&lt;&gt;"NE",AG151&lt;&gt;"A"),AND(AL151="E",OR(AT151=1,AT151=3))),SickCHG*Y151,0)</f>
        <v>0</v>
      </c>
      <c r="CJ151" s="462">
        <f t="shared" si="46"/>
        <v>-370.66432000000003</v>
      </c>
      <c r="CK151" s="462" t="str">
        <f t="shared" si="47"/>
        <v/>
      </c>
      <c r="CL151" s="462" t="str">
        <f t="shared" si="48"/>
        <v/>
      </c>
      <c r="CM151" s="462" t="str">
        <f t="shared" si="49"/>
        <v/>
      </c>
      <c r="CN151" s="462" t="str">
        <f t="shared" si="50"/>
        <v>0450-38</v>
      </c>
    </row>
    <row r="152" spans="1:92" ht="15" thickBot="1" x14ac:dyDescent="0.35">
      <c r="A152" s="376" t="s">
        <v>161</v>
      </c>
      <c r="B152" s="376" t="s">
        <v>162</v>
      </c>
      <c r="C152" s="376" t="s">
        <v>726</v>
      </c>
      <c r="D152" s="376" t="s">
        <v>313</v>
      </c>
      <c r="E152" s="376" t="s">
        <v>314</v>
      </c>
      <c r="F152" s="382" t="s">
        <v>406</v>
      </c>
      <c r="G152" s="376" t="s">
        <v>167</v>
      </c>
      <c r="H152" s="378"/>
      <c r="I152" s="378"/>
      <c r="J152" s="376" t="s">
        <v>168</v>
      </c>
      <c r="K152" s="376" t="s">
        <v>316</v>
      </c>
      <c r="L152" s="376" t="s">
        <v>216</v>
      </c>
      <c r="M152" s="376" t="s">
        <v>265</v>
      </c>
      <c r="N152" s="376" t="s">
        <v>172</v>
      </c>
      <c r="O152" s="379">
        <v>0</v>
      </c>
      <c r="P152" s="460">
        <v>1</v>
      </c>
      <c r="Q152" s="460">
        <v>1</v>
      </c>
      <c r="R152" s="380">
        <v>80</v>
      </c>
      <c r="S152" s="460">
        <v>1</v>
      </c>
      <c r="T152" s="380">
        <v>73012.210000000006</v>
      </c>
      <c r="U152" s="380">
        <v>0</v>
      </c>
      <c r="V152" s="380">
        <v>24425.26</v>
      </c>
      <c r="W152" s="380">
        <v>60465.599999999999</v>
      </c>
      <c r="X152" s="380">
        <v>26483.93</v>
      </c>
      <c r="Y152" s="380">
        <v>60465.599999999999</v>
      </c>
      <c r="Z152" s="380">
        <v>26181.599999999999</v>
      </c>
      <c r="AA152" s="378"/>
      <c r="AB152" s="378"/>
      <c r="AC152" s="378"/>
      <c r="AD152" s="378"/>
      <c r="AE152" s="378"/>
      <c r="AF152" s="378"/>
      <c r="AG152" s="378"/>
      <c r="AH152" s="379">
        <v>0</v>
      </c>
      <c r="AI152" s="379">
        <v>0</v>
      </c>
      <c r="AJ152" s="378"/>
      <c r="AK152" s="378"/>
      <c r="AL152" s="376" t="s">
        <v>181</v>
      </c>
      <c r="AM152" s="378"/>
      <c r="AN152" s="378"/>
      <c r="AO152" s="379">
        <v>0</v>
      </c>
      <c r="AP152" s="460">
        <v>0</v>
      </c>
      <c r="AQ152" s="460">
        <v>0</v>
      </c>
      <c r="AR152" s="459"/>
      <c r="AS152" s="462">
        <f t="shared" si="34"/>
        <v>0</v>
      </c>
      <c r="AT152">
        <f t="shared" si="35"/>
        <v>0</v>
      </c>
      <c r="AU152" s="462" t="str">
        <f>IF(AT152=0,"",IF(AND(AT152=1,M152="F",SUMIF(C2:C170,C152,AS2:AS170)&lt;=1),SUMIF(C2:C170,C152,AS2:AS170),IF(AND(AT152=1,M152="F",SUMIF(C2:C170,C152,AS2:AS170)&gt;1),1,"")))</f>
        <v/>
      </c>
      <c r="AV152" s="462" t="str">
        <f>IF(AT152=0,"",IF(AND(AT152=3,M152="F",SUMIF(C2:C170,C152,AS2:AS170)&lt;=1),SUMIF(C2:C170,C152,AS2:AS170),IF(AND(AT152=3,M152="F",SUMIF(C2:C170,C152,AS2:AS170)&gt;1),1,"")))</f>
        <v/>
      </c>
      <c r="AW152" s="462">
        <f>SUMIF(C2:C170,C152,O2:O170)</f>
        <v>0</v>
      </c>
      <c r="AX152" s="462">
        <f>IF(AND(M152="F",AS152&lt;&gt;0),SUMIF(C2:C170,C152,W2:W170),0)</f>
        <v>0</v>
      </c>
      <c r="AY152" s="462" t="str">
        <f t="shared" si="36"/>
        <v/>
      </c>
      <c r="AZ152" s="462" t="str">
        <f t="shared" si="37"/>
        <v/>
      </c>
      <c r="BA152" s="462">
        <f t="shared" si="38"/>
        <v>0</v>
      </c>
      <c r="BB152" s="462">
        <f>IF(AND(AT152=1,AK152="E",AU152&gt;=0.75,AW152=1),Health,IF(AND(AT152=1,AK152="E",AU152&gt;=0.75),Health*P152,IF(AND(AT152=1,AK152="E",AU152&gt;=0.5,AW152=1),PTHealth,IF(AND(AT152=1,AK152="E",AU152&gt;=0.5),PTHealth*P152,0))))</f>
        <v>0</v>
      </c>
      <c r="BC152" s="462">
        <f>IF(AND(AT152=3,AK152="E",AV152&gt;=0.75,AW152=1),Health,IF(AND(AT152=3,AK152="E",AV152&gt;=0.75),Health*P152,IF(AND(AT152=3,AK152="E",AV152&gt;=0.5,AW152=1),PTHealth,IF(AND(AT152=3,AK152="E",AV152&gt;=0.5),PTHealth*P152,0))))</f>
        <v>0</v>
      </c>
      <c r="BD152" s="462">
        <f>IF(AND(AT152&lt;&gt;0,AX152&gt;=MAXSSDI),SSDI*MAXSSDI*P152,IF(AT152&lt;&gt;0,SSDI*W152,0))</f>
        <v>0</v>
      </c>
      <c r="BE152" s="462">
        <f>IF(AT152&lt;&gt;0,SSHI*W152,0)</f>
        <v>0</v>
      </c>
      <c r="BF152" s="462">
        <f>IF(AND(AT152&lt;&gt;0,AN152&lt;&gt;"NE"),VLOOKUP(AN152,Retirement_Rates,3,FALSE)*W152,0)</f>
        <v>0</v>
      </c>
      <c r="BG152" s="462">
        <f>IF(AND(AT152&lt;&gt;0,AJ152&lt;&gt;"PF"),Life*W152,0)</f>
        <v>0</v>
      </c>
      <c r="BH152" s="462">
        <f>IF(AND(AT152&lt;&gt;0,AM152="Y"),UI*W152,0)</f>
        <v>0</v>
      </c>
      <c r="BI152" s="462">
        <f>IF(AND(AT152&lt;&gt;0,N152&lt;&gt;"NR"),DHR*W152,0)</f>
        <v>0</v>
      </c>
      <c r="BJ152" s="462">
        <f>IF(AT152&lt;&gt;0,WC*W152,0)</f>
        <v>0</v>
      </c>
      <c r="BK152" s="462">
        <f>IF(OR(AND(AT152&lt;&gt;0,AJ152&lt;&gt;"PF",AN152&lt;&gt;"NE",AG152&lt;&gt;"A"),AND(AL152="E",OR(AT152=1,AT152=3))),Sick*W152,0)</f>
        <v>0</v>
      </c>
      <c r="BL152" s="462">
        <f t="shared" si="39"/>
        <v>0</v>
      </c>
      <c r="BM152" s="462">
        <f t="shared" si="40"/>
        <v>0</v>
      </c>
      <c r="BN152" s="462">
        <f>IF(AND(AT152=1,AK152="E",AU152&gt;=0.75,AW152=1),HealthBY,IF(AND(AT152=1,AK152="E",AU152&gt;=0.75),HealthBY*P152,IF(AND(AT152=1,AK152="E",AU152&gt;=0.5,AW152=1),PTHealthBY,IF(AND(AT152=1,AK152="E",AU152&gt;=0.5),PTHealthBY*P152,0))))</f>
        <v>0</v>
      </c>
      <c r="BO152" s="462">
        <f>IF(AND(AT152=3,AK152="E",AV152&gt;=0.75,AW152=1),HealthBY,IF(AND(AT152=3,AK152="E",AV152&gt;=0.75),HealthBY*P152,IF(AND(AT152=3,AK152="E",AV152&gt;=0.5,AW152=1),PTHealthBY,IF(AND(AT152=3,AK152="E",AV152&gt;=0.5),PTHealthBY*P152,0))))</f>
        <v>0</v>
      </c>
      <c r="BP152" s="462">
        <f>IF(AND(AT152&lt;&gt;0,(AX152+BA152)&gt;=MAXSSDIBY),SSDIBY*MAXSSDIBY*P152,IF(AT152&lt;&gt;0,SSDIBY*W152,0))</f>
        <v>0</v>
      </c>
      <c r="BQ152" s="462">
        <f>IF(AT152&lt;&gt;0,SSHIBY*W152,0)</f>
        <v>0</v>
      </c>
      <c r="BR152" s="462">
        <f>IF(AND(AT152&lt;&gt;0,AN152&lt;&gt;"NE"),VLOOKUP(AN152,Retirement_Rates,4,FALSE)*W152,0)</f>
        <v>0</v>
      </c>
      <c r="BS152" s="462">
        <f>IF(AND(AT152&lt;&gt;0,AJ152&lt;&gt;"PF"),LifeBY*W152,0)</f>
        <v>0</v>
      </c>
      <c r="BT152" s="462">
        <f>IF(AND(AT152&lt;&gt;0,AM152="Y"),UIBY*W152,0)</f>
        <v>0</v>
      </c>
      <c r="BU152" s="462">
        <f>IF(AND(AT152&lt;&gt;0,N152&lt;&gt;"NR"),DHRBY*W152,0)</f>
        <v>0</v>
      </c>
      <c r="BV152" s="462">
        <f>IF(AT152&lt;&gt;0,WCBY*W152,0)</f>
        <v>0</v>
      </c>
      <c r="BW152" s="462">
        <f>IF(OR(AND(AT152&lt;&gt;0,AJ152&lt;&gt;"PF",AN152&lt;&gt;"NE",AG152&lt;&gt;"A"),AND(AL152="E",OR(AT152=1,AT152=3))),SickBY*W152,0)</f>
        <v>0</v>
      </c>
      <c r="BX152" s="462">
        <f t="shared" si="41"/>
        <v>0</v>
      </c>
      <c r="BY152" s="462">
        <f t="shared" si="42"/>
        <v>0</v>
      </c>
      <c r="BZ152" s="462">
        <f t="shared" si="43"/>
        <v>0</v>
      </c>
      <c r="CA152" s="462">
        <f t="shared" si="44"/>
        <v>0</v>
      </c>
      <c r="CB152" s="462">
        <f t="shared" si="45"/>
        <v>0</v>
      </c>
      <c r="CC152" s="462">
        <f>IF(AT152&lt;&gt;0,SSHICHG*Y152,0)</f>
        <v>0</v>
      </c>
      <c r="CD152" s="462">
        <f>IF(AND(AT152&lt;&gt;0,AN152&lt;&gt;"NE"),VLOOKUP(AN152,Retirement_Rates,5,FALSE)*Y152,0)</f>
        <v>0</v>
      </c>
      <c r="CE152" s="462">
        <f>IF(AND(AT152&lt;&gt;0,AJ152&lt;&gt;"PF"),LifeCHG*Y152,0)</f>
        <v>0</v>
      </c>
      <c r="CF152" s="462">
        <f>IF(AND(AT152&lt;&gt;0,AM152="Y"),UICHG*Y152,0)</f>
        <v>0</v>
      </c>
      <c r="CG152" s="462">
        <f>IF(AND(AT152&lt;&gt;0,N152&lt;&gt;"NR"),DHRCHG*Y152,0)</f>
        <v>0</v>
      </c>
      <c r="CH152" s="462">
        <f>IF(AT152&lt;&gt;0,WCCHG*Y152,0)</f>
        <v>0</v>
      </c>
      <c r="CI152" s="462">
        <f>IF(OR(AND(AT152&lt;&gt;0,AJ152&lt;&gt;"PF",AN152&lt;&gt;"NE",AG152&lt;&gt;"A"),AND(AL152="E",OR(AT152=1,AT152=3))),SickCHG*Y152,0)</f>
        <v>0</v>
      </c>
      <c r="CJ152" s="462">
        <f t="shared" si="46"/>
        <v>0</v>
      </c>
      <c r="CK152" s="462" t="str">
        <f t="shared" si="47"/>
        <v/>
      </c>
      <c r="CL152" s="462" t="str">
        <f t="shared" si="48"/>
        <v/>
      </c>
      <c r="CM152" s="462" t="str">
        <f t="shared" si="49"/>
        <v/>
      </c>
      <c r="CN152" s="462" t="str">
        <f t="shared" si="50"/>
        <v>0450-38</v>
      </c>
    </row>
    <row r="153" spans="1:92" ht="15" thickBot="1" x14ac:dyDescent="0.35">
      <c r="A153" s="376" t="s">
        <v>161</v>
      </c>
      <c r="B153" s="376" t="s">
        <v>162</v>
      </c>
      <c r="C153" s="376" t="s">
        <v>727</v>
      </c>
      <c r="D153" s="376" t="s">
        <v>313</v>
      </c>
      <c r="E153" s="376" t="s">
        <v>314</v>
      </c>
      <c r="F153" s="382" t="s">
        <v>406</v>
      </c>
      <c r="G153" s="376" t="s">
        <v>167</v>
      </c>
      <c r="H153" s="378"/>
      <c r="I153" s="378"/>
      <c r="J153" s="376" t="s">
        <v>168</v>
      </c>
      <c r="K153" s="376" t="s">
        <v>316</v>
      </c>
      <c r="L153" s="376" t="s">
        <v>216</v>
      </c>
      <c r="M153" s="376" t="s">
        <v>171</v>
      </c>
      <c r="N153" s="376" t="s">
        <v>172</v>
      </c>
      <c r="O153" s="379">
        <v>1</v>
      </c>
      <c r="P153" s="460">
        <v>1</v>
      </c>
      <c r="Q153" s="460">
        <v>1</v>
      </c>
      <c r="R153" s="380">
        <v>80</v>
      </c>
      <c r="S153" s="460">
        <v>1</v>
      </c>
      <c r="T153" s="380">
        <v>72720.600000000006</v>
      </c>
      <c r="U153" s="380">
        <v>0</v>
      </c>
      <c r="V153" s="380">
        <v>26521.85</v>
      </c>
      <c r="W153" s="380">
        <v>71136</v>
      </c>
      <c r="X153" s="380">
        <v>26983.34</v>
      </c>
      <c r="Y153" s="380">
        <v>71136</v>
      </c>
      <c r="Z153" s="380">
        <v>26613.439999999999</v>
      </c>
      <c r="AA153" s="376" t="s">
        <v>728</v>
      </c>
      <c r="AB153" s="376" t="s">
        <v>729</v>
      </c>
      <c r="AC153" s="376" t="s">
        <v>608</v>
      </c>
      <c r="AD153" s="376" t="s">
        <v>270</v>
      </c>
      <c r="AE153" s="376" t="s">
        <v>316</v>
      </c>
      <c r="AF153" s="376" t="s">
        <v>311</v>
      </c>
      <c r="AG153" s="376" t="s">
        <v>178</v>
      </c>
      <c r="AH153" s="381">
        <v>34.200000000000003</v>
      </c>
      <c r="AI153" s="381">
        <v>3268.6</v>
      </c>
      <c r="AJ153" s="376" t="s">
        <v>179</v>
      </c>
      <c r="AK153" s="376" t="s">
        <v>180</v>
      </c>
      <c r="AL153" s="376" t="s">
        <v>181</v>
      </c>
      <c r="AM153" s="376" t="s">
        <v>182</v>
      </c>
      <c r="AN153" s="376" t="s">
        <v>68</v>
      </c>
      <c r="AO153" s="379">
        <v>80</v>
      </c>
      <c r="AP153" s="460">
        <v>1</v>
      </c>
      <c r="AQ153" s="460">
        <v>1</v>
      </c>
      <c r="AR153" s="458" t="s">
        <v>183</v>
      </c>
      <c r="AS153" s="462">
        <f t="shared" si="34"/>
        <v>1</v>
      </c>
      <c r="AT153">
        <f t="shared" si="35"/>
        <v>1</v>
      </c>
      <c r="AU153" s="462">
        <f>IF(AT153=0,"",IF(AND(AT153=1,M153="F",SUMIF(C2:C170,C153,AS2:AS170)&lt;=1),SUMIF(C2:C170,C153,AS2:AS170),IF(AND(AT153=1,M153="F",SUMIF(C2:C170,C153,AS2:AS170)&gt;1),1,"")))</f>
        <v>1</v>
      </c>
      <c r="AV153" s="462" t="str">
        <f>IF(AT153=0,"",IF(AND(AT153=3,M153="F",SUMIF(C2:C170,C153,AS2:AS170)&lt;=1),SUMIF(C2:C170,C153,AS2:AS170),IF(AND(AT153=3,M153="F",SUMIF(C2:C170,C153,AS2:AS170)&gt;1),1,"")))</f>
        <v/>
      </c>
      <c r="AW153" s="462">
        <f>SUMIF(C2:C170,C153,O2:O170)</f>
        <v>1</v>
      </c>
      <c r="AX153" s="462">
        <f>IF(AND(M153="F",AS153&lt;&gt;0),SUMIF(C2:C170,C153,W2:W170),0)</f>
        <v>71136</v>
      </c>
      <c r="AY153" s="462">
        <f t="shared" si="36"/>
        <v>71136</v>
      </c>
      <c r="AZ153" s="462" t="str">
        <f t="shared" si="37"/>
        <v/>
      </c>
      <c r="BA153" s="462">
        <f t="shared" si="38"/>
        <v>0</v>
      </c>
      <c r="BB153" s="462">
        <f>IF(AND(AT153=1,AK153="E",AU153&gt;=0.75,AW153=1),Health,IF(AND(AT153=1,AK153="E",AU153&gt;=0.75),Health*P153,IF(AND(AT153=1,AK153="E",AU153&gt;=0.5,AW153=1),PTHealth,IF(AND(AT153=1,AK153="E",AU153&gt;=0.5),PTHealth*P153,0))))</f>
        <v>11650</v>
      </c>
      <c r="BC153" s="462">
        <f>IF(AND(AT153=3,AK153="E",AV153&gt;=0.75,AW153=1),Health,IF(AND(AT153=3,AK153="E",AV153&gt;=0.75),Health*P153,IF(AND(AT153=3,AK153="E",AV153&gt;=0.5,AW153=1),PTHealth,IF(AND(AT153=3,AK153="E",AV153&gt;=0.5),PTHealth*P153,0))))</f>
        <v>0</v>
      </c>
      <c r="BD153" s="462">
        <f>IF(AND(AT153&lt;&gt;0,AX153&gt;=MAXSSDI),SSDI*MAXSSDI*P153,IF(AT153&lt;&gt;0,SSDI*W153,0))</f>
        <v>4410.4319999999998</v>
      </c>
      <c r="BE153" s="462">
        <f>IF(AT153&lt;&gt;0,SSHI*W153,0)</f>
        <v>1031.472</v>
      </c>
      <c r="BF153" s="462">
        <f>IF(AND(AT153&lt;&gt;0,AN153&lt;&gt;"NE"),VLOOKUP(AN153,Retirement_Rates,3,FALSE)*W153,0)</f>
        <v>8493.6383999999998</v>
      </c>
      <c r="BG153" s="462">
        <f>IF(AND(AT153&lt;&gt;0,AJ153&lt;&gt;"PF"),Life*W153,0)</f>
        <v>512.89056000000005</v>
      </c>
      <c r="BH153" s="462">
        <f>IF(AND(AT153&lt;&gt;0,AM153="Y"),UI*W153,0)</f>
        <v>348.56639999999999</v>
      </c>
      <c r="BI153" s="462">
        <f>IF(AND(AT153&lt;&gt;0,N153&lt;&gt;"NR"),DHR*W153,0)</f>
        <v>394.09343999999999</v>
      </c>
      <c r="BJ153" s="462">
        <f>IF(AT153&lt;&gt;0,WC*W153,0)</f>
        <v>142.27199999999999</v>
      </c>
      <c r="BK153" s="462">
        <f>IF(OR(AND(AT153&lt;&gt;0,AJ153&lt;&gt;"PF",AN153&lt;&gt;"NE",AG153&lt;&gt;"A"),AND(AL153="E",OR(AT153=1,AT153=3))),Sick*W153,0)</f>
        <v>0</v>
      </c>
      <c r="BL153" s="462">
        <f t="shared" si="39"/>
        <v>15333.364799999999</v>
      </c>
      <c r="BM153" s="462">
        <f t="shared" si="40"/>
        <v>0</v>
      </c>
      <c r="BN153" s="462">
        <f>IF(AND(AT153=1,AK153="E",AU153&gt;=0.75,AW153=1),HealthBY,IF(AND(AT153=1,AK153="E",AU153&gt;=0.75),HealthBY*P153,IF(AND(AT153=1,AK153="E",AU153&gt;=0.5,AW153=1),PTHealthBY,IF(AND(AT153=1,AK153="E",AU153&gt;=0.5),PTHealthBY*P153,0))))</f>
        <v>11650</v>
      </c>
      <c r="BO153" s="462">
        <f>IF(AND(AT153=3,AK153="E",AV153&gt;=0.75,AW153=1),HealthBY,IF(AND(AT153=3,AK153="E",AV153&gt;=0.75),HealthBY*P153,IF(AND(AT153=3,AK153="E",AV153&gt;=0.5,AW153=1),PTHealthBY,IF(AND(AT153=3,AK153="E",AV153&gt;=0.5),PTHealthBY*P153,0))))</f>
        <v>0</v>
      </c>
      <c r="BP153" s="462">
        <f>IF(AND(AT153&lt;&gt;0,(AX153+BA153)&gt;=MAXSSDIBY),SSDIBY*MAXSSDIBY*P153,IF(AT153&lt;&gt;0,SSDIBY*W153,0))</f>
        <v>4410.4319999999998</v>
      </c>
      <c r="BQ153" s="462">
        <f>IF(AT153&lt;&gt;0,SSHIBY*W153,0)</f>
        <v>1031.472</v>
      </c>
      <c r="BR153" s="462">
        <f>IF(AND(AT153&lt;&gt;0,AN153&lt;&gt;"NE"),VLOOKUP(AN153,Retirement_Rates,4,FALSE)*W153,0)</f>
        <v>8493.6383999999998</v>
      </c>
      <c r="BS153" s="462">
        <f>IF(AND(AT153&lt;&gt;0,AJ153&lt;&gt;"PF"),LifeBY*W153,0)</f>
        <v>512.89056000000005</v>
      </c>
      <c r="BT153" s="462">
        <f>IF(AND(AT153&lt;&gt;0,AM153="Y"),UIBY*W153,0)</f>
        <v>0</v>
      </c>
      <c r="BU153" s="462">
        <f>IF(AND(AT153&lt;&gt;0,N153&lt;&gt;"NR"),DHRBY*W153,0)</f>
        <v>394.09343999999999</v>
      </c>
      <c r="BV153" s="462">
        <f>IF(AT153&lt;&gt;0,WCBY*W153,0)</f>
        <v>120.93119999999999</v>
      </c>
      <c r="BW153" s="462">
        <f>IF(OR(AND(AT153&lt;&gt;0,AJ153&lt;&gt;"PF",AN153&lt;&gt;"NE",AG153&lt;&gt;"A"),AND(AL153="E",OR(AT153=1,AT153=3))),SickBY*W153,0)</f>
        <v>0</v>
      </c>
      <c r="BX153" s="462">
        <f t="shared" si="41"/>
        <v>14963.457599999998</v>
      </c>
      <c r="BY153" s="462">
        <f t="shared" si="42"/>
        <v>0</v>
      </c>
      <c r="BZ153" s="462">
        <f t="shared" si="43"/>
        <v>0</v>
      </c>
      <c r="CA153" s="462">
        <f t="shared" si="44"/>
        <v>0</v>
      </c>
      <c r="CB153" s="462">
        <f t="shared" si="45"/>
        <v>0</v>
      </c>
      <c r="CC153" s="462">
        <f>IF(AT153&lt;&gt;0,SSHICHG*Y153,0)</f>
        <v>0</v>
      </c>
      <c r="CD153" s="462">
        <f>IF(AND(AT153&lt;&gt;0,AN153&lt;&gt;"NE"),VLOOKUP(AN153,Retirement_Rates,5,FALSE)*Y153,0)</f>
        <v>0</v>
      </c>
      <c r="CE153" s="462">
        <f>IF(AND(AT153&lt;&gt;0,AJ153&lt;&gt;"PF"),LifeCHG*Y153,0)</f>
        <v>0</v>
      </c>
      <c r="CF153" s="462">
        <f>IF(AND(AT153&lt;&gt;0,AM153="Y"),UICHG*Y153,0)</f>
        <v>-348.56639999999999</v>
      </c>
      <c r="CG153" s="462">
        <f>IF(AND(AT153&lt;&gt;0,N153&lt;&gt;"NR"),DHRCHG*Y153,0)</f>
        <v>0</v>
      </c>
      <c r="CH153" s="462">
        <f>IF(AT153&lt;&gt;0,WCCHG*Y153,0)</f>
        <v>-21.340800000000009</v>
      </c>
      <c r="CI153" s="462">
        <f>IF(OR(AND(AT153&lt;&gt;0,AJ153&lt;&gt;"PF",AN153&lt;&gt;"NE",AG153&lt;&gt;"A"),AND(AL153="E",OR(AT153=1,AT153=3))),SickCHG*Y153,0)</f>
        <v>0</v>
      </c>
      <c r="CJ153" s="462">
        <f t="shared" si="46"/>
        <v>-369.90719999999999</v>
      </c>
      <c r="CK153" s="462" t="str">
        <f t="shared" si="47"/>
        <v/>
      </c>
      <c r="CL153" s="462" t="str">
        <f t="shared" si="48"/>
        <v/>
      </c>
      <c r="CM153" s="462" t="str">
        <f t="shared" si="49"/>
        <v/>
      </c>
      <c r="CN153" s="462" t="str">
        <f t="shared" si="50"/>
        <v>0450-38</v>
      </c>
    </row>
    <row r="154" spans="1:92" ht="15" thickBot="1" x14ac:dyDescent="0.35">
      <c r="A154" s="376" t="s">
        <v>161</v>
      </c>
      <c r="B154" s="376" t="s">
        <v>162</v>
      </c>
      <c r="C154" s="376" t="s">
        <v>730</v>
      </c>
      <c r="D154" s="376" t="s">
        <v>570</v>
      </c>
      <c r="E154" s="376" t="s">
        <v>314</v>
      </c>
      <c r="F154" s="382" t="s">
        <v>406</v>
      </c>
      <c r="G154" s="376" t="s">
        <v>167</v>
      </c>
      <c r="H154" s="378"/>
      <c r="I154" s="378"/>
      <c r="J154" s="376" t="s">
        <v>168</v>
      </c>
      <c r="K154" s="376" t="s">
        <v>571</v>
      </c>
      <c r="L154" s="376" t="s">
        <v>181</v>
      </c>
      <c r="M154" s="376" t="s">
        <v>171</v>
      </c>
      <c r="N154" s="376" t="s">
        <v>172</v>
      </c>
      <c r="O154" s="379">
        <v>1</v>
      </c>
      <c r="P154" s="460">
        <v>1</v>
      </c>
      <c r="Q154" s="460">
        <v>1</v>
      </c>
      <c r="R154" s="380">
        <v>80</v>
      </c>
      <c r="S154" s="460">
        <v>1</v>
      </c>
      <c r="T154" s="380">
        <v>77309.81</v>
      </c>
      <c r="U154" s="380">
        <v>0</v>
      </c>
      <c r="V154" s="380">
        <v>27737.14</v>
      </c>
      <c r="W154" s="380">
        <v>79872</v>
      </c>
      <c r="X154" s="380">
        <v>28866.38</v>
      </c>
      <c r="Y154" s="380">
        <v>79872</v>
      </c>
      <c r="Z154" s="380">
        <v>28451.05</v>
      </c>
      <c r="AA154" s="376" t="s">
        <v>731</v>
      </c>
      <c r="AB154" s="376" t="s">
        <v>732</v>
      </c>
      <c r="AC154" s="376" t="s">
        <v>296</v>
      </c>
      <c r="AD154" s="376" t="s">
        <v>733</v>
      </c>
      <c r="AE154" s="376" t="s">
        <v>571</v>
      </c>
      <c r="AF154" s="376" t="s">
        <v>349</v>
      </c>
      <c r="AG154" s="376" t="s">
        <v>178</v>
      </c>
      <c r="AH154" s="381">
        <v>38.4</v>
      </c>
      <c r="AI154" s="381">
        <v>15293.1</v>
      </c>
      <c r="AJ154" s="376" t="s">
        <v>179</v>
      </c>
      <c r="AK154" s="376" t="s">
        <v>180</v>
      </c>
      <c r="AL154" s="376" t="s">
        <v>181</v>
      </c>
      <c r="AM154" s="376" t="s">
        <v>182</v>
      </c>
      <c r="AN154" s="376" t="s">
        <v>68</v>
      </c>
      <c r="AO154" s="379">
        <v>80</v>
      </c>
      <c r="AP154" s="460">
        <v>1</v>
      </c>
      <c r="AQ154" s="460">
        <v>1</v>
      </c>
      <c r="AR154" s="458" t="s">
        <v>183</v>
      </c>
      <c r="AS154" s="462">
        <f t="shared" si="34"/>
        <v>1</v>
      </c>
      <c r="AT154">
        <f t="shared" si="35"/>
        <v>1</v>
      </c>
      <c r="AU154" s="462">
        <f>IF(AT154=0,"",IF(AND(AT154=1,M154="F",SUMIF(C2:C170,C154,AS2:AS170)&lt;=1),SUMIF(C2:C170,C154,AS2:AS170),IF(AND(AT154=1,M154="F",SUMIF(C2:C170,C154,AS2:AS170)&gt;1),1,"")))</f>
        <v>1</v>
      </c>
      <c r="AV154" s="462" t="str">
        <f>IF(AT154=0,"",IF(AND(AT154=3,M154="F",SUMIF(C2:C170,C154,AS2:AS170)&lt;=1),SUMIF(C2:C170,C154,AS2:AS170),IF(AND(AT154=3,M154="F",SUMIF(C2:C170,C154,AS2:AS170)&gt;1),1,"")))</f>
        <v/>
      </c>
      <c r="AW154" s="462">
        <f>SUMIF(C2:C170,C154,O2:O170)</f>
        <v>1</v>
      </c>
      <c r="AX154" s="462">
        <f>IF(AND(M154="F",AS154&lt;&gt;0),SUMIF(C2:C170,C154,W2:W170),0)</f>
        <v>79872</v>
      </c>
      <c r="AY154" s="462">
        <f t="shared" si="36"/>
        <v>79872</v>
      </c>
      <c r="AZ154" s="462" t="str">
        <f t="shared" si="37"/>
        <v/>
      </c>
      <c r="BA154" s="462">
        <f t="shared" si="38"/>
        <v>0</v>
      </c>
      <c r="BB154" s="462">
        <f>IF(AND(AT154=1,AK154="E",AU154&gt;=0.75,AW154=1),Health,IF(AND(AT154=1,AK154="E",AU154&gt;=0.75),Health*P154,IF(AND(AT154=1,AK154="E",AU154&gt;=0.5,AW154=1),PTHealth,IF(AND(AT154=1,AK154="E",AU154&gt;=0.5),PTHealth*P154,0))))</f>
        <v>11650</v>
      </c>
      <c r="BC154" s="462">
        <f>IF(AND(AT154=3,AK154="E",AV154&gt;=0.75,AW154=1),Health,IF(AND(AT154=3,AK154="E",AV154&gt;=0.75),Health*P154,IF(AND(AT154=3,AK154="E",AV154&gt;=0.5,AW154=1),PTHealth,IF(AND(AT154=3,AK154="E",AV154&gt;=0.5),PTHealth*P154,0))))</f>
        <v>0</v>
      </c>
      <c r="BD154" s="462">
        <f>IF(AND(AT154&lt;&gt;0,AX154&gt;=MAXSSDI),SSDI*MAXSSDI*P154,IF(AT154&lt;&gt;0,SSDI*W154,0))</f>
        <v>4952.0640000000003</v>
      </c>
      <c r="BE154" s="462">
        <f>IF(AT154&lt;&gt;0,SSHI*W154,0)</f>
        <v>1158.144</v>
      </c>
      <c r="BF154" s="462">
        <f>IF(AND(AT154&lt;&gt;0,AN154&lt;&gt;"NE"),VLOOKUP(AN154,Retirement_Rates,3,FALSE)*W154,0)</f>
        <v>9536.7168000000001</v>
      </c>
      <c r="BG154" s="462">
        <f>IF(AND(AT154&lt;&gt;0,AJ154&lt;&gt;"PF"),Life*W154,0)</f>
        <v>575.87711999999999</v>
      </c>
      <c r="BH154" s="462">
        <f>IF(AND(AT154&lt;&gt;0,AM154="Y"),UI*W154,0)</f>
        <v>391.37279999999998</v>
      </c>
      <c r="BI154" s="462">
        <f>IF(AND(AT154&lt;&gt;0,N154&lt;&gt;"NR"),DHR*W154,0)</f>
        <v>442.49088</v>
      </c>
      <c r="BJ154" s="462">
        <f>IF(AT154&lt;&gt;0,WC*W154,0)</f>
        <v>159.744</v>
      </c>
      <c r="BK154" s="462">
        <f>IF(OR(AND(AT154&lt;&gt;0,AJ154&lt;&gt;"PF",AN154&lt;&gt;"NE",AG154&lt;&gt;"A"),AND(AL154="E",OR(AT154=1,AT154=3))),Sick*W154,0)</f>
        <v>0</v>
      </c>
      <c r="BL154" s="462">
        <f t="shared" si="39"/>
        <v>17216.409599999999</v>
      </c>
      <c r="BM154" s="462">
        <f t="shared" si="40"/>
        <v>0</v>
      </c>
      <c r="BN154" s="462">
        <f>IF(AND(AT154=1,AK154="E",AU154&gt;=0.75,AW154=1),HealthBY,IF(AND(AT154=1,AK154="E",AU154&gt;=0.75),HealthBY*P154,IF(AND(AT154=1,AK154="E",AU154&gt;=0.5,AW154=1),PTHealthBY,IF(AND(AT154=1,AK154="E",AU154&gt;=0.5),PTHealthBY*P154,0))))</f>
        <v>11650</v>
      </c>
      <c r="BO154" s="462">
        <f>IF(AND(AT154=3,AK154="E",AV154&gt;=0.75,AW154=1),HealthBY,IF(AND(AT154=3,AK154="E",AV154&gt;=0.75),HealthBY*P154,IF(AND(AT154=3,AK154="E",AV154&gt;=0.5,AW154=1),PTHealthBY,IF(AND(AT154=3,AK154="E",AV154&gt;=0.5),PTHealthBY*P154,0))))</f>
        <v>0</v>
      </c>
      <c r="BP154" s="462">
        <f>IF(AND(AT154&lt;&gt;0,(AX154+BA154)&gt;=MAXSSDIBY),SSDIBY*MAXSSDIBY*P154,IF(AT154&lt;&gt;0,SSDIBY*W154,0))</f>
        <v>4952.0640000000003</v>
      </c>
      <c r="BQ154" s="462">
        <f>IF(AT154&lt;&gt;0,SSHIBY*W154,0)</f>
        <v>1158.144</v>
      </c>
      <c r="BR154" s="462">
        <f>IF(AND(AT154&lt;&gt;0,AN154&lt;&gt;"NE"),VLOOKUP(AN154,Retirement_Rates,4,FALSE)*W154,0)</f>
        <v>9536.7168000000001</v>
      </c>
      <c r="BS154" s="462">
        <f>IF(AND(AT154&lt;&gt;0,AJ154&lt;&gt;"PF"),LifeBY*W154,0)</f>
        <v>575.87711999999999</v>
      </c>
      <c r="BT154" s="462">
        <f>IF(AND(AT154&lt;&gt;0,AM154="Y"),UIBY*W154,0)</f>
        <v>0</v>
      </c>
      <c r="BU154" s="462">
        <f>IF(AND(AT154&lt;&gt;0,N154&lt;&gt;"NR"),DHRBY*W154,0)</f>
        <v>442.49088</v>
      </c>
      <c r="BV154" s="462">
        <f>IF(AT154&lt;&gt;0,WCBY*W154,0)</f>
        <v>135.7824</v>
      </c>
      <c r="BW154" s="462">
        <f>IF(OR(AND(AT154&lt;&gt;0,AJ154&lt;&gt;"PF",AN154&lt;&gt;"NE",AG154&lt;&gt;"A"),AND(AL154="E",OR(AT154=1,AT154=3))),SickBY*W154,0)</f>
        <v>0</v>
      </c>
      <c r="BX154" s="462">
        <f t="shared" si="41"/>
        <v>16801.075199999999</v>
      </c>
      <c r="BY154" s="462">
        <f t="shared" si="42"/>
        <v>0</v>
      </c>
      <c r="BZ154" s="462">
        <f t="shared" si="43"/>
        <v>0</v>
      </c>
      <c r="CA154" s="462">
        <f t="shared" si="44"/>
        <v>0</v>
      </c>
      <c r="CB154" s="462">
        <f t="shared" si="45"/>
        <v>0</v>
      </c>
      <c r="CC154" s="462">
        <f>IF(AT154&lt;&gt;0,SSHICHG*Y154,0)</f>
        <v>0</v>
      </c>
      <c r="CD154" s="462">
        <f>IF(AND(AT154&lt;&gt;0,AN154&lt;&gt;"NE"),VLOOKUP(AN154,Retirement_Rates,5,FALSE)*Y154,0)</f>
        <v>0</v>
      </c>
      <c r="CE154" s="462">
        <f>IF(AND(AT154&lt;&gt;0,AJ154&lt;&gt;"PF"),LifeCHG*Y154,0)</f>
        <v>0</v>
      </c>
      <c r="CF154" s="462">
        <f>IF(AND(AT154&lt;&gt;0,AM154="Y"),UICHG*Y154,0)</f>
        <v>-391.37279999999998</v>
      </c>
      <c r="CG154" s="462">
        <f>IF(AND(AT154&lt;&gt;0,N154&lt;&gt;"NR"),DHRCHG*Y154,0)</f>
        <v>0</v>
      </c>
      <c r="CH154" s="462">
        <f>IF(AT154&lt;&gt;0,WCCHG*Y154,0)</f>
        <v>-23.961600000000011</v>
      </c>
      <c r="CI154" s="462">
        <f>IF(OR(AND(AT154&lt;&gt;0,AJ154&lt;&gt;"PF",AN154&lt;&gt;"NE",AG154&lt;&gt;"A"),AND(AL154="E",OR(AT154=1,AT154=3))),SickCHG*Y154,0)</f>
        <v>0</v>
      </c>
      <c r="CJ154" s="462">
        <f t="shared" si="46"/>
        <v>-415.33440000000002</v>
      </c>
      <c r="CK154" s="462" t="str">
        <f t="shared" si="47"/>
        <v/>
      </c>
      <c r="CL154" s="462" t="str">
        <f t="shared" si="48"/>
        <v/>
      </c>
      <c r="CM154" s="462" t="str">
        <f t="shared" si="49"/>
        <v/>
      </c>
      <c r="CN154" s="462" t="str">
        <f t="shared" si="50"/>
        <v>0450-38</v>
      </c>
    </row>
    <row r="155" spans="1:92" ht="15" thickBot="1" x14ac:dyDescent="0.35">
      <c r="A155" s="376" t="s">
        <v>161</v>
      </c>
      <c r="B155" s="376" t="s">
        <v>162</v>
      </c>
      <c r="C155" s="376" t="s">
        <v>734</v>
      </c>
      <c r="D155" s="376" t="s">
        <v>263</v>
      </c>
      <c r="E155" s="376" t="s">
        <v>314</v>
      </c>
      <c r="F155" s="382" t="s">
        <v>406</v>
      </c>
      <c r="G155" s="376" t="s">
        <v>167</v>
      </c>
      <c r="H155" s="378"/>
      <c r="I155" s="378"/>
      <c r="J155" s="376" t="s">
        <v>168</v>
      </c>
      <c r="K155" s="376" t="s">
        <v>321</v>
      </c>
      <c r="L155" s="376" t="s">
        <v>216</v>
      </c>
      <c r="M155" s="376" t="s">
        <v>171</v>
      </c>
      <c r="N155" s="376" t="s">
        <v>172</v>
      </c>
      <c r="O155" s="379">
        <v>1</v>
      </c>
      <c r="P155" s="460">
        <v>1</v>
      </c>
      <c r="Q155" s="460">
        <v>1</v>
      </c>
      <c r="R155" s="380">
        <v>80</v>
      </c>
      <c r="S155" s="460">
        <v>1</v>
      </c>
      <c r="T155" s="380">
        <v>42120.5</v>
      </c>
      <c r="U155" s="380">
        <v>0</v>
      </c>
      <c r="V155" s="380">
        <v>17131.77</v>
      </c>
      <c r="W155" s="380">
        <v>66310.399999999994</v>
      </c>
      <c r="X155" s="380">
        <v>25943.18</v>
      </c>
      <c r="Y155" s="380">
        <v>66310.399999999994</v>
      </c>
      <c r="Z155" s="380">
        <v>25598.36</v>
      </c>
      <c r="AA155" s="376" t="s">
        <v>735</v>
      </c>
      <c r="AB155" s="376" t="s">
        <v>736</v>
      </c>
      <c r="AC155" s="376" t="s">
        <v>269</v>
      </c>
      <c r="AD155" s="376" t="s">
        <v>180</v>
      </c>
      <c r="AE155" s="376" t="s">
        <v>321</v>
      </c>
      <c r="AF155" s="376" t="s">
        <v>311</v>
      </c>
      <c r="AG155" s="376" t="s">
        <v>178</v>
      </c>
      <c r="AH155" s="381">
        <v>31.88</v>
      </c>
      <c r="AI155" s="379">
        <v>1127</v>
      </c>
      <c r="AJ155" s="376" t="s">
        <v>179</v>
      </c>
      <c r="AK155" s="376" t="s">
        <v>180</v>
      </c>
      <c r="AL155" s="376" t="s">
        <v>181</v>
      </c>
      <c r="AM155" s="376" t="s">
        <v>182</v>
      </c>
      <c r="AN155" s="376" t="s">
        <v>68</v>
      </c>
      <c r="AO155" s="379">
        <v>80</v>
      </c>
      <c r="AP155" s="460">
        <v>1</v>
      </c>
      <c r="AQ155" s="460">
        <v>1</v>
      </c>
      <c r="AR155" s="458" t="s">
        <v>183</v>
      </c>
      <c r="AS155" s="462">
        <f t="shared" si="34"/>
        <v>1</v>
      </c>
      <c r="AT155">
        <f t="shared" si="35"/>
        <v>1</v>
      </c>
      <c r="AU155" s="462">
        <f>IF(AT155=0,"",IF(AND(AT155=1,M155="F",SUMIF(C2:C170,C155,AS2:AS170)&lt;=1),SUMIF(C2:C170,C155,AS2:AS170),IF(AND(AT155=1,M155="F",SUMIF(C2:C170,C155,AS2:AS170)&gt;1),1,"")))</f>
        <v>1</v>
      </c>
      <c r="AV155" s="462" t="str">
        <f>IF(AT155=0,"",IF(AND(AT155=3,M155="F",SUMIF(C2:C170,C155,AS2:AS170)&lt;=1),SUMIF(C2:C170,C155,AS2:AS170),IF(AND(AT155=3,M155="F",SUMIF(C2:C170,C155,AS2:AS170)&gt;1),1,"")))</f>
        <v/>
      </c>
      <c r="AW155" s="462">
        <f>SUMIF(C2:C170,C155,O2:O170)</f>
        <v>1</v>
      </c>
      <c r="AX155" s="462">
        <f>IF(AND(M155="F",AS155&lt;&gt;0),SUMIF(C2:C170,C155,W2:W170),0)</f>
        <v>66310.399999999994</v>
      </c>
      <c r="AY155" s="462">
        <f t="shared" si="36"/>
        <v>66310.399999999994</v>
      </c>
      <c r="AZ155" s="462" t="str">
        <f t="shared" si="37"/>
        <v/>
      </c>
      <c r="BA155" s="462">
        <f t="shared" si="38"/>
        <v>0</v>
      </c>
      <c r="BB155" s="462">
        <f>IF(AND(AT155=1,AK155="E",AU155&gt;=0.75,AW155=1),Health,IF(AND(AT155=1,AK155="E",AU155&gt;=0.75),Health*P155,IF(AND(AT155=1,AK155="E",AU155&gt;=0.5,AW155=1),PTHealth,IF(AND(AT155=1,AK155="E",AU155&gt;=0.5),PTHealth*P155,0))))</f>
        <v>11650</v>
      </c>
      <c r="BC155" s="462">
        <f>IF(AND(AT155=3,AK155="E",AV155&gt;=0.75,AW155=1),Health,IF(AND(AT155=3,AK155="E",AV155&gt;=0.75),Health*P155,IF(AND(AT155=3,AK155="E",AV155&gt;=0.5,AW155=1),PTHealth,IF(AND(AT155=3,AK155="E",AV155&gt;=0.5),PTHealth*P155,0))))</f>
        <v>0</v>
      </c>
      <c r="BD155" s="462">
        <f>IF(AND(AT155&lt;&gt;0,AX155&gt;=MAXSSDI),SSDI*MAXSSDI*P155,IF(AT155&lt;&gt;0,SSDI*W155,0))</f>
        <v>4111.2447999999995</v>
      </c>
      <c r="BE155" s="462">
        <f>IF(AT155&lt;&gt;0,SSHI*W155,0)</f>
        <v>961.50079999999991</v>
      </c>
      <c r="BF155" s="462">
        <f>IF(AND(AT155&lt;&gt;0,AN155&lt;&gt;"NE"),VLOOKUP(AN155,Retirement_Rates,3,FALSE)*W155,0)</f>
        <v>7917.4617600000001</v>
      </c>
      <c r="BG155" s="462">
        <f>IF(AND(AT155&lt;&gt;0,AJ155&lt;&gt;"PF"),Life*W155,0)</f>
        <v>478.097984</v>
      </c>
      <c r="BH155" s="462">
        <f>IF(AND(AT155&lt;&gt;0,AM155="Y"),UI*W155,0)</f>
        <v>324.92095999999998</v>
      </c>
      <c r="BI155" s="462">
        <f>IF(AND(AT155&lt;&gt;0,N155&lt;&gt;"NR"),DHR*W155,0)</f>
        <v>367.35961599999996</v>
      </c>
      <c r="BJ155" s="462">
        <f>IF(AT155&lt;&gt;0,WC*W155,0)</f>
        <v>132.6208</v>
      </c>
      <c r="BK155" s="462">
        <f>IF(OR(AND(AT155&lt;&gt;0,AJ155&lt;&gt;"PF",AN155&lt;&gt;"NE",AG155&lt;&gt;"A"),AND(AL155="E",OR(AT155=1,AT155=3))),Sick*W155,0)</f>
        <v>0</v>
      </c>
      <c r="BL155" s="462">
        <f t="shared" si="39"/>
        <v>14293.20672</v>
      </c>
      <c r="BM155" s="462">
        <f t="shared" si="40"/>
        <v>0</v>
      </c>
      <c r="BN155" s="462">
        <f>IF(AND(AT155=1,AK155="E",AU155&gt;=0.75,AW155=1),HealthBY,IF(AND(AT155=1,AK155="E",AU155&gt;=0.75),HealthBY*P155,IF(AND(AT155=1,AK155="E",AU155&gt;=0.5,AW155=1),PTHealthBY,IF(AND(AT155=1,AK155="E",AU155&gt;=0.5),PTHealthBY*P155,0))))</f>
        <v>11650</v>
      </c>
      <c r="BO155" s="462">
        <f>IF(AND(AT155=3,AK155="E",AV155&gt;=0.75,AW155=1),HealthBY,IF(AND(AT155=3,AK155="E",AV155&gt;=0.75),HealthBY*P155,IF(AND(AT155=3,AK155="E",AV155&gt;=0.5,AW155=1),PTHealthBY,IF(AND(AT155=3,AK155="E",AV155&gt;=0.5),PTHealthBY*P155,0))))</f>
        <v>0</v>
      </c>
      <c r="BP155" s="462">
        <f>IF(AND(AT155&lt;&gt;0,(AX155+BA155)&gt;=MAXSSDIBY),SSDIBY*MAXSSDIBY*P155,IF(AT155&lt;&gt;0,SSDIBY*W155,0))</f>
        <v>4111.2447999999995</v>
      </c>
      <c r="BQ155" s="462">
        <f>IF(AT155&lt;&gt;0,SSHIBY*W155,0)</f>
        <v>961.50079999999991</v>
      </c>
      <c r="BR155" s="462">
        <f>IF(AND(AT155&lt;&gt;0,AN155&lt;&gt;"NE"),VLOOKUP(AN155,Retirement_Rates,4,FALSE)*W155,0)</f>
        <v>7917.4617600000001</v>
      </c>
      <c r="BS155" s="462">
        <f>IF(AND(AT155&lt;&gt;0,AJ155&lt;&gt;"PF"),LifeBY*W155,0)</f>
        <v>478.097984</v>
      </c>
      <c r="BT155" s="462">
        <f>IF(AND(AT155&lt;&gt;0,AM155="Y"),UIBY*W155,0)</f>
        <v>0</v>
      </c>
      <c r="BU155" s="462">
        <f>IF(AND(AT155&lt;&gt;0,N155&lt;&gt;"NR"),DHRBY*W155,0)</f>
        <v>367.35961599999996</v>
      </c>
      <c r="BV155" s="462">
        <f>IF(AT155&lt;&gt;0,WCBY*W155,0)</f>
        <v>112.72767999999998</v>
      </c>
      <c r="BW155" s="462">
        <f>IF(OR(AND(AT155&lt;&gt;0,AJ155&lt;&gt;"PF",AN155&lt;&gt;"NE",AG155&lt;&gt;"A"),AND(AL155="E",OR(AT155=1,AT155=3))),SickBY*W155,0)</f>
        <v>0</v>
      </c>
      <c r="BX155" s="462">
        <f t="shared" si="41"/>
        <v>13948.39264</v>
      </c>
      <c r="BY155" s="462">
        <f t="shared" si="42"/>
        <v>0</v>
      </c>
      <c r="BZ155" s="462">
        <f t="shared" si="43"/>
        <v>0</v>
      </c>
      <c r="CA155" s="462">
        <f t="shared" si="44"/>
        <v>0</v>
      </c>
      <c r="CB155" s="462">
        <f t="shared" si="45"/>
        <v>0</v>
      </c>
      <c r="CC155" s="462">
        <f>IF(AT155&lt;&gt;0,SSHICHG*Y155,0)</f>
        <v>0</v>
      </c>
      <c r="CD155" s="462">
        <f>IF(AND(AT155&lt;&gt;0,AN155&lt;&gt;"NE"),VLOOKUP(AN155,Retirement_Rates,5,FALSE)*Y155,0)</f>
        <v>0</v>
      </c>
      <c r="CE155" s="462">
        <f>IF(AND(AT155&lt;&gt;0,AJ155&lt;&gt;"PF"),LifeCHG*Y155,0)</f>
        <v>0</v>
      </c>
      <c r="CF155" s="462">
        <f>IF(AND(AT155&lt;&gt;0,AM155="Y"),UICHG*Y155,0)</f>
        <v>-324.92095999999998</v>
      </c>
      <c r="CG155" s="462">
        <f>IF(AND(AT155&lt;&gt;0,N155&lt;&gt;"NR"),DHRCHG*Y155,0)</f>
        <v>0</v>
      </c>
      <c r="CH155" s="462">
        <f>IF(AT155&lt;&gt;0,WCCHG*Y155,0)</f>
        <v>-19.893120000000007</v>
      </c>
      <c r="CI155" s="462">
        <f>IF(OR(AND(AT155&lt;&gt;0,AJ155&lt;&gt;"PF",AN155&lt;&gt;"NE",AG155&lt;&gt;"A"),AND(AL155="E",OR(AT155=1,AT155=3))),SickCHG*Y155,0)</f>
        <v>0</v>
      </c>
      <c r="CJ155" s="462">
        <f t="shared" si="46"/>
        <v>-344.81407999999999</v>
      </c>
      <c r="CK155" s="462" t="str">
        <f t="shared" si="47"/>
        <v/>
      </c>
      <c r="CL155" s="462" t="str">
        <f t="shared" si="48"/>
        <v/>
      </c>
      <c r="CM155" s="462" t="str">
        <f t="shared" si="49"/>
        <v/>
      </c>
      <c r="CN155" s="462" t="str">
        <f t="shared" si="50"/>
        <v>0450-38</v>
      </c>
    </row>
    <row r="156" spans="1:92" ht="15" thickBot="1" x14ac:dyDescent="0.35">
      <c r="A156" s="376" t="s">
        <v>161</v>
      </c>
      <c r="B156" s="376" t="s">
        <v>162</v>
      </c>
      <c r="C156" s="376" t="s">
        <v>330</v>
      </c>
      <c r="D156" s="376" t="s">
        <v>313</v>
      </c>
      <c r="E156" s="376" t="s">
        <v>314</v>
      </c>
      <c r="F156" s="382" t="s">
        <v>406</v>
      </c>
      <c r="G156" s="376" t="s">
        <v>167</v>
      </c>
      <c r="H156" s="378"/>
      <c r="I156" s="378"/>
      <c r="J156" s="376" t="s">
        <v>168</v>
      </c>
      <c r="K156" s="376" t="s">
        <v>316</v>
      </c>
      <c r="L156" s="376" t="s">
        <v>216</v>
      </c>
      <c r="M156" s="376" t="s">
        <v>171</v>
      </c>
      <c r="N156" s="376" t="s">
        <v>172</v>
      </c>
      <c r="O156" s="379">
        <v>1</v>
      </c>
      <c r="P156" s="460">
        <v>1</v>
      </c>
      <c r="Q156" s="460">
        <v>1</v>
      </c>
      <c r="R156" s="380">
        <v>80</v>
      </c>
      <c r="S156" s="460">
        <v>1</v>
      </c>
      <c r="T156" s="380">
        <v>66292.899999999994</v>
      </c>
      <c r="U156" s="380">
        <v>0</v>
      </c>
      <c r="V156" s="380">
        <v>25268.86</v>
      </c>
      <c r="W156" s="380">
        <v>64792</v>
      </c>
      <c r="X156" s="380">
        <v>25615.89</v>
      </c>
      <c r="Y156" s="380">
        <v>64792</v>
      </c>
      <c r="Z156" s="380">
        <v>25278.97</v>
      </c>
      <c r="AA156" s="376" t="s">
        <v>331</v>
      </c>
      <c r="AB156" s="376" t="s">
        <v>332</v>
      </c>
      <c r="AC156" s="376" t="s">
        <v>333</v>
      </c>
      <c r="AD156" s="376" t="s">
        <v>334</v>
      </c>
      <c r="AE156" s="376" t="s">
        <v>316</v>
      </c>
      <c r="AF156" s="376" t="s">
        <v>311</v>
      </c>
      <c r="AG156" s="376" t="s">
        <v>178</v>
      </c>
      <c r="AH156" s="381">
        <v>31.15</v>
      </c>
      <c r="AI156" s="381">
        <v>6266.2</v>
      </c>
      <c r="AJ156" s="376" t="s">
        <v>179</v>
      </c>
      <c r="AK156" s="376" t="s">
        <v>180</v>
      </c>
      <c r="AL156" s="376" t="s">
        <v>181</v>
      </c>
      <c r="AM156" s="376" t="s">
        <v>182</v>
      </c>
      <c r="AN156" s="376" t="s">
        <v>68</v>
      </c>
      <c r="AO156" s="379">
        <v>80</v>
      </c>
      <c r="AP156" s="460">
        <v>1</v>
      </c>
      <c r="AQ156" s="460">
        <v>1</v>
      </c>
      <c r="AR156" s="458" t="s">
        <v>183</v>
      </c>
      <c r="AS156" s="462">
        <f t="shared" si="34"/>
        <v>1</v>
      </c>
      <c r="AT156">
        <f t="shared" si="35"/>
        <v>1</v>
      </c>
      <c r="AU156" s="462">
        <f>IF(AT156=0,"",IF(AND(AT156=1,M156="F",SUMIF(C2:C170,C156,AS2:AS170)&lt;=1),SUMIF(C2:C170,C156,AS2:AS170),IF(AND(AT156=1,M156="F",SUMIF(C2:C170,C156,AS2:AS170)&gt;1),1,"")))</f>
        <v>1</v>
      </c>
      <c r="AV156" s="462" t="str">
        <f>IF(AT156=0,"",IF(AND(AT156=3,M156="F",SUMIF(C2:C170,C156,AS2:AS170)&lt;=1),SUMIF(C2:C170,C156,AS2:AS170),IF(AND(AT156=3,M156="F",SUMIF(C2:C170,C156,AS2:AS170)&gt;1),1,"")))</f>
        <v/>
      </c>
      <c r="AW156" s="462">
        <f>SUMIF(C2:C170,C156,O2:O170)</f>
        <v>2</v>
      </c>
      <c r="AX156" s="462">
        <f>IF(AND(M156="F",AS156&lt;&gt;0),SUMIF(C2:C170,C156,W2:W170),0)</f>
        <v>64792</v>
      </c>
      <c r="AY156" s="462">
        <f t="shared" si="36"/>
        <v>64792</v>
      </c>
      <c r="AZ156" s="462" t="str">
        <f t="shared" si="37"/>
        <v/>
      </c>
      <c r="BA156" s="462">
        <f t="shared" si="38"/>
        <v>0</v>
      </c>
      <c r="BB156" s="462">
        <f>IF(AND(AT156=1,AK156="E",AU156&gt;=0.75,AW156=1),Health,IF(AND(AT156=1,AK156="E",AU156&gt;=0.75),Health*P156,IF(AND(AT156=1,AK156="E",AU156&gt;=0.5,AW156=1),PTHealth,IF(AND(AT156=1,AK156="E",AU156&gt;=0.5),PTHealth*P156,0))))</f>
        <v>11650</v>
      </c>
      <c r="BC156" s="462">
        <f>IF(AND(AT156=3,AK156="E",AV156&gt;=0.75,AW156=1),Health,IF(AND(AT156=3,AK156="E",AV156&gt;=0.75),Health*P156,IF(AND(AT156=3,AK156="E",AV156&gt;=0.5,AW156=1),PTHealth,IF(AND(AT156=3,AK156="E",AV156&gt;=0.5),PTHealth*P156,0))))</f>
        <v>0</v>
      </c>
      <c r="BD156" s="462">
        <f>IF(AND(AT156&lt;&gt;0,AX156&gt;=MAXSSDI),SSDI*MAXSSDI*P156,IF(AT156&lt;&gt;0,SSDI*W156,0))</f>
        <v>4017.1039999999998</v>
      </c>
      <c r="BE156" s="462">
        <f>IF(AT156&lt;&gt;0,SSHI*W156,0)</f>
        <v>939.48400000000004</v>
      </c>
      <c r="BF156" s="462">
        <f>IF(AND(AT156&lt;&gt;0,AN156&lt;&gt;"NE"),VLOOKUP(AN156,Retirement_Rates,3,FALSE)*W156,0)</f>
        <v>7736.1648000000005</v>
      </c>
      <c r="BG156" s="462">
        <f>IF(AND(AT156&lt;&gt;0,AJ156&lt;&gt;"PF"),Life*W156,0)</f>
        <v>467.15032000000002</v>
      </c>
      <c r="BH156" s="462">
        <f>IF(AND(AT156&lt;&gt;0,AM156="Y"),UI*W156,0)</f>
        <v>317.48079999999999</v>
      </c>
      <c r="BI156" s="462">
        <f>IF(AND(AT156&lt;&gt;0,N156&lt;&gt;"NR"),DHR*W156,0)</f>
        <v>358.94767999999999</v>
      </c>
      <c r="BJ156" s="462">
        <f>IF(AT156&lt;&gt;0,WC*W156,0)</f>
        <v>129.584</v>
      </c>
      <c r="BK156" s="462">
        <f>IF(OR(AND(AT156&lt;&gt;0,AJ156&lt;&gt;"PF",AN156&lt;&gt;"NE",AG156&lt;&gt;"A"),AND(AL156="E",OR(AT156=1,AT156=3))),Sick*W156,0)</f>
        <v>0</v>
      </c>
      <c r="BL156" s="462">
        <f t="shared" si="39"/>
        <v>13965.9156</v>
      </c>
      <c r="BM156" s="462">
        <f t="shared" si="40"/>
        <v>0</v>
      </c>
      <c r="BN156" s="462">
        <f>IF(AND(AT156=1,AK156="E",AU156&gt;=0.75,AW156=1),HealthBY,IF(AND(AT156=1,AK156="E",AU156&gt;=0.75),HealthBY*P156,IF(AND(AT156=1,AK156="E",AU156&gt;=0.5,AW156=1),PTHealthBY,IF(AND(AT156=1,AK156="E",AU156&gt;=0.5),PTHealthBY*P156,0))))</f>
        <v>11650</v>
      </c>
      <c r="BO156" s="462">
        <f>IF(AND(AT156=3,AK156="E",AV156&gt;=0.75,AW156=1),HealthBY,IF(AND(AT156=3,AK156="E",AV156&gt;=0.75),HealthBY*P156,IF(AND(AT156=3,AK156="E",AV156&gt;=0.5,AW156=1),PTHealthBY,IF(AND(AT156=3,AK156="E",AV156&gt;=0.5),PTHealthBY*P156,0))))</f>
        <v>0</v>
      </c>
      <c r="BP156" s="462">
        <f>IF(AND(AT156&lt;&gt;0,(AX156+BA156)&gt;=MAXSSDIBY),SSDIBY*MAXSSDIBY*P156,IF(AT156&lt;&gt;0,SSDIBY*W156,0))</f>
        <v>4017.1039999999998</v>
      </c>
      <c r="BQ156" s="462">
        <f>IF(AT156&lt;&gt;0,SSHIBY*W156,0)</f>
        <v>939.48400000000004</v>
      </c>
      <c r="BR156" s="462">
        <f>IF(AND(AT156&lt;&gt;0,AN156&lt;&gt;"NE"),VLOOKUP(AN156,Retirement_Rates,4,FALSE)*W156,0)</f>
        <v>7736.1648000000005</v>
      </c>
      <c r="BS156" s="462">
        <f>IF(AND(AT156&lt;&gt;0,AJ156&lt;&gt;"PF"),LifeBY*W156,0)</f>
        <v>467.15032000000002</v>
      </c>
      <c r="BT156" s="462">
        <f>IF(AND(AT156&lt;&gt;0,AM156="Y"),UIBY*W156,0)</f>
        <v>0</v>
      </c>
      <c r="BU156" s="462">
        <f>IF(AND(AT156&lt;&gt;0,N156&lt;&gt;"NR"),DHRBY*W156,0)</f>
        <v>358.94767999999999</v>
      </c>
      <c r="BV156" s="462">
        <f>IF(AT156&lt;&gt;0,WCBY*W156,0)</f>
        <v>110.1464</v>
      </c>
      <c r="BW156" s="462">
        <f>IF(OR(AND(AT156&lt;&gt;0,AJ156&lt;&gt;"PF",AN156&lt;&gt;"NE",AG156&lt;&gt;"A"),AND(AL156="E",OR(AT156=1,AT156=3))),SickBY*W156,0)</f>
        <v>0</v>
      </c>
      <c r="BX156" s="462">
        <f t="shared" si="41"/>
        <v>13628.9972</v>
      </c>
      <c r="BY156" s="462">
        <f t="shared" si="42"/>
        <v>0</v>
      </c>
      <c r="BZ156" s="462">
        <f t="shared" si="43"/>
        <v>0</v>
      </c>
      <c r="CA156" s="462">
        <f t="shared" si="44"/>
        <v>0</v>
      </c>
      <c r="CB156" s="462">
        <f t="shared" si="45"/>
        <v>0</v>
      </c>
      <c r="CC156" s="462">
        <f>IF(AT156&lt;&gt;0,SSHICHG*Y156,0)</f>
        <v>0</v>
      </c>
      <c r="CD156" s="462">
        <f>IF(AND(AT156&lt;&gt;0,AN156&lt;&gt;"NE"),VLOOKUP(AN156,Retirement_Rates,5,FALSE)*Y156,0)</f>
        <v>0</v>
      </c>
      <c r="CE156" s="462">
        <f>IF(AND(AT156&lt;&gt;0,AJ156&lt;&gt;"PF"),LifeCHG*Y156,0)</f>
        <v>0</v>
      </c>
      <c r="CF156" s="462">
        <f>IF(AND(AT156&lt;&gt;0,AM156="Y"),UICHG*Y156,0)</f>
        <v>-317.48079999999999</v>
      </c>
      <c r="CG156" s="462">
        <f>IF(AND(AT156&lt;&gt;0,N156&lt;&gt;"NR"),DHRCHG*Y156,0)</f>
        <v>0</v>
      </c>
      <c r="CH156" s="462">
        <f>IF(AT156&lt;&gt;0,WCCHG*Y156,0)</f>
        <v>-19.43760000000001</v>
      </c>
      <c r="CI156" s="462">
        <f>IF(OR(AND(AT156&lt;&gt;0,AJ156&lt;&gt;"PF",AN156&lt;&gt;"NE",AG156&lt;&gt;"A"),AND(AL156="E",OR(AT156=1,AT156=3))),SickCHG*Y156,0)</f>
        <v>0</v>
      </c>
      <c r="CJ156" s="462">
        <f t="shared" si="46"/>
        <v>-336.91840000000002</v>
      </c>
      <c r="CK156" s="462" t="str">
        <f t="shared" si="47"/>
        <v/>
      </c>
      <c r="CL156" s="462" t="str">
        <f t="shared" si="48"/>
        <v/>
      </c>
      <c r="CM156" s="462" t="str">
        <f t="shared" si="49"/>
        <v/>
      </c>
      <c r="CN156" s="462" t="str">
        <f t="shared" si="50"/>
        <v>0450-38</v>
      </c>
    </row>
    <row r="157" spans="1:92" ht="15" thickBot="1" x14ac:dyDescent="0.35">
      <c r="A157" s="376" t="s">
        <v>161</v>
      </c>
      <c r="B157" s="376" t="s">
        <v>162</v>
      </c>
      <c r="C157" s="376" t="s">
        <v>737</v>
      </c>
      <c r="D157" s="376" t="s">
        <v>313</v>
      </c>
      <c r="E157" s="376" t="s">
        <v>314</v>
      </c>
      <c r="F157" s="382" t="s">
        <v>406</v>
      </c>
      <c r="G157" s="376" t="s">
        <v>167</v>
      </c>
      <c r="H157" s="378"/>
      <c r="I157" s="378"/>
      <c r="J157" s="376" t="s">
        <v>168</v>
      </c>
      <c r="K157" s="376" t="s">
        <v>316</v>
      </c>
      <c r="L157" s="376" t="s">
        <v>216</v>
      </c>
      <c r="M157" s="376" t="s">
        <v>353</v>
      </c>
      <c r="N157" s="376" t="s">
        <v>172</v>
      </c>
      <c r="O157" s="379">
        <v>0</v>
      </c>
      <c r="P157" s="460">
        <v>0</v>
      </c>
      <c r="Q157" s="460">
        <v>0</v>
      </c>
      <c r="R157" s="380">
        <v>80</v>
      </c>
      <c r="S157" s="460">
        <v>0</v>
      </c>
      <c r="T157" s="380">
        <v>8335.2800000000007</v>
      </c>
      <c r="U157" s="380">
        <v>0</v>
      </c>
      <c r="V157" s="380">
        <v>674.24</v>
      </c>
      <c r="W157" s="380">
        <v>0</v>
      </c>
      <c r="X157" s="380">
        <v>0</v>
      </c>
      <c r="Y157" s="380">
        <v>0</v>
      </c>
      <c r="Z157" s="380">
        <v>0</v>
      </c>
      <c r="AA157" s="378"/>
      <c r="AB157" s="378"/>
      <c r="AC157" s="378"/>
      <c r="AD157" s="378"/>
      <c r="AE157" s="378"/>
      <c r="AF157" s="378"/>
      <c r="AG157" s="378"/>
      <c r="AH157" s="379">
        <v>0</v>
      </c>
      <c r="AI157" s="379">
        <v>0</v>
      </c>
      <c r="AJ157" s="378"/>
      <c r="AK157" s="378"/>
      <c r="AL157" s="376" t="s">
        <v>181</v>
      </c>
      <c r="AM157" s="378"/>
      <c r="AN157" s="378"/>
      <c r="AO157" s="379">
        <v>0</v>
      </c>
      <c r="AP157" s="460">
        <v>0</v>
      </c>
      <c r="AQ157" s="460">
        <v>0</v>
      </c>
      <c r="AR157" s="459"/>
      <c r="AS157" s="462">
        <f t="shared" si="34"/>
        <v>0</v>
      </c>
      <c r="AT157">
        <f t="shared" si="35"/>
        <v>0</v>
      </c>
      <c r="AU157" s="462" t="str">
        <f>IF(AT157=0,"",IF(AND(AT157=1,M157="F",SUMIF(C2:C170,C157,AS2:AS170)&lt;=1),SUMIF(C2:C170,C157,AS2:AS170),IF(AND(AT157=1,M157="F",SUMIF(C2:C170,C157,AS2:AS170)&gt;1),1,"")))</f>
        <v/>
      </c>
      <c r="AV157" s="462" t="str">
        <f>IF(AT157=0,"",IF(AND(AT157=3,M157="F",SUMIF(C2:C170,C157,AS2:AS170)&lt;=1),SUMIF(C2:C170,C157,AS2:AS170),IF(AND(AT157=3,M157="F",SUMIF(C2:C170,C157,AS2:AS170)&gt;1),1,"")))</f>
        <v/>
      </c>
      <c r="AW157" s="462">
        <f>SUMIF(C2:C170,C157,O2:O170)</f>
        <v>0</v>
      </c>
      <c r="AX157" s="462">
        <f>IF(AND(M157="F",AS157&lt;&gt;0),SUMIF(C2:C170,C157,W2:W170),0)</f>
        <v>0</v>
      </c>
      <c r="AY157" s="462" t="str">
        <f t="shared" si="36"/>
        <v/>
      </c>
      <c r="AZ157" s="462" t="str">
        <f t="shared" si="37"/>
        <v/>
      </c>
      <c r="BA157" s="462">
        <f t="shared" si="38"/>
        <v>0</v>
      </c>
      <c r="BB157" s="462">
        <f>IF(AND(AT157=1,AK157="E",AU157&gt;=0.75,AW157=1),Health,IF(AND(AT157=1,AK157="E",AU157&gt;=0.75),Health*P157,IF(AND(AT157=1,AK157="E",AU157&gt;=0.5,AW157=1),PTHealth,IF(AND(AT157=1,AK157="E",AU157&gt;=0.5),PTHealth*P157,0))))</f>
        <v>0</v>
      </c>
      <c r="BC157" s="462">
        <f>IF(AND(AT157=3,AK157="E",AV157&gt;=0.75,AW157=1),Health,IF(AND(AT157=3,AK157="E",AV157&gt;=0.75),Health*P157,IF(AND(AT157=3,AK157="E",AV157&gt;=0.5,AW157=1),PTHealth,IF(AND(AT157=3,AK157="E",AV157&gt;=0.5),PTHealth*P157,0))))</f>
        <v>0</v>
      </c>
      <c r="BD157" s="462">
        <f>IF(AND(AT157&lt;&gt;0,AX157&gt;=MAXSSDI),SSDI*MAXSSDI*P157,IF(AT157&lt;&gt;0,SSDI*W157,0))</f>
        <v>0</v>
      </c>
      <c r="BE157" s="462">
        <f>IF(AT157&lt;&gt;0,SSHI*W157,0)</f>
        <v>0</v>
      </c>
      <c r="BF157" s="462">
        <f>IF(AND(AT157&lt;&gt;0,AN157&lt;&gt;"NE"),VLOOKUP(AN157,Retirement_Rates,3,FALSE)*W157,0)</f>
        <v>0</v>
      </c>
      <c r="BG157" s="462">
        <f>IF(AND(AT157&lt;&gt;0,AJ157&lt;&gt;"PF"),Life*W157,0)</f>
        <v>0</v>
      </c>
      <c r="BH157" s="462">
        <f>IF(AND(AT157&lt;&gt;0,AM157="Y"),UI*W157,0)</f>
        <v>0</v>
      </c>
      <c r="BI157" s="462">
        <f>IF(AND(AT157&lt;&gt;0,N157&lt;&gt;"NR"),DHR*W157,0)</f>
        <v>0</v>
      </c>
      <c r="BJ157" s="462">
        <f>IF(AT157&lt;&gt;0,WC*W157,0)</f>
        <v>0</v>
      </c>
      <c r="BK157" s="462">
        <f>IF(OR(AND(AT157&lt;&gt;0,AJ157&lt;&gt;"PF",AN157&lt;&gt;"NE",AG157&lt;&gt;"A"),AND(AL157="E",OR(AT157=1,AT157=3))),Sick*W157,0)</f>
        <v>0</v>
      </c>
      <c r="BL157" s="462">
        <f t="shared" si="39"/>
        <v>0</v>
      </c>
      <c r="BM157" s="462">
        <f t="shared" si="40"/>
        <v>0</v>
      </c>
      <c r="BN157" s="462">
        <f>IF(AND(AT157=1,AK157="E",AU157&gt;=0.75,AW157=1),HealthBY,IF(AND(AT157=1,AK157="E",AU157&gt;=0.75),HealthBY*P157,IF(AND(AT157=1,AK157="E",AU157&gt;=0.5,AW157=1),PTHealthBY,IF(AND(AT157=1,AK157="E",AU157&gt;=0.5),PTHealthBY*P157,0))))</f>
        <v>0</v>
      </c>
      <c r="BO157" s="462">
        <f>IF(AND(AT157=3,AK157="E",AV157&gt;=0.75,AW157=1),HealthBY,IF(AND(AT157=3,AK157="E",AV157&gt;=0.75),HealthBY*P157,IF(AND(AT157=3,AK157="E",AV157&gt;=0.5,AW157=1),PTHealthBY,IF(AND(AT157=3,AK157="E",AV157&gt;=0.5),PTHealthBY*P157,0))))</f>
        <v>0</v>
      </c>
      <c r="BP157" s="462">
        <f>IF(AND(AT157&lt;&gt;0,(AX157+BA157)&gt;=MAXSSDIBY),SSDIBY*MAXSSDIBY*P157,IF(AT157&lt;&gt;0,SSDIBY*W157,0))</f>
        <v>0</v>
      </c>
      <c r="BQ157" s="462">
        <f>IF(AT157&lt;&gt;0,SSHIBY*W157,0)</f>
        <v>0</v>
      </c>
      <c r="BR157" s="462">
        <f>IF(AND(AT157&lt;&gt;0,AN157&lt;&gt;"NE"),VLOOKUP(AN157,Retirement_Rates,4,FALSE)*W157,0)</f>
        <v>0</v>
      </c>
      <c r="BS157" s="462">
        <f>IF(AND(AT157&lt;&gt;0,AJ157&lt;&gt;"PF"),LifeBY*W157,0)</f>
        <v>0</v>
      </c>
      <c r="BT157" s="462">
        <f>IF(AND(AT157&lt;&gt;0,AM157="Y"),UIBY*W157,0)</f>
        <v>0</v>
      </c>
      <c r="BU157" s="462">
        <f>IF(AND(AT157&lt;&gt;0,N157&lt;&gt;"NR"),DHRBY*W157,0)</f>
        <v>0</v>
      </c>
      <c r="BV157" s="462">
        <f>IF(AT157&lt;&gt;0,WCBY*W157,0)</f>
        <v>0</v>
      </c>
      <c r="BW157" s="462">
        <f>IF(OR(AND(AT157&lt;&gt;0,AJ157&lt;&gt;"PF",AN157&lt;&gt;"NE",AG157&lt;&gt;"A"),AND(AL157="E",OR(AT157=1,AT157=3))),SickBY*W157,0)</f>
        <v>0</v>
      </c>
      <c r="BX157" s="462">
        <f t="shared" si="41"/>
        <v>0</v>
      </c>
      <c r="BY157" s="462">
        <f t="shared" si="42"/>
        <v>0</v>
      </c>
      <c r="BZ157" s="462">
        <f t="shared" si="43"/>
        <v>0</v>
      </c>
      <c r="CA157" s="462">
        <f t="shared" si="44"/>
        <v>0</v>
      </c>
      <c r="CB157" s="462">
        <f t="shared" si="45"/>
        <v>0</v>
      </c>
      <c r="CC157" s="462">
        <f>IF(AT157&lt;&gt;0,SSHICHG*Y157,0)</f>
        <v>0</v>
      </c>
      <c r="CD157" s="462">
        <f>IF(AND(AT157&lt;&gt;0,AN157&lt;&gt;"NE"),VLOOKUP(AN157,Retirement_Rates,5,FALSE)*Y157,0)</f>
        <v>0</v>
      </c>
      <c r="CE157" s="462">
        <f>IF(AND(AT157&lt;&gt;0,AJ157&lt;&gt;"PF"),LifeCHG*Y157,0)</f>
        <v>0</v>
      </c>
      <c r="CF157" s="462">
        <f>IF(AND(AT157&lt;&gt;0,AM157="Y"),UICHG*Y157,0)</f>
        <v>0</v>
      </c>
      <c r="CG157" s="462">
        <f>IF(AND(AT157&lt;&gt;0,N157&lt;&gt;"NR"),DHRCHG*Y157,0)</f>
        <v>0</v>
      </c>
      <c r="CH157" s="462">
        <f>IF(AT157&lt;&gt;0,WCCHG*Y157,0)</f>
        <v>0</v>
      </c>
      <c r="CI157" s="462">
        <f>IF(OR(AND(AT157&lt;&gt;0,AJ157&lt;&gt;"PF",AN157&lt;&gt;"NE",AG157&lt;&gt;"A"),AND(AL157="E",OR(AT157=1,AT157=3))),SickCHG*Y157,0)</f>
        <v>0</v>
      </c>
      <c r="CJ157" s="462">
        <f t="shared" si="46"/>
        <v>0</v>
      </c>
      <c r="CK157" s="462" t="str">
        <f t="shared" si="47"/>
        <v/>
      </c>
      <c r="CL157" s="462" t="str">
        <f t="shared" si="48"/>
        <v/>
      </c>
      <c r="CM157" s="462" t="str">
        <f t="shared" si="49"/>
        <v/>
      </c>
      <c r="CN157" s="462" t="str">
        <f t="shared" si="50"/>
        <v>0450-38</v>
      </c>
    </row>
    <row r="158" spans="1:92" ht="15" thickBot="1" x14ac:dyDescent="0.35">
      <c r="A158" s="376" t="s">
        <v>161</v>
      </c>
      <c r="B158" s="376" t="s">
        <v>162</v>
      </c>
      <c r="C158" s="376" t="s">
        <v>738</v>
      </c>
      <c r="D158" s="376" t="s">
        <v>263</v>
      </c>
      <c r="E158" s="376" t="s">
        <v>314</v>
      </c>
      <c r="F158" s="382" t="s">
        <v>406</v>
      </c>
      <c r="G158" s="376" t="s">
        <v>167</v>
      </c>
      <c r="H158" s="378"/>
      <c r="I158" s="378"/>
      <c r="J158" s="376" t="s">
        <v>168</v>
      </c>
      <c r="K158" s="376" t="s">
        <v>321</v>
      </c>
      <c r="L158" s="376" t="s">
        <v>216</v>
      </c>
      <c r="M158" s="376" t="s">
        <v>171</v>
      </c>
      <c r="N158" s="376" t="s">
        <v>172</v>
      </c>
      <c r="O158" s="379">
        <v>1</v>
      </c>
      <c r="P158" s="460">
        <v>1</v>
      </c>
      <c r="Q158" s="460">
        <v>1</v>
      </c>
      <c r="R158" s="380">
        <v>80</v>
      </c>
      <c r="S158" s="460">
        <v>1</v>
      </c>
      <c r="T158" s="380">
        <v>67447.179999999993</v>
      </c>
      <c r="U158" s="380">
        <v>0</v>
      </c>
      <c r="V158" s="380">
        <v>25590.560000000001</v>
      </c>
      <c r="W158" s="380">
        <v>65956.800000000003</v>
      </c>
      <c r="X158" s="380">
        <v>25866.959999999999</v>
      </c>
      <c r="Y158" s="380">
        <v>65956.800000000003</v>
      </c>
      <c r="Z158" s="380">
        <v>25523.99</v>
      </c>
      <c r="AA158" s="376" t="s">
        <v>739</v>
      </c>
      <c r="AB158" s="376" t="s">
        <v>740</v>
      </c>
      <c r="AC158" s="376" t="s">
        <v>741</v>
      </c>
      <c r="AD158" s="376" t="s">
        <v>742</v>
      </c>
      <c r="AE158" s="376" t="s">
        <v>321</v>
      </c>
      <c r="AF158" s="376" t="s">
        <v>311</v>
      </c>
      <c r="AG158" s="376" t="s">
        <v>178</v>
      </c>
      <c r="AH158" s="381">
        <v>31.71</v>
      </c>
      <c r="AI158" s="381">
        <v>7041.9</v>
      </c>
      <c r="AJ158" s="376" t="s">
        <v>179</v>
      </c>
      <c r="AK158" s="376" t="s">
        <v>180</v>
      </c>
      <c r="AL158" s="376" t="s">
        <v>181</v>
      </c>
      <c r="AM158" s="376" t="s">
        <v>182</v>
      </c>
      <c r="AN158" s="376" t="s">
        <v>68</v>
      </c>
      <c r="AO158" s="379">
        <v>80</v>
      </c>
      <c r="AP158" s="460">
        <v>1</v>
      </c>
      <c r="AQ158" s="460">
        <v>1</v>
      </c>
      <c r="AR158" s="458" t="s">
        <v>183</v>
      </c>
      <c r="AS158" s="462">
        <f t="shared" si="34"/>
        <v>1</v>
      </c>
      <c r="AT158">
        <f t="shared" si="35"/>
        <v>1</v>
      </c>
      <c r="AU158" s="462">
        <f>IF(AT158=0,"",IF(AND(AT158=1,M158="F",SUMIF(C2:C170,C158,AS2:AS170)&lt;=1),SUMIF(C2:C170,C158,AS2:AS170),IF(AND(AT158=1,M158="F",SUMIF(C2:C170,C158,AS2:AS170)&gt;1),1,"")))</f>
        <v>1</v>
      </c>
      <c r="AV158" s="462" t="str">
        <f>IF(AT158=0,"",IF(AND(AT158=3,M158="F",SUMIF(C2:C170,C158,AS2:AS170)&lt;=1),SUMIF(C2:C170,C158,AS2:AS170),IF(AND(AT158=3,M158="F",SUMIF(C2:C170,C158,AS2:AS170)&gt;1),1,"")))</f>
        <v/>
      </c>
      <c r="AW158" s="462">
        <f>SUMIF(C2:C170,C158,O2:O170)</f>
        <v>1</v>
      </c>
      <c r="AX158" s="462">
        <f>IF(AND(M158="F",AS158&lt;&gt;0),SUMIF(C2:C170,C158,W2:W170),0)</f>
        <v>65956.800000000003</v>
      </c>
      <c r="AY158" s="462">
        <f t="shared" si="36"/>
        <v>65956.800000000003</v>
      </c>
      <c r="AZ158" s="462" t="str">
        <f t="shared" si="37"/>
        <v/>
      </c>
      <c r="BA158" s="462">
        <f t="shared" si="38"/>
        <v>0</v>
      </c>
      <c r="BB158" s="462">
        <f>IF(AND(AT158=1,AK158="E",AU158&gt;=0.75,AW158=1),Health,IF(AND(AT158=1,AK158="E",AU158&gt;=0.75),Health*P158,IF(AND(AT158=1,AK158="E",AU158&gt;=0.5,AW158=1),PTHealth,IF(AND(AT158=1,AK158="E",AU158&gt;=0.5),PTHealth*P158,0))))</f>
        <v>11650</v>
      </c>
      <c r="BC158" s="462">
        <f>IF(AND(AT158=3,AK158="E",AV158&gt;=0.75,AW158=1),Health,IF(AND(AT158=3,AK158="E",AV158&gt;=0.75),Health*P158,IF(AND(AT158=3,AK158="E",AV158&gt;=0.5,AW158=1),PTHealth,IF(AND(AT158=3,AK158="E",AV158&gt;=0.5),PTHealth*P158,0))))</f>
        <v>0</v>
      </c>
      <c r="BD158" s="462">
        <f>IF(AND(AT158&lt;&gt;0,AX158&gt;=MAXSSDI),SSDI*MAXSSDI*P158,IF(AT158&lt;&gt;0,SSDI*W158,0))</f>
        <v>4089.3216000000002</v>
      </c>
      <c r="BE158" s="462">
        <f>IF(AT158&lt;&gt;0,SSHI*W158,0)</f>
        <v>956.37360000000012</v>
      </c>
      <c r="BF158" s="462">
        <f>IF(AND(AT158&lt;&gt;0,AN158&lt;&gt;"NE"),VLOOKUP(AN158,Retirement_Rates,3,FALSE)*W158,0)</f>
        <v>7875.2419200000004</v>
      </c>
      <c r="BG158" s="462">
        <f>IF(AND(AT158&lt;&gt;0,AJ158&lt;&gt;"PF"),Life*W158,0)</f>
        <v>475.54852800000003</v>
      </c>
      <c r="BH158" s="462">
        <f>IF(AND(AT158&lt;&gt;0,AM158="Y"),UI*W158,0)</f>
        <v>323.18831999999998</v>
      </c>
      <c r="BI158" s="462">
        <f>IF(AND(AT158&lt;&gt;0,N158&lt;&gt;"NR"),DHR*W158,0)</f>
        <v>365.40067199999999</v>
      </c>
      <c r="BJ158" s="462">
        <f>IF(AT158&lt;&gt;0,WC*W158,0)</f>
        <v>131.9136</v>
      </c>
      <c r="BK158" s="462">
        <f>IF(OR(AND(AT158&lt;&gt;0,AJ158&lt;&gt;"PF",AN158&lt;&gt;"NE",AG158&lt;&gt;"A"),AND(AL158="E",OR(AT158=1,AT158=3))),Sick*W158,0)</f>
        <v>0</v>
      </c>
      <c r="BL158" s="462">
        <f t="shared" si="39"/>
        <v>14216.988239999999</v>
      </c>
      <c r="BM158" s="462">
        <f t="shared" si="40"/>
        <v>0</v>
      </c>
      <c r="BN158" s="462">
        <f>IF(AND(AT158=1,AK158="E",AU158&gt;=0.75,AW158=1),HealthBY,IF(AND(AT158=1,AK158="E",AU158&gt;=0.75),HealthBY*P158,IF(AND(AT158=1,AK158="E",AU158&gt;=0.5,AW158=1),PTHealthBY,IF(AND(AT158=1,AK158="E",AU158&gt;=0.5),PTHealthBY*P158,0))))</f>
        <v>11650</v>
      </c>
      <c r="BO158" s="462">
        <f>IF(AND(AT158=3,AK158="E",AV158&gt;=0.75,AW158=1),HealthBY,IF(AND(AT158=3,AK158="E",AV158&gt;=0.75),HealthBY*P158,IF(AND(AT158=3,AK158="E",AV158&gt;=0.5,AW158=1),PTHealthBY,IF(AND(AT158=3,AK158="E",AV158&gt;=0.5),PTHealthBY*P158,0))))</f>
        <v>0</v>
      </c>
      <c r="BP158" s="462">
        <f>IF(AND(AT158&lt;&gt;0,(AX158+BA158)&gt;=MAXSSDIBY),SSDIBY*MAXSSDIBY*P158,IF(AT158&lt;&gt;0,SSDIBY*W158,0))</f>
        <v>4089.3216000000002</v>
      </c>
      <c r="BQ158" s="462">
        <f>IF(AT158&lt;&gt;0,SSHIBY*W158,0)</f>
        <v>956.37360000000012</v>
      </c>
      <c r="BR158" s="462">
        <f>IF(AND(AT158&lt;&gt;0,AN158&lt;&gt;"NE"),VLOOKUP(AN158,Retirement_Rates,4,FALSE)*W158,0)</f>
        <v>7875.2419200000004</v>
      </c>
      <c r="BS158" s="462">
        <f>IF(AND(AT158&lt;&gt;0,AJ158&lt;&gt;"PF"),LifeBY*W158,0)</f>
        <v>475.54852800000003</v>
      </c>
      <c r="BT158" s="462">
        <f>IF(AND(AT158&lt;&gt;0,AM158="Y"),UIBY*W158,0)</f>
        <v>0</v>
      </c>
      <c r="BU158" s="462">
        <f>IF(AND(AT158&lt;&gt;0,N158&lt;&gt;"NR"),DHRBY*W158,0)</f>
        <v>365.40067199999999</v>
      </c>
      <c r="BV158" s="462">
        <f>IF(AT158&lt;&gt;0,WCBY*W158,0)</f>
        <v>112.12656</v>
      </c>
      <c r="BW158" s="462">
        <f>IF(OR(AND(AT158&lt;&gt;0,AJ158&lt;&gt;"PF",AN158&lt;&gt;"NE",AG158&lt;&gt;"A"),AND(AL158="E",OR(AT158=1,AT158=3))),SickBY*W158,0)</f>
        <v>0</v>
      </c>
      <c r="BX158" s="462">
        <f t="shared" si="41"/>
        <v>13874.01288</v>
      </c>
      <c r="BY158" s="462">
        <f t="shared" si="42"/>
        <v>0</v>
      </c>
      <c r="BZ158" s="462">
        <f t="shared" si="43"/>
        <v>0</v>
      </c>
      <c r="CA158" s="462">
        <f t="shared" si="44"/>
        <v>0</v>
      </c>
      <c r="CB158" s="462">
        <f t="shared" si="45"/>
        <v>0</v>
      </c>
      <c r="CC158" s="462">
        <f>IF(AT158&lt;&gt;0,SSHICHG*Y158,0)</f>
        <v>0</v>
      </c>
      <c r="CD158" s="462">
        <f>IF(AND(AT158&lt;&gt;0,AN158&lt;&gt;"NE"),VLOOKUP(AN158,Retirement_Rates,5,FALSE)*Y158,0)</f>
        <v>0</v>
      </c>
      <c r="CE158" s="462">
        <f>IF(AND(AT158&lt;&gt;0,AJ158&lt;&gt;"PF"),LifeCHG*Y158,0)</f>
        <v>0</v>
      </c>
      <c r="CF158" s="462">
        <f>IF(AND(AT158&lt;&gt;0,AM158="Y"),UICHG*Y158,0)</f>
        <v>-323.18831999999998</v>
      </c>
      <c r="CG158" s="462">
        <f>IF(AND(AT158&lt;&gt;0,N158&lt;&gt;"NR"),DHRCHG*Y158,0)</f>
        <v>0</v>
      </c>
      <c r="CH158" s="462">
        <f>IF(AT158&lt;&gt;0,WCCHG*Y158,0)</f>
        <v>-19.787040000000008</v>
      </c>
      <c r="CI158" s="462">
        <f>IF(OR(AND(AT158&lt;&gt;0,AJ158&lt;&gt;"PF",AN158&lt;&gt;"NE",AG158&lt;&gt;"A"),AND(AL158="E",OR(AT158=1,AT158=3))),SickCHG*Y158,0)</f>
        <v>0</v>
      </c>
      <c r="CJ158" s="462">
        <f t="shared" si="46"/>
        <v>-342.97535999999997</v>
      </c>
      <c r="CK158" s="462" t="str">
        <f t="shared" si="47"/>
        <v/>
      </c>
      <c r="CL158" s="462" t="str">
        <f t="shared" si="48"/>
        <v/>
      </c>
      <c r="CM158" s="462" t="str">
        <f t="shared" si="49"/>
        <v/>
      </c>
      <c r="CN158" s="462" t="str">
        <f t="shared" si="50"/>
        <v>0450-38</v>
      </c>
    </row>
    <row r="159" spans="1:92" ht="15" thickBot="1" x14ac:dyDescent="0.35">
      <c r="A159" s="376" t="s">
        <v>161</v>
      </c>
      <c r="B159" s="376" t="s">
        <v>162</v>
      </c>
      <c r="C159" s="376" t="s">
        <v>743</v>
      </c>
      <c r="D159" s="376" t="s">
        <v>202</v>
      </c>
      <c r="E159" s="376" t="s">
        <v>314</v>
      </c>
      <c r="F159" s="382" t="s">
        <v>406</v>
      </c>
      <c r="G159" s="376" t="s">
        <v>167</v>
      </c>
      <c r="H159" s="378"/>
      <c r="I159" s="378"/>
      <c r="J159" s="376" t="s">
        <v>168</v>
      </c>
      <c r="K159" s="376" t="s">
        <v>203</v>
      </c>
      <c r="L159" s="376" t="s">
        <v>204</v>
      </c>
      <c r="M159" s="376" t="s">
        <v>171</v>
      </c>
      <c r="N159" s="376" t="s">
        <v>172</v>
      </c>
      <c r="O159" s="379">
        <v>1</v>
      </c>
      <c r="P159" s="460">
        <v>1</v>
      </c>
      <c r="Q159" s="460">
        <v>1</v>
      </c>
      <c r="R159" s="380">
        <v>80</v>
      </c>
      <c r="S159" s="460">
        <v>1</v>
      </c>
      <c r="T159" s="380">
        <v>90692.25</v>
      </c>
      <c r="U159" s="380">
        <v>0</v>
      </c>
      <c r="V159" s="380">
        <v>30618.61</v>
      </c>
      <c r="W159" s="380">
        <v>94016</v>
      </c>
      <c r="X159" s="380">
        <v>31915.119999999999</v>
      </c>
      <c r="Y159" s="380">
        <v>94016</v>
      </c>
      <c r="Z159" s="380">
        <v>31426.240000000002</v>
      </c>
      <c r="AA159" s="376" t="s">
        <v>744</v>
      </c>
      <c r="AB159" s="376" t="s">
        <v>745</v>
      </c>
      <c r="AC159" s="376" t="s">
        <v>361</v>
      </c>
      <c r="AD159" s="376" t="s">
        <v>276</v>
      </c>
      <c r="AE159" s="376" t="s">
        <v>203</v>
      </c>
      <c r="AF159" s="376" t="s">
        <v>209</v>
      </c>
      <c r="AG159" s="376" t="s">
        <v>178</v>
      </c>
      <c r="AH159" s="381">
        <v>45.2</v>
      </c>
      <c r="AI159" s="381">
        <v>26607.9</v>
      </c>
      <c r="AJ159" s="376" t="s">
        <v>179</v>
      </c>
      <c r="AK159" s="376" t="s">
        <v>180</v>
      </c>
      <c r="AL159" s="376" t="s">
        <v>181</v>
      </c>
      <c r="AM159" s="376" t="s">
        <v>182</v>
      </c>
      <c r="AN159" s="376" t="s">
        <v>68</v>
      </c>
      <c r="AO159" s="379">
        <v>80</v>
      </c>
      <c r="AP159" s="460">
        <v>1</v>
      </c>
      <c r="AQ159" s="460">
        <v>1</v>
      </c>
      <c r="AR159" s="458" t="s">
        <v>183</v>
      </c>
      <c r="AS159" s="462">
        <f t="shared" si="34"/>
        <v>1</v>
      </c>
      <c r="AT159">
        <f t="shared" si="35"/>
        <v>1</v>
      </c>
      <c r="AU159" s="462">
        <f>IF(AT159=0,"",IF(AND(AT159=1,M159="F",SUMIF(C2:C170,C159,AS2:AS170)&lt;=1),SUMIF(C2:C170,C159,AS2:AS170),IF(AND(AT159=1,M159="F",SUMIF(C2:C170,C159,AS2:AS170)&gt;1),1,"")))</f>
        <v>1</v>
      </c>
      <c r="AV159" s="462" t="str">
        <f>IF(AT159=0,"",IF(AND(AT159=3,M159="F",SUMIF(C2:C170,C159,AS2:AS170)&lt;=1),SUMIF(C2:C170,C159,AS2:AS170),IF(AND(AT159=3,M159="F",SUMIF(C2:C170,C159,AS2:AS170)&gt;1),1,"")))</f>
        <v/>
      </c>
      <c r="AW159" s="462">
        <f>SUMIF(C2:C170,C159,O2:O170)</f>
        <v>1</v>
      </c>
      <c r="AX159" s="462">
        <f>IF(AND(M159="F",AS159&lt;&gt;0),SUMIF(C2:C170,C159,W2:W170),0)</f>
        <v>94016</v>
      </c>
      <c r="AY159" s="462">
        <f t="shared" si="36"/>
        <v>94016</v>
      </c>
      <c r="AZ159" s="462" t="str">
        <f t="shared" si="37"/>
        <v/>
      </c>
      <c r="BA159" s="462">
        <f t="shared" si="38"/>
        <v>0</v>
      </c>
      <c r="BB159" s="462">
        <f>IF(AND(AT159=1,AK159="E",AU159&gt;=0.75,AW159=1),Health,IF(AND(AT159=1,AK159="E",AU159&gt;=0.75),Health*P159,IF(AND(AT159=1,AK159="E",AU159&gt;=0.5,AW159=1),PTHealth,IF(AND(AT159=1,AK159="E",AU159&gt;=0.5),PTHealth*P159,0))))</f>
        <v>11650</v>
      </c>
      <c r="BC159" s="462">
        <f>IF(AND(AT159=3,AK159="E",AV159&gt;=0.75,AW159=1),Health,IF(AND(AT159=3,AK159="E",AV159&gt;=0.75),Health*P159,IF(AND(AT159=3,AK159="E",AV159&gt;=0.5,AW159=1),PTHealth,IF(AND(AT159=3,AK159="E",AV159&gt;=0.5),PTHealth*P159,0))))</f>
        <v>0</v>
      </c>
      <c r="BD159" s="462">
        <f>IF(AND(AT159&lt;&gt;0,AX159&gt;=MAXSSDI),SSDI*MAXSSDI*P159,IF(AT159&lt;&gt;0,SSDI*W159,0))</f>
        <v>5828.9920000000002</v>
      </c>
      <c r="BE159" s="462">
        <f>IF(AT159&lt;&gt;0,SSHI*W159,0)</f>
        <v>1363.232</v>
      </c>
      <c r="BF159" s="462">
        <f>IF(AND(AT159&lt;&gt;0,AN159&lt;&gt;"NE"),VLOOKUP(AN159,Retirement_Rates,3,FALSE)*W159,0)</f>
        <v>11225.510400000001</v>
      </c>
      <c r="BG159" s="462">
        <f>IF(AND(AT159&lt;&gt;0,AJ159&lt;&gt;"PF"),Life*W159,0)</f>
        <v>677.85536000000002</v>
      </c>
      <c r="BH159" s="462">
        <f>IF(AND(AT159&lt;&gt;0,AM159="Y"),UI*W159,0)</f>
        <v>460.67840000000001</v>
      </c>
      <c r="BI159" s="462">
        <f>IF(AND(AT159&lt;&gt;0,N159&lt;&gt;"NR"),DHR*W159,0)</f>
        <v>520.84863999999993</v>
      </c>
      <c r="BJ159" s="462">
        <f>IF(AT159&lt;&gt;0,WC*W159,0)</f>
        <v>188.03200000000001</v>
      </c>
      <c r="BK159" s="462">
        <f>IF(OR(AND(AT159&lt;&gt;0,AJ159&lt;&gt;"PF",AN159&lt;&gt;"NE",AG159&lt;&gt;"A"),AND(AL159="E",OR(AT159=1,AT159=3))),Sick*W159,0)</f>
        <v>0</v>
      </c>
      <c r="BL159" s="462">
        <f t="shared" si="39"/>
        <v>20265.148800000003</v>
      </c>
      <c r="BM159" s="462">
        <f t="shared" si="40"/>
        <v>0</v>
      </c>
      <c r="BN159" s="462">
        <f>IF(AND(AT159=1,AK159="E",AU159&gt;=0.75,AW159=1),HealthBY,IF(AND(AT159=1,AK159="E",AU159&gt;=0.75),HealthBY*P159,IF(AND(AT159=1,AK159="E",AU159&gt;=0.5,AW159=1),PTHealthBY,IF(AND(AT159=1,AK159="E",AU159&gt;=0.5),PTHealthBY*P159,0))))</f>
        <v>11650</v>
      </c>
      <c r="BO159" s="462">
        <f>IF(AND(AT159=3,AK159="E",AV159&gt;=0.75,AW159=1),HealthBY,IF(AND(AT159=3,AK159="E",AV159&gt;=0.75),HealthBY*P159,IF(AND(AT159=3,AK159="E",AV159&gt;=0.5,AW159=1),PTHealthBY,IF(AND(AT159=3,AK159="E",AV159&gt;=0.5),PTHealthBY*P159,0))))</f>
        <v>0</v>
      </c>
      <c r="BP159" s="462">
        <f>IF(AND(AT159&lt;&gt;0,(AX159+BA159)&gt;=MAXSSDIBY),SSDIBY*MAXSSDIBY*P159,IF(AT159&lt;&gt;0,SSDIBY*W159,0))</f>
        <v>5828.9920000000002</v>
      </c>
      <c r="BQ159" s="462">
        <f>IF(AT159&lt;&gt;0,SSHIBY*W159,0)</f>
        <v>1363.232</v>
      </c>
      <c r="BR159" s="462">
        <f>IF(AND(AT159&lt;&gt;0,AN159&lt;&gt;"NE"),VLOOKUP(AN159,Retirement_Rates,4,FALSE)*W159,0)</f>
        <v>11225.510400000001</v>
      </c>
      <c r="BS159" s="462">
        <f>IF(AND(AT159&lt;&gt;0,AJ159&lt;&gt;"PF"),LifeBY*W159,0)</f>
        <v>677.85536000000002</v>
      </c>
      <c r="BT159" s="462">
        <f>IF(AND(AT159&lt;&gt;0,AM159="Y"),UIBY*W159,0)</f>
        <v>0</v>
      </c>
      <c r="BU159" s="462">
        <f>IF(AND(AT159&lt;&gt;0,N159&lt;&gt;"NR"),DHRBY*W159,0)</f>
        <v>520.84863999999993</v>
      </c>
      <c r="BV159" s="462">
        <f>IF(AT159&lt;&gt;0,WCBY*W159,0)</f>
        <v>159.8272</v>
      </c>
      <c r="BW159" s="462">
        <f>IF(OR(AND(AT159&lt;&gt;0,AJ159&lt;&gt;"PF",AN159&lt;&gt;"NE",AG159&lt;&gt;"A"),AND(AL159="E",OR(AT159=1,AT159=3))),SickBY*W159,0)</f>
        <v>0</v>
      </c>
      <c r="BX159" s="462">
        <f t="shared" si="41"/>
        <v>19776.265600000002</v>
      </c>
      <c r="BY159" s="462">
        <f t="shared" si="42"/>
        <v>0</v>
      </c>
      <c r="BZ159" s="462">
        <f t="shared" si="43"/>
        <v>0</v>
      </c>
      <c r="CA159" s="462">
        <f t="shared" si="44"/>
        <v>0</v>
      </c>
      <c r="CB159" s="462">
        <f t="shared" si="45"/>
        <v>0</v>
      </c>
      <c r="CC159" s="462">
        <f>IF(AT159&lt;&gt;0,SSHICHG*Y159,0)</f>
        <v>0</v>
      </c>
      <c r="CD159" s="462">
        <f>IF(AND(AT159&lt;&gt;0,AN159&lt;&gt;"NE"),VLOOKUP(AN159,Retirement_Rates,5,FALSE)*Y159,0)</f>
        <v>0</v>
      </c>
      <c r="CE159" s="462">
        <f>IF(AND(AT159&lt;&gt;0,AJ159&lt;&gt;"PF"),LifeCHG*Y159,0)</f>
        <v>0</v>
      </c>
      <c r="CF159" s="462">
        <f>IF(AND(AT159&lt;&gt;0,AM159="Y"),UICHG*Y159,0)</f>
        <v>-460.67840000000001</v>
      </c>
      <c r="CG159" s="462">
        <f>IF(AND(AT159&lt;&gt;0,N159&lt;&gt;"NR"),DHRCHG*Y159,0)</f>
        <v>0</v>
      </c>
      <c r="CH159" s="462">
        <f>IF(AT159&lt;&gt;0,WCCHG*Y159,0)</f>
        <v>-28.204800000000013</v>
      </c>
      <c r="CI159" s="462">
        <f>IF(OR(AND(AT159&lt;&gt;0,AJ159&lt;&gt;"PF",AN159&lt;&gt;"NE",AG159&lt;&gt;"A"),AND(AL159="E",OR(AT159=1,AT159=3))),SickCHG*Y159,0)</f>
        <v>0</v>
      </c>
      <c r="CJ159" s="462">
        <f t="shared" si="46"/>
        <v>-488.88320000000004</v>
      </c>
      <c r="CK159" s="462" t="str">
        <f t="shared" si="47"/>
        <v/>
      </c>
      <c r="CL159" s="462" t="str">
        <f t="shared" si="48"/>
        <v/>
      </c>
      <c r="CM159" s="462" t="str">
        <f t="shared" si="49"/>
        <v/>
      </c>
      <c r="CN159" s="462" t="str">
        <f t="shared" si="50"/>
        <v>0450-38</v>
      </c>
    </row>
    <row r="160" spans="1:92" ht="15" thickBot="1" x14ac:dyDescent="0.35">
      <c r="A160" s="376" t="s">
        <v>161</v>
      </c>
      <c r="B160" s="376" t="s">
        <v>162</v>
      </c>
      <c r="C160" s="376" t="s">
        <v>746</v>
      </c>
      <c r="D160" s="376" t="s">
        <v>436</v>
      </c>
      <c r="E160" s="376" t="s">
        <v>314</v>
      </c>
      <c r="F160" s="382" t="s">
        <v>406</v>
      </c>
      <c r="G160" s="376" t="s">
        <v>167</v>
      </c>
      <c r="H160" s="378"/>
      <c r="I160" s="378"/>
      <c r="J160" s="376" t="s">
        <v>168</v>
      </c>
      <c r="K160" s="376" t="s">
        <v>437</v>
      </c>
      <c r="L160" s="376" t="s">
        <v>216</v>
      </c>
      <c r="M160" s="376" t="s">
        <v>171</v>
      </c>
      <c r="N160" s="376" t="s">
        <v>172</v>
      </c>
      <c r="O160" s="379">
        <v>1</v>
      </c>
      <c r="P160" s="460">
        <v>1</v>
      </c>
      <c r="Q160" s="460">
        <v>1</v>
      </c>
      <c r="R160" s="380">
        <v>80</v>
      </c>
      <c r="S160" s="460">
        <v>1</v>
      </c>
      <c r="T160" s="380">
        <v>69913.600000000006</v>
      </c>
      <c r="U160" s="380">
        <v>0</v>
      </c>
      <c r="V160" s="380">
        <v>26979.06</v>
      </c>
      <c r="W160" s="380">
        <v>69638.399999999994</v>
      </c>
      <c r="X160" s="380">
        <v>26660.52</v>
      </c>
      <c r="Y160" s="380">
        <v>69638.399999999994</v>
      </c>
      <c r="Z160" s="380">
        <v>26298.41</v>
      </c>
      <c r="AA160" s="376" t="s">
        <v>747</v>
      </c>
      <c r="AB160" s="376" t="s">
        <v>748</v>
      </c>
      <c r="AC160" s="376" t="s">
        <v>749</v>
      </c>
      <c r="AD160" s="376" t="s">
        <v>750</v>
      </c>
      <c r="AE160" s="376" t="s">
        <v>437</v>
      </c>
      <c r="AF160" s="376" t="s">
        <v>311</v>
      </c>
      <c r="AG160" s="376" t="s">
        <v>178</v>
      </c>
      <c r="AH160" s="381">
        <v>33.479999999999997</v>
      </c>
      <c r="AI160" s="381">
        <v>42737.4</v>
      </c>
      <c r="AJ160" s="376" t="s">
        <v>179</v>
      </c>
      <c r="AK160" s="376" t="s">
        <v>180</v>
      </c>
      <c r="AL160" s="376" t="s">
        <v>181</v>
      </c>
      <c r="AM160" s="376" t="s">
        <v>182</v>
      </c>
      <c r="AN160" s="376" t="s">
        <v>68</v>
      </c>
      <c r="AO160" s="379">
        <v>80</v>
      </c>
      <c r="AP160" s="460">
        <v>1</v>
      </c>
      <c r="AQ160" s="460">
        <v>1</v>
      </c>
      <c r="AR160" s="458" t="s">
        <v>183</v>
      </c>
      <c r="AS160" s="462">
        <f t="shared" si="34"/>
        <v>1</v>
      </c>
      <c r="AT160">
        <f t="shared" si="35"/>
        <v>1</v>
      </c>
      <c r="AU160" s="462">
        <f>IF(AT160=0,"",IF(AND(AT160=1,M160="F",SUMIF(C2:C170,C160,AS2:AS170)&lt;=1),SUMIF(C2:C170,C160,AS2:AS170),IF(AND(AT160=1,M160="F",SUMIF(C2:C170,C160,AS2:AS170)&gt;1),1,"")))</f>
        <v>1</v>
      </c>
      <c r="AV160" s="462" t="str">
        <f>IF(AT160=0,"",IF(AND(AT160=3,M160="F",SUMIF(C2:C170,C160,AS2:AS170)&lt;=1),SUMIF(C2:C170,C160,AS2:AS170),IF(AND(AT160=3,M160="F",SUMIF(C2:C170,C160,AS2:AS170)&gt;1),1,"")))</f>
        <v/>
      </c>
      <c r="AW160" s="462">
        <f>SUMIF(C2:C170,C160,O2:O170)</f>
        <v>1</v>
      </c>
      <c r="AX160" s="462">
        <f>IF(AND(M160="F",AS160&lt;&gt;0),SUMIF(C2:C170,C160,W2:W170),0)</f>
        <v>69638.399999999994</v>
      </c>
      <c r="AY160" s="462">
        <f t="shared" si="36"/>
        <v>69638.399999999994</v>
      </c>
      <c r="AZ160" s="462" t="str">
        <f t="shared" si="37"/>
        <v/>
      </c>
      <c r="BA160" s="462">
        <f t="shared" si="38"/>
        <v>0</v>
      </c>
      <c r="BB160" s="462">
        <f>IF(AND(AT160=1,AK160="E",AU160&gt;=0.75,AW160=1),Health,IF(AND(AT160=1,AK160="E",AU160&gt;=0.75),Health*P160,IF(AND(AT160=1,AK160="E",AU160&gt;=0.5,AW160=1),PTHealth,IF(AND(AT160=1,AK160="E",AU160&gt;=0.5),PTHealth*P160,0))))</f>
        <v>11650</v>
      </c>
      <c r="BC160" s="462">
        <f>IF(AND(AT160=3,AK160="E",AV160&gt;=0.75,AW160=1),Health,IF(AND(AT160=3,AK160="E",AV160&gt;=0.75),Health*P160,IF(AND(AT160=3,AK160="E",AV160&gt;=0.5,AW160=1),PTHealth,IF(AND(AT160=3,AK160="E",AV160&gt;=0.5),PTHealth*P160,0))))</f>
        <v>0</v>
      </c>
      <c r="BD160" s="462">
        <f>IF(AND(AT160&lt;&gt;0,AX160&gt;=MAXSSDI),SSDI*MAXSSDI*P160,IF(AT160&lt;&gt;0,SSDI*W160,0))</f>
        <v>4317.5807999999997</v>
      </c>
      <c r="BE160" s="462">
        <f>IF(AT160&lt;&gt;0,SSHI*W160,0)</f>
        <v>1009.7568</v>
      </c>
      <c r="BF160" s="462">
        <f>IF(AND(AT160&lt;&gt;0,AN160&lt;&gt;"NE"),VLOOKUP(AN160,Retirement_Rates,3,FALSE)*W160,0)</f>
        <v>8314.8249599999999</v>
      </c>
      <c r="BG160" s="462">
        <f>IF(AND(AT160&lt;&gt;0,AJ160&lt;&gt;"PF"),Life*W160,0)</f>
        <v>502.09286399999996</v>
      </c>
      <c r="BH160" s="462">
        <f>IF(AND(AT160&lt;&gt;0,AM160="Y"),UI*W160,0)</f>
        <v>341.22815999999995</v>
      </c>
      <c r="BI160" s="462">
        <f>IF(AND(AT160&lt;&gt;0,N160&lt;&gt;"NR"),DHR*W160,0)</f>
        <v>385.79673599999995</v>
      </c>
      <c r="BJ160" s="462">
        <f>IF(AT160&lt;&gt;0,WC*W160,0)</f>
        <v>139.27679999999998</v>
      </c>
      <c r="BK160" s="462">
        <f>IF(OR(AND(AT160&lt;&gt;0,AJ160&lt;&gt;"PF",AN160&lt;&gt;"NE",AG160&lt;&gt;"A"),AND(AL160="E",OR(AT160=1,AT160=3))),Sick*W160,0)</f>
        <v>0</v>
      </c>
      <c r="BL160" s="462">
        <f t="shared" si="39"/>
        <v>15010.557120000001</v>
      </c>
      <c r="BM160" s="462">
        <f t="shared" si="40"/>
        <v>0</v>
      </c>
      <c r="BN160" s="462">
        <f>IF(AND(AT160=1,AK160="E",AU160&gt;=0.75,AW160=1),HealthBY,IF(AND(AT160=1,AK160="E",AU160&gt;=0.75),HealthBY*P160,IF(AND(AT160=1,AK160="E",AU160&gt;=0.5,AW160=1),PTHealthBY,IF(AND(AT160=1,AK160="E",AU160&gt;=0.5),PTHealthBY*P160,0))))</f>
        <v>11650</v>
      </c>
      <c r="BO160" s="462">
        <f>IF(AND(AT160=3,AK160="E",AV160&gt;=0.75,AW160=1),HealthBY,IF(AND(AT160=3,AK160="E",AV160&gt;=0.75),HealthBY*P160,IF(AND(AT160=3,AK160="E",AV160&gt;=0.5,AW160=1),PTHealthBY,IF(AND(AT160=3,AK160="E",AV160&gt;=0.5),PTHealthBY*P160,0))))</f>
        <v>0</v>
      </c>
      <c r="BP160" s="462">
        <f>IF(AND(AT160&lt;&gt;0,(AX160+BA160)&gt;=MAXSSDIBY),SSDIBY*MAXSSDIBY*P160,IF(AT160&lt;&gt;0,SSDIBY*W160,0))</f>
        <v>4317.5807999999997</v>
      </c>
      <c r="BQ160" s="462">
        <f>IF(AT160&lt;&gt;0,SSHIBY*W160,0)</f>
        <v>1009.7568</v>
      </c>
      <c r="BR160" s="462">
        <f>IF(AND(AT160&lt;&gt;0,AN160&lt;&gt;"NE"),VLOOKUP(AN160,Retirement_Rates,4,FALSE)*W160,0)</f>
        <v>8314.8249599999999</v>
      </c>
      <c r="BS160" s="462">
        <f>IF(AND(AT160&lt;&gt;0,AJ160&lt;&gt;"PF"),LifeBY*W160,0)</f>
        <v>502.09286399999996</v>
      </c>
      <c r="BT160" s="462">
        <f>IF(AND(AT160&lt;&gt;0,AM160="Y"),UIBY*W160,0)</f>
        <v>0</v>
      </c>
      <c r="BU160" s="462">
        <f>IF(AND(AT160&lt;&gt;0,N160&lt;&gt;"NR"),DHRBY*W160,0)</f>
        <v>385.79673599999995</v>
      </c>
      <c r="BV160" s="462">
        <f>IF(AT160&lt;&gt;0,WCBY*W160,0)</f>
        <v>118.38527999999998</v>
      </c>
      <c r="BW160" s="462">
        <f>IF(OR(AND(AT160&lt;&gt;0,AJ160&lt;&gt;"PF",AN160&lt;&gt;"NE",AG160&lt;&gt;"A"),AND(AL160="E",OR(AT160=1,AT160=3))),SickBY*W160,0)</f>
        <v>0</v>
      </c>
      <c r="BX160" s="462">
        <f t="shared" si="41"/>
        <v>14648.437440000002</v>
      </c>
      <c r="BY160" s="462">
        <f t="shared" si="42"/>
        <v>0</v>
      </c>
      <c r="BZ160" s="462">
        <f t="shared" si="43"/>
        <v>0</v>
      </c>
      <c r="CA160" s="462">
        <f t="shared" si="44"/>
        <v>0</v>
      </c>
      <c r="CB160" s="462">
        <f t="shared" si="45"/>
        <v>0</v>
      </c>
      <c r="CC160" s="462">
        <f>IF(AT160&lt;&gt;0,SSHICHG*Y160,0)</f>
        <v>0</v>
      </c>
      <c r="CD160" s="462">
        <f>IF(AND(AT160&lt;&gt;0,AN160&lt;&gt;"NE"),VLOOKUP(AN160,Retirement_Rates,5,FALSE)*Y160,0)</f>
        <v>0</v>
      </c>
      <c r="CE160" s="462">
        <f>IF(AND(AT160&lt;&gt;0,AJ160&lt;&gt;"PF"),LifeCHG*Y160,0)</f>
        <v>0</v>
      </c>
      <c r="CF160" s="462">
        <f>IF(AND(AT160&lt;&gt;0,AM160="Y"),UICHG*Y160,0)</f>
        <v>-341.22815999999995</v>
      </c>
      <c r="CG160" s="462">
        <f>IF(AND(AT160&lt;&gt;0,N160&lt;&gt;"NR"),DHRCHG*Y160,0)</f>
        <v>0</v>
      </c>
      <c r="CH160" s="462">
        <f>IF(AT160&lt;&gt;0,WCCHG*Y160,0)</f>
        <v>-20.891520000000007</v>
      </c>
      <c r="CI160" s="462">
        <f>IF(OR(AND(AT160&lt;&gt;0,AJ160&lt;&gt;"PF",AN160&lt;&gt;"NE",AG160&lt;&gt;"A"),AND(AL160="E",OR(AT160=1,AT160=3))),SickCHG*Y160,0)</f>
        <v>0</v>
      </c>
      <c r="CJ160" s="462">
        <f t="shared" si="46"/>
        <v>-362.11967999999996</v>
      </c>
      <c r="CK160" s="462" t="str">
        <f t="shared" si="47"/>
        <v/>
      </c>
      <c r="CL160" s="462" t="str">
        <f t="shared" si="48"/>
        <v/>
      </c>
      <c r="CM160" s="462" t="str">
        <f t="shared" si="49"/>
        <v/>
      </c>
      <c r="CN160" s="462" t="str">
        <f t="shared" si="50"/>
        <v>0450-38</v>
      </c>
    </row>
    <row r="161" spans="1:92" ht="15" thickBot="1" x14ac:dyDescent="0.35">
      <c r="A161" s="376" t="s">
        <v>161</v>
      </c>
      <c r="B161" s="376" t="s">
        <v>162</v>
      </c>
      <c r="C161" s="376" t="s">
        <v>335</v>
      </c>
      <c r="D161" s="376" t="s">
        <v>263</v>
      </c>
      <c r="E161" s="376" t="s">
        <v>314</v>
      </c>
      <c r="F161" s="382" t="s">
        <v>406</v>
      </c>
      <c r="G161" s="376" t="s">
        <v>167</v>
      </c>
      <c r="H161" s="378"/>
      <c r="I161" s="378"/>
      <c r="J161" s="376" t="s">
        <v>168</v>
      </c>
      <c r="K161" s="376" t="s">
        <v>321</v>
      </c>
      <c r="L161" s="376" t="s">
        <v>216</v>
      </c>
      <c r="M161" s="376" t="s">
        <v>171</v>
      </c>
      <c r="N161" s="376" t="s">
        <v>172</v>
      </c>
      <c r="O161" s="379">
        <v>1</v>
      </c>
      <c r="P161" s="460">
        <v>1</v>
      </c>
      <c r="Q161" s="460">
        <v>1</v>
      </c>
      <c r="R161" s="380">
        <v>80</v>
      </c>
      <c r="S161" s="460">
        <v>1</v>
      </c>
      <c r="T161" s="380">
        <v>0</v>
      </c>
      <c r="U161" s="380">
        <v>0</v>
      </c>
      <c r="V161" s="380">
        <v>0</v>
      </c>
      <c r="W161" s="380">
        <v>66913.600000000006</v>
      </c>
      <c r="X161" s="380">
        <v>26073.19</v>
      </c>
      <c r="Y161" s="380">
        <v>66913.600000000006</v>
      </c>
      <c r="Z161" s="380">
        <v>25725.25</v>
      </c>
      <c r="AA161" s="376" t="s">
        <v>336</v>
      </c>
      <c r="AB161" s="376" t="s">
        <v>337</v>
      </c>
      <c r="AC161" s="376" t="s">
        <v>338</v>
      </c>
      <c r="AD161" s="376" t="s">
        <v>339</v>
      </c>
      <c r="AE161" s="376" t="s">
        <v>321</v>
      </c>
      <c r="AF161" s="376" t="s">
        <v>311</v>
      </c>
      <c r="AG161" s="376" t="s">
        <v>178</v>
      </c>
      <c r="AH161" s="381">
        <v>32.17</v>
      </c>
      <c r="AI161" s="381">
        <v>4190.2</v>
      </c>
      <c r="AJ161" s="376" t="s">
        <v>179</v>
      </c>
      <c r="AK161" s="376" t="s">
        <v>180</v>
      </c>
      <c r="AL161" s="376" t="s">
        <v>181</v>
      </c>
      <c r="AM161" s="376" t="s">
        <v>182</v>
      </c>
      <c r="AN161" s="376" t="s">
        <v>68</v>
      </c>
      <c r="AO161" s="379">
        <v>80</v>
      </c>
      <c r="AP161" s="460">
        <v>1</v>
      </c>
      <c r="AQ161" s="460">
        <v>1</v>
      </c>
      <c r="AR161" s="458" t="s">
        <v>183</v>
      </c>
      <c r="AS161" s="462">
        <f t="shared" si="34"/>
        <v>1</v>
      </c>
      <c r="AT161">
        <f t="shared" si="35"/>
        <v>1</v>
      </c>
      <c r="AU161" s="462">
        <f>IF(AT161=0,"",IF(AND(AT161=1,M161="F",SUMIF(C2:C170,C161,AS2:AS170)&lt;=1),SUMIF(C2:C170,C161,AS2:AS170),IF(AND(AT161=1,M161="F",SUMIF(C2:C170,C161,AS2:AS170)&gt;1),1,"")))</f>
        <v>1</v>
      </c>
      <c r="AV161" s="462" t="str">
        <f>IF(AT161=0,"",IF(AND(AT161=3,M161="F",SUMIF(C2:C170,C161,AS2:AS170)&lt;=1),SUMIF(C2:C170,C161,AS2:AS170),IF(AND(AT161=3,M161="F",SUMIF(C2:C170,C161,AS2:AS170)&gt;1),1,"")))</f>
        <v/>
      </c>
      <c r="AW161" s="462">
        <f>SUMIF(C2:C170,C161,O2:O170)</f>
        <v>2</v>
      </c>
      <c r="AX161" s="462">
        <f>IF(AND(M161="F",AS161&lt;&gt;0),SUMIF(C2:C170,C161,W2:W170),0)</f>
        <v>66913.600000000006</v>
      </c>
      <c r="AY161" s="462">
        <f t="shared" si="36"/>
        <v>66913.600000000006</v>
      </c>
      <c r="AZ161" s="462" t="str">
        <f t="shared" si="37"/>
        <v/>
      </c>
      <c r="BA161" s="462">
        <f t="shared" si="38"/>
        <v>0</v>
      </c>
      <c r="BB161" s="462">
        <f>IF(AND(AT161=1,AK161="E",AU161&gt;=0.75,AW161=1),Health,IF(AND(AT161=1,AK161="E",AU161&gt;=0.75),Health*P161,IF(AND(AT161=1,AK161="E",AU161&gt;=0.5,AW161=1),PTHealth,IF(AND(AT161=1,AK161="E",AU161&gt;=0.5),PTHealth*P161,0))))</f>
        <v>11650</v>
      </c>
      <c r="BC161" s="462">
        <f>IF(AND(AT161=3,AK161="E",AV161&gt;=0.75,AW161=1),Health,IF(AND(AT161=3,AK161="E",AV161&gt;=0.75),Health*P161,IF(AND(AT161=3,AK161="E",AV161&gt;=0.5,AW161=1),PTHealth,IF(AND(AT161=3,AK161="E",AV161&gt;=0.5),PTHealth*P161,0))))</f>
        <v>0</v>
      </c>
      <c r="BD161" s="462">
        <f>IF(AND(AT161&lt;&gt;0,AX161&gt;=MAXSSDI),SSDI*MAXSSDI*P161,IF(AT161&lt;&gt;0,SSDI*W161,0))</f>
        <v>4148.6432000000004</v>
      </c>
      <c r="BE161" s="462">
        <f>IF(AT161&lt;&gt;0,SSHI*W161,0)</f>
        <v>970.24720000000013</v>
      </c>
      <c r="BF161" s="462">
        <f>IF(AND(AT161&lt;&gt;0,AN161&lt;&gt;"NE"),VLOOKUP(AN161,Retirement_Rates,3,FALSE)*W161,0)</f>
        <v>7989.4838400000008</v>
      </c>
      <c r="BG161" s="462">
        <f>IF(AND(AT161&lt;&gt;0,AJ161&lt;&gt;"PF"),Life*W161,0)</f>
        <v>482.44705600000003</v>
      </c>
      <c r="BH161" s="462">
        <f>IF(AND(AT161&lt;&gt;0,AM161="Y"),UI*W161,0)</f>
        <v>327.87664000000001</v>
      </c>
      <c r="BI161" s="462">
        <f>IF(AND(AT161&lt;&gt;0,N161&lt;&gt;"NR"),DHR*W161,0)</f>
        <v>370.70134400000001</v>
      </c>
      <c r="BJ161" s="462">
        <f>IF(AT161&lt;&gt;0,WC*W161,0)</f>
        <v>133.8272</v>
      </c>
      <c r="BK161" s="462">
        <f>IF(OR(AND(AT161&lt;&gt;0,AJ161&lt;&gt;"PF",AN161&lt;&gt;"NE",AG161&lt;&gt;"A"),AND(AL161="E",OR(AT161=1,AT161=3))),Sick*W161,0)</f>
        <v>0</v>
      </c>
      <c r="BL161" s="462">
        <f t="shared" si="39"/>
        <v>14423.226480000001</v>
      </c>
      <c r="BM161" s="462">
        <f t="shared" si="40"/>
        <v>0</v>
      </c>
      <c r="BN161" s="462">
        <f>IF(AND(AT161=1,AK161="E",AU161&gt;=0.75,AW161=1),HealthBY,IF(AND(AT161=1,AK161="E",AU161&gt;=0.75),HealthBY*P161,IF(AND(AT161=1,AK161="E",AU161&gt;=0.5,AW161=1),PTHealthBY,IF(AND(AT161=1,AK161="E",AU161&gt;=0.5),PTHealthBY*P161,0))))</f>
        <v>11650</v>
      </c>
      <c r="BO161" s="462">
        <f>IF(AND(AT161=3,AK161="E",AV161&gt;=0.75,AW161=1),HealthBY,IF(AND(AT161=3,AK161="E",AV161&gt;=0.75),HealthBY*P161,IF(AND(AT161=3,AK161="E",AV161&gt;=0.5,AW161=1),PTHealthBY,IF(AND(AT161=3,AK161="E",AV161&gt;=0.5),PTHealthBY*P161,0))))</f>
        <v>0</v>
      </c>
      <c r="BP161" s="462">
        <f>IF(AND(AT161&lt;&gt;0,(AX161+BA161)&gt;=MAXSSDIBY),SSDIBY*MAXSSDIBY*P161,IF(AT161&lt;&gt;0,SSDIBY*W161,0))</f>
        <v>4148.6432000000004</v>
      </c>
      <c r="BQ161" s="462">
        <f>IF(AT161&lt;&gt;0,SSHIBY*W161,0)</f>
        <v>970.24720000000013</v>
      </c>
      <c r="BR161" s="462">
        <f>IF(AND(AT161&lt;&gt;0,AN161&lt;&gt;"NE"),VLOOKUP(AN161,Retirement_Rates,4,FALSE)*W161,0)</f>
        <v>7989.4838400000008</v>
      </c>
      <c r="BS161" s="462">
        <f>IF(AND(AT161&lt;&gt;0,AJ161&lt;&gt;"PF"),LifeBY*W161,0)</f>
        <v>482.44705600000003</v>
      </c>
      <c r="BT161" s="462">
        <f>IF(AND(AT161&lt;&gt;0,AM161="Y"),UIBY*W161,0)</f>
        <v>0</v>
      </c>
      <c r="BU161" s="462">
        <f>IF(AND(AT161&lt;&gt;0,N161&lt;&gt;"NR"),DHRBY*W161,0)</f>
        <v>370.70134400000001</v>
      </c>
      <c r="BV161" s="462">
        <f>IF(AT161&lt;&gt;0,WCBY*W161,0)</f>
        <v>113.75312000000001</v>
      </c>
      <c r="BW161" s="462">
        <f>IF(OR(AND(AT161&lt;&gt;0,AJ161&lt;&gt;"PF",AN161&lt;&gt;"NE",AG161&lt;&gt;"A"),AND(AL161="E",OR(AT161=1,AT161=3))),SickBY*W161,0)</f>
        <v>0</v>
      </c>
      <c r="BX161" s="462">
        <f t="shared" si="41"/>
        <v>14075.27576</v>
      </c>
      <c r="BY161" s="462">
        <f t="shared" si="42"/>
        <v>0</v>
      </c>
      <c r="BZ161" s="462">
        <f t="shared" si="43"/>
        <v>0</v>
      </c>
      <c r="CA161" s="462">
        <f t="shared" si="44"/>
        <v>0</v>
      </c>
      <c r="CB161" s="462">
        <f t="shared" si="45"/>
        <v>0</v>
      </c>
      <c r="CC161" s="462">
        <f>IF(AT161&lt;&gt;0,SSHICHG*Y161,0)</f>
        <v>0</v>
      </c>
      <c r="CD161" s="462">
        <f>IF(AND(AT161&lt;&gt;0,AN161&lt;&gt;"NE"),VLOOKUP(AN161,Retirement_Rates,5,FALSE)*Y161,0)</f>
        <v>0</v>
      </c>
      <c r="CE161" s="462">
        <f>IF(AND(AT161&lt;&gt;0,AJ161&lt;&gt;"PF"),LifeCHG*Y161,0)</f>
        <v>0</v>
      </c>
      <c r="CF161" s="462">
        <f>IF(AND(AT161&lt;&gt;0,AM161="Y"),UICHG*Y161,0)</f>
        <v>-327.87664000000001</v>
      </c>
      <c r="CG161" s="462">
        <f>IF(AND(AT161&lt;&gt;0,N161&lt;&gt;"NR"),DHRCHG*Y161,0)</f>
        <v>0</v>
      </c>
      <c r="CH161" s="462">
        <f>IF(AT161&lt;&gt;0,WCCHG*Y161,0)</f>
        <v>-20.074080000000009</v>
      </c>
      <c r="CI161" s="462">
        <f>IF(OR(AND(AT161&lt;&gt;0,AJ161&lt;&gt;"PF",AN161&lt;&gt;"NE",AG161&lt;&gt;"A"),AND(AL161="E",OR(AT161=1,AT161=3))),SickCHG*Y161,0)</f>
        <v>0</v>
      </c>
      <c r="CJ161" s="462">
        <f t="shared" si="46"/>
        <v>-347.95072000000005</v>
      </c>
      <c r="CK161" s="462" t="str">
        <f t="shared" si="47"/>
        <v/>
      </c>
      <c r="CL161" s="462" t="str">
        <f t="shared" si="48"/>
        <v/>
      </c>
      <c r="CM161" s="462" t="str">
        <f t="shared" si="49"/>
        <v/>
      </c>
      <c r="CN161" s="462" t="str">
        <f t="shared" si="50"/>
        <v>0450-38</v>
      </c>
    </row>
    <row r="162" spans="1:92" ht="15" thickBot="1" x14ac:dyDescent="0.35">
      <c r="A162" s="376" t="s">
        <v>161</v>
      </c>
      <c r="B162" s="376" t="s">
        <v>162</v>
      </c>
      <c r="C162" s="376" t="s">
        <v>751</v>
      </c>
      <c r="D162" s="376" t="s">
        <v>313</v>
      </c>
      <c r="E162" s="376" t="s">
        <v>314</v>
      </c>
      <c r="F162" s="382" t="s">
        <v>406</v>
      </c>
      <c r="G162" s="376" t="s">
        <v>167</v>
      </c>
      <c r="H162" s="378"/>
      <c r="I162" s="378"/>
      <c r="J162" s="376" t="s">
        <v>168</v>
      </c>
      <c r="K162" s="376" t="s">
        <v>316</v>
      </c>
      <c r="L162" s="376" t="s">
        <v>216</v>
      </c>
      <c r="M162" s="376" t="s">
        <v>171</v>
      </c>
      <c r="N162" s="376" t="s">
        <v>172</v>
      </c>
      <c r="O162" s="379">
        <v>1</v>
      </c>
      <c r="P162" s="460">
        <v>1</v>
      </c>
      <c r="Q162" s="460">
        <v>1</v>
      </c>
      <c r="R162" s="380">
        <v>80</v>
      </c>
      <c r="S162" s="460">
        <v>1</v>
      </c>
      <c r="T162" s="380">
        <v>18848</v>
      </c>
      <c r="U162" s="380">
        <v>0</v>
      </c>
      <c r="V162" s="380">
        <v>7756.71</v>
      </c>
      <c r="W162" s="380">
        <v>61256</v>
      </c>
      <c r="X162" s="380">
        <v>24853.7</v>
      </c>
      <c r="Y162" s="380">
        <v>61256</v>
      </c>
      <c r="Z162" s="380">
        <v>24535.17</v>
      </c>
      <c r="AA162" s="376" t="s">
        <v>752</v>
      </c>
      <c r="AB162" s="376" t="s">
        <v>753</v>
      </c>
      <c r="AC162" s="376" t="s">
        <v>754</v>
      </c>
      <c r="AD162" s="376" t="s">
        <v>270</v>
      </c>
      <c r="AE162" s="376" t="s">
        <v>316</v>
      </c>
      <c r="AF162" s="376" t="s">
        <v>311</v>
      </c>
      <c r="AG162" s="376" t="s">
        <v>178</v>
      </c>
      <c r="AH162" s="381">
        <v>29.45</v>
      </c>
      <c r="AI162" s="381">
        <v>2809.5</v>
      </c>
      <c r="AJ162" s="376" t="s">
        <v>179</v>
      </c>
      <c r="AK162" s="376" t="s">
        <v>180</v>
      </c>
      <c r="AL162" s="376" t="s">
        <v>181</v>
      </c>
      <c r="AM162" s="376" t="s">
        <v>182</v>
      </c>
      <c r="AN162" s="376" t="s">
        <v>68</v>
      </c>
      <c r="AO162" s="379">
        <v>80</v>
      </c>
      <c r="AP162" s="460">
        <v>1</v>
      </c>
      <c r="AQ162" s="460">
        <v>1</v>
      </c>
      <c r="AR162" s="458" t="s">
        <v>183</v>
      </c>
      <c r="AS162" s="462">
        <f t="shared" si="34"/>
        <v>1</v>
      </c>
      <c r="AT162">
        <f t="shared" si="35"/>
        <v>1</v>
      </c>
      <c r="AU162" s="462">
        <f>IF(AT162=0,"",IF(AND(AT162=1,M162="F",SUMIF(C2:C170,C162,AS2:AS170)&lt;=1),SUMIF(C2:C170,C162,AS2:AS170),IF(AND(AT162=1,M162="F",SUMIF(C2:C170,C162,AS2:AS170)&gt;1),1,"")))</f>
        <v>1</v>
      </c>
      <c r="AV162" s="462" t="str">
        <f>IF(AT162=0,"",IF(AND(AT162=3,M162="F",SUMIF(C2:C170,C162,AS2:AS170)&lt;=1),SUMIF(C2:C170,C162,AS2:AS170),IF(AND(AT162=3,M162="F",SUMIF(C2:C170,C162,AS2:AS170)&gt;1),1,"")))</f>
        <v/>
      </c>
      <c r="AW162" s="462">
        <f>SUMIF(C2:C170,C162,O2:O170)</f>
        <v>1</v>
      </c>
      <c r="AX162" s="462">
        <f>IF(AND(M162="F",AS162&lt;&gt;0),SUMIF(C2:C170,C162,W2:W170),0)</f>
        <v>61256</v>
      </c>
      <c r="AY162" s="462">
        <f t="shared" si="36"/>
        <v>61256</v>
      </c>
      <c r="AZ162" s="462" t="str">
        <f t="shared" si="37"/>
        <v/>
      </c>
      <c r="BA162" s="462">
        <f t="shared" si="38"/>
        <v>0</v>
      </c>
      <c r="BB162" s="462">
        <f>IF(AND(AT162=1,AK162="E",AU162&gt;=0.75,AW162=1),Health,IF(AND(AT162=1,AK162="E",AU162&gt;=0.75),Health*P162,IF(AND(AT162=1,AK162="E",AU162&gt;=0.5,AW162=1),PTHealth,IF(AND(AT162=1,AK162="E",AU162&gt;=0.5),PTHealth*P162,0))))</f>
        <v>11650</v>
      </c>
      <c r="BC162" s="462">
        <f>IF(AND(AT162=3,AK162="E",AV162&gt;=0.75,AW162=1),Health,IF(AND(AT162=3,AK162="E",AV162&gt;=0.75),Health*P162,IF(AND(AT162=3,AK162="E",AV162&gt;=0.5,AW162=1),PTHealth,IF(AND(AT162=3,AK162="E",AV162&gt;=0.5),PTHealth*P162,0))))</f>
        <v>0</v>
      </c>
      <c r="BD162" s="462">
        <f>IF(AND(AT162&lt;&gt;0,AX162&gt;=MAXSSDI),SSDI*MAXSSDI*P162,IF(AT162&lt;&gt;0,SSDI*W162,0))</f>
        <v>3797.8719999999998</v>
      </c>
      <c r="BE162" s="462">
        <f>IF(AT162&lt;&gt;0,SSHI*W162,0)</f>
        <v>888.21199999999999</v>
      </c>
      <c r="BF162" s="462">
        <f>IF(AND(AT162&lt;&gt;0,AN162&lt;&gt;"NE"),VLOOKUP(AN162,Retirement_Rates,3,FALSE)*W162,0)</f>
        <v>7313.9664000000002</v>
      </c>
      <c r="BG162" s="462">
        <f>IF(AND(AT162&lt;&gt;0,AJ162&lt;&gt;"PF"),Life*W162,0)</f>
        <v>441.65576000000004</v>
      </c>
      <c r="BH162" s="462">
        <f>IF(AND(AT162&lt;&gt;0,AM162="Y"),UI*W162,0)</f>
        <v>300.15440000000001</v>
      </c>
      <c r="BI162" s="462">
        <f>IF(AND(AT162&lt;&gt;0,N162&lt;&gt;"NR"),DHR*W162,0)</f>
        <v>339.35823999999997</v>
      </c>
      <c r="BJ162" s="462">
        <f>IF(AT162&lt;&gt;0,WC*W162,0)</f>
        <v>122.512</v>
      </c>
      <c r="BK162" s="462">
        <f>IF(OR(AND(AT162&lt;&gt;0,AJ162&lt;&gt;"PF",AN162&lt;&gt;"NE",AG162&lt;&gt;"A"),AND(AL162="E",OR(AT162=1,AT162=3))),Sick*W162,0)</f>
        <v>0</v>
      </c>
      <c r="BL162" s="462">
        <f t="shared" si="39"/>
        <v>13203.730799999999</v>
      </c>
      <c r="BM162" s="462">
        <f t="shared" si="40"/>
        <v>0</v>
      </c>
      <c r="BN162" s="462">
        <f>IF(AND(AT162=1,AK162="E",AU162&gt;=0.75,AW162=1),HealthBY,IF(AND(AT162=1,AK162="E",AU162&gt;=0.75),HealthBY*P162,IF(AND(AT162=1,AK162="E",AU162&gt;=0.5,AW162=1),PTHealthBY,IF(AND(AT162=1,AK162="E",AU162&gt;=0.5),PTHealthBY*P162,0))))</f>
        <v>11650</v>
      </c>
      <c r="BO162" s="462">
        <f>IF(AND(AT162=3,AK162="E",AV162&gt;=0.75,AW162=1),HealthBY,IF(AND(AT162=3,AK162="E",AV162&gt;=0.75),HealthBY*P162,IF(AND(AT162=3,AK162="E",AV162&gt;=0.5,AW162=1),PTHealthBY,IF(AND(AT162=3,AK162="E",AV162&gt;=0.5),PTHealthBY*P162,0))))</f>
        <v>0</v>
      </c>
      <c r="BP162" s="462">
        <f>IF(AND(AT162&lt;&gt;0,(AX162+BA162)&gt;=MAXSSDIBY),SSDIBY*MAXSSDIBY*P162,IF(AT162&lt;&gt;0,SSDIBY*W162,0))</f>
        <v>3797.8719999999998</v>
      </c>
      <c r="BQ162" s="462">
        <f>IF(AT162&lt;&gt;0,SSHIBY*W162,0)</f>
        <v>888.21199999999999</v>
      </c>
      <c r="BR162" s="462">
        <f>IF(AND(AT162&lt;&gt;0,AN162&lt;&gt;"NE"),VLOOKUP(AN162,Retirement_Rates,4,FALSE)*W162,0)</f>
        <v>7313.9664000000002</v>
      </c>
      <c r="BS162" s="462">
        <f>IF(AND(AT162&lt;&gt;0,AJ162&lt;&gt;"PF"),LifeBY*W162,0)</f>
        <v>441.65576000000004</v>
      </c>
      <c r="BT162" s="462">
        <f>IF(AND(AT162&lt;&gt;0,AM162="Y"),UIBY*W162,0)</f>
        <v>0</v>
      </c>
      <c r="BU162" s="462">
        <f>IF(AND(AT162&lt;&gt;0,N162&lt;&gt;"NR"),DHRBY*W162,0)</f>
        <v>339.35823999999997</v>
      </c>
      <c r="BV162" s="462">
        <f>IF(AT162&lt;&gt;0,WCBY*W162,0)</f>
        <v>104.1352</v>
      </c>
      <c r="BW162" s="462">
        <f>IF(OR(AND(AT162&lt;&gt;0,AJ162&lt;&gt;"PF",AN162&lt;&gt;"NE",AG162&lt;&gt;"A"),AND(AL162="E",OR(AT162=1,AT162=3))),SickBY*W162,0)</f>
        <v>0</v>
      </c>
      <c r="BX162" s="462">
        <f t="shared" si="41"/>
        <v>12885.1996</v>
      </c>
      <c r="BY162" s="462">
        <f t="shared" si="42"/>
        <v>0</v>
      </c>
      <c r="BZ162" s="462">
        <f t="shared" si="43"/>
        <v>0</v>
      </c>
      <c r="CA162" s="462">
        <f t="shared" si="44"/>
        <v>0</v>
      </c>
      <c r="CB162" s="462">
        <f t="shared" si="45"/>
        <v>0</v>
      </c>
      <c r="CC162" s="462">
        <f>IF(AT162&lt;&gt;0,SSHICHG*Y162,0)</f>
        <v>0</v>
      </c>
      <c r="CD162" s="462">
        <f>IF(AND(AT162&lt;&gt;0,AN162&lt;&gt;"NE"),VLOOKUP(AN162,Retirement_Rates,5,FALSE)*Y162,0)</f>
        <v>0</v>
      </c>
      <c r="CE162" s="462">
        <f>IF(AND(AT162&lt;&gt;0,AJ162&lt;&gt;"PF"),LifeCHG*Y162,0)</f>
        <v>0</v>
      </c>
      <c r="CF162" s="462">
        <f>IF(AND(AT162&lt;&gt;0,AM162="Y"),UICHG*Y162,0)</f>
        <v>-300.15440000000001</v>
      </c>
      <c r="CG162" s="462">
        <f>IF(AND(AT162&lt;&gt;0,N162&lt;&gt;"NR"),DHRCHG*Y162,0)</f>
        <v>0</v>
      </c>
      <c r="CH162" s="462">
        <f>IF(AT162&lt;&gt;0,WCCHG*Y162,0)</f>
        <v>-18.37680000000001</v>
      </c>
      <c r="CI162" s="462">
        <f>IF(OR(AND(AT162&lt;&gt;0,AJ162&lt;&gt;"PF",AN162&lt;&gt;"NE",AG162&lt;&gt;"A"),AND(AL162="E",OR(AT162=1,AT162=3))),SickCHG*Y162,0)</f>
        <v>0</v>
      </c>
      <c r="CJ162" s="462">
        <f t="shared" si="46"/>
        <v>-318.53120000000001</v>
      </c>
      <c r="CK162" s="462" t="str">
        <f t="shared" si="47"/>
        <v/>
      </c>
      <c r="CL162" s="462" t="str">
        <f t="shared" si="48"/>
        <v/>
      </c>
      <c r="CM162" s="462" t="str">
        <f t="shared" si="49"/>
        <v/>
      </c>
      <c r="CN162" s="462" t="str">
        <f t="shared" si="50"/>
        <v>0450-38</v>
      </c>
    </row>
    <row r="163" spans="1:92" ht="15" thickBot="1" x14ac:dyDescent="0.35">
      <c r="A163" s="376" t="s">
        <v>161</v>
      </c>
      <c r="B163" s="376" t="s">
        <v>162</v>
      </c>
      <c r="C163" s="376" t="s">
        <v>755</v>
      </c>
      <c r="D163" s="376" t="s">
        <v>313</v>
      </c>
      <c r="E163" s="376" t="s">
        <v>314</v>
      </c>
      <c r="F163" s="382" t="s">
        <v>406</v>
      </c>
      <c r="G163" s="376" t="s">
        <v>167</v>
      </c>
      <c r="H163" s="378"/>
      <c r="I163" s="378"/>
      <c r="J163" s="376" t="s">
        <v>168</v>
      </c>
      <c r="K163" s="376" t="s">
        <v>344</v>
      </c>
      <c r="L163" s="376" t="s">
        <v>181</v>
      </c>
      <c r="M163" s="376" t="s">
        <v>171</v>
      </c>
      <c r="N163" s="376" t="s">
        <v>172</v>
      </c>
      <c r="O163" s="379">
        <v>1</v>
      </c>
      <c r="P163" s="460">
        <v>1</v>
      </c>
      <c r="Q163" s="460">
        <v>1</v>
      </c>
      <c r="R163" s="380">
        <v>80</v>
      </c>
      <c r="S163" s="460">
        <v>1</v>
      </c>
      <c r="T163" s="380">
        <v>81242.23</v>
      </c>
      <c r="U163" s="380">
        <v>0</v>
      </c>
      <c r="V163" s="380">
        <v>28594.47</v>
      </c>
      <c r="W163" s="380">
        <v>82513.600000000006</v>
      </c>
      <c r="X163" s="380">
        <v>29435.77</v>
      </c>
      <c r="Y163" s="380">
        <v>82513.600000000006</v>
      </c>
      <c r="Z163" s="380">
        <v>29006.71</v>
      </c>
      <c r="AA163" s="376" t="s">
        <v>756</v>
      </c>
      <c r="AB163" s="376" t="s">
        <v>757</v>
      </c>
      <c r="AC163" s="376" t="s">
        <v>693</v>
      </c>
      <c r="AD163" s="376" t="s">
        <v>252</v>
      </c>
      <c r="AE163" s="376" t="s">
        <v>344</v>
      </c>
      <c r="AF163" s="376" t="s">
        <v>349</v>
      </c>
      <c r="AG163" s="376" t="s">
        <v>178</v>
      </c>
      <c r="AH163" s="381">
        <v>39.67</v>
      </c>
      <c r="AI163" s="381">
        <v>33045.5</v>
      </c>
      <c r="AJ163" s="376" t="s">
        <v>179</v>
      </c>
      <c r="AK163" s="376" t="s">
        <v>180</v>
      </c>
      <c r="AL163" s="376" t="s">
        <v>181</v>
      </c>
      <c r="AM163" s="376" t="s">
        <v>182</v>
      </c>
      <c r="AN163" s="376" t="s">
        <v>68</v>
      </c>
      <c r="AO163" s="379">
        <v>80</v>
      </c>
      <c r="AP163" s="460">
        <v>1</v>
      </c>
      <c r="AQ163" s="460">
        <v>1</v>
      </c>
      <c r="AR163" s="458" t="s">
        <v>183</v>
      </c>
      <c r="AS163" s="462">
        <f t="shared" si="34"/>
        <v>1</v>
      </c>
      <c r="AT163">
        <f t="shared" si="35"/>
        <v>1</v>
      </c>
      <c r="AU163" s="462">
        <f>IF(AT163=0,"",IF(AND(AT163=1,M163="F",SUMIF(C2:C170,C163,AS2:AS170)&lt;=1),SUMIF(C2:C170,C163,AS2:AS170),IF(AND(AT163=1,M163="F",SUMIF(C2:C170,C163,AS2:AS170)&gt;1),1,"")))</f>
        <v>1</v>
      </c>
      <c r="AV163" s="462" t="str">
        <f>IF(AT163=0,"",IF(AND(AT163=3,M163="F",SUMIF(C2:C170,C163,AS2:AS170)&lt;=1),SUMIF(C2:C170,C163,AS2:AS170),IF(AND(AT163=3,M163="F",SUMIF(C2:C170,C163,AS2:AS170)&gt;1),1,"")))</f>
        <v/>
      </c>
      <c r="AW163" s="462">
        <f>SUMIF(C2:C170,C163,O2:O170)</f>
        <v>1</v>
      </c>
      <c r="AX163" s="462">
        <f>IF(AND(M163="F",AS163&lt;&gt;0),SUMIF(C2:C170,C163,W2:W170),0)</f>
        <v>82513.600000000006</v>
      </c>
      <c r="AY163" s="462">
        <f t="shared" si="36"/>
        <v>82513.600000000006</v>
      </c>
      <c r="AZ163" s="462" t="str">
        <f t="shared" si="37"/>
        <v/>
      </c>
      <c r="BA163" s="462">
        <f t="shared" si="38"/>
        <v>0</v>
      </c>
      <c r="BB163" s="462">
        <f>IF(AND(AT163=1,AK163="E",AU163&gt;=0.75,AW163=1),Health,IF(AND(AT163=1,AK163="E",AU163&gt;=0.75),Health*P163,IF(AND(AT163=1,AK163="E",AU163&gt;=0.5,AW163=1),PTHealth,IF(AND(AT163=1,AK163="E",AU163&gt;=0.5),PTHealth*P163,0))))</f>
        <v>11650</v>
      </c>
      <c r="BC163" s="462">
        <f>IF(AND(AT163=3,AK163="E",AV163&gt;=0.75,AW163=1),Health,IF(AND(AT163=3,AK163="E",AV163&gt;=0.75),Health*P163,IF(AND(AT163=3,AK163="E",AV163&gt;=0.5,AW163=1),PTHealth,IF(AND(AT163=3,AK163="E",AV163&gt;=0.5),PTHealth*P163,0))))</f>
        <v>0</v>
      </c>
      <c r="BD163" s="462">
        <f>IF(AND(AT163&lt;&gt;0,AX163&gt;=MAXSSDI),SSDI*MAXSSDI*P163,IF(AT163&lt;&gt;0,SSDI*W163,0))</f>
        <v>5115.8432000000003</v>
      </c>
      <c r="BE163" s="462">
        <f>IF(AT163&lt;&gt;0,SSHI*W163,0)</f>
        <v>1196.4472000000001</v>
      </c>
      <c r="BF163" s="462">
        <f>IF(AND(AT163&lt;&gt;0,AN163&lt;&gt;"NE"),VLOOKUP(AN163,Retirement_Rates,3,FALSE)*W163,0)</f>
        <v>9852.123840000002</v>
      </c>
      <c r="BG163" s="462">
        <f>IF(AND(AT163&lt;&gt;0,AJ163&lt;&gt;"PF"),Life*W163,0)</f>
        <v>594.92305600000009</v>
      </c>
      <c r="BH163" s="462">
        <f>IF(AND(AT163&lt;&gt;0,AM163="Y"),UI*W163,0)</f>
        <v>404.31664000000001</v>
      </c>
      <c r="BI163" s="462">
        <f>IF(AND(AT163&lt;&gt;0,N163&lt;&gt;"NR"),DHR*W163,0)</f>
        <v>457.12534400000004</v>
      </c>
      <c r="BJ163" s="462">
        <f>IF(AT163&lt;&gt;0,WC*W163,0)</f>
        <v>165.02720000000002</v>
      </c>
      <c r="BK163" s="462">
        <f>IF(OR(AND(AT163&lt;&gt;0,AJ163&lt;&gt;"PF",AN163&lt;&gt;"NE",AG163&lt;&gt;"A"),AND(AL163="E",OR(AT163=1,AT163=3))),Sick*W163,0)</f>
        <v>0</v>
      </c>
      <c r="BL163" s="462">
        <f t="shared" si="39"/>
        <v>17785.806480000003</v>
      </c>
      <c r="BM163" s="462">
        <f t="shared" si="40"/>
        <v>0</v>
      </c>
      <c r="BN163" s="462">
        <f>IF(AND(AT163=1,AK163="E",AU163&gt;=0.75,AW163=1),HealthBY,IF(AND(AT163=1,AK163="E",AU163&gt;=0.75),HealthBY*P163,IF(AND(AT163=1,AK163="E",AU163&gt;=0.5,AW163=1),PTHealthBY,IF(AND(AT163=1,AK163="E",AU163&gt;=0.5),PTHealthBY*P163,0))))</f>
        <v>11650</v>
      </c>
      <c r="BO163" s="462">
        <f>IF(AND(AT163=3,AK163="E",AV163&gt;=0.75,AW163=1),HealthBY,IF(AND(AT163=3,AK163="E",AV163&gt;=0.75),HealthBY*P163,IF(AND(AT163=3,AK163="E",AV163&gt;=0.5,AW163=1),PTHealthBY,IF(AND(AT163=3,AK163="E",AV163&gt;=0.5),PTHealthBY*P163,0))))</f>
        <v>0</v>
      </c>
      <c r="BP163" s="462">
        <f>IF(AND(AT163&lt;&gt;0,(AX163+BA163)&gt;=MAXSSDIBY),SSDIBY*MAXSSDIBY*P163,IF(AT163&lt;&gt;0,SSDIBY*W163,0))</f>
        <v>5115.8432000000003</v>
      </c>
      <c r="BQ163" s="462">
        <f>IF(AT163&lt;&gt;0,SSHIBY*W163,0)</f>
        <v>1196.4472000000001</v>
      </c>
      <c r="BR163" s="462">
        <f>IF(AND(AT163&lt;&gt;0,AN163&lt;&gt;"NE"),VLOOKUP(AN163,Retirement_Rates,4,FALSE)*W163,0)</f>
        <v>9852.123840000002</v>
      </c>
      <c r="BS163" s="462">
        <f>IF(AND(AT163&lt;&gt;0,AJ163&lt;&gt;"PF"),LifeBY*W163,0)</f>
        <v>594.92305600000009</v>
      </c>
      <c r="BT163" s="462">
        <f>IF(AND(AT163&lt;&gt;0,AM163="Y"),UIBY*W163,0)</f>
        <v>0</v>
      </c>
      <c r="BU163" s="462">
        <f>IF(AND(AT163&lt;&gt;0,N163&lt;&gt;"NR"),DHRBY*W163,0)</f>
        <v>457.12534400000004</v>
      </c>
      <c r="BV163" s="462">
        <f>IF(AT163&lt;&gt;0,WCBY*W163,0)</f>
        <v>140.27312000000001</v>
      </c>
      <c r="BW163" s="462">
        <f>IF(OR(AND(AT163&lt;&gt;0,AJ163&lt;&gt;"PF",AN163&lt;&gt;"NE",AG163&lt;&gt;"A"),AND(AL163="E",OR(AT163=1,AT163=3))),SickBY*W163,0)</f>
        <v>0</v>
      </c>
      <c r="BX163" s="462">
        <f t="shared" si="41"/>
        <v>17356.735760000003</v>
      </c>
      <c r="BY163" s="462">
        <f t="shared" si="42"/>
        <v>0</v>
      </c>
      <c r="BZ163" s="462">
        <f t="shared" si="43"/>
        <v>0</v>
      </c>
      <c r="CA163" s="462">
        <f t="shared" si="44"/>
        <v>0</v>
      </c>
      <c r="CB163" s="462">
        <f t="shared" si="45"/>
        <v>0</v>
      </c>
      <c r="CC163" s="462">
        <f>IF(AT163&lt;&gt;0,SSHICHG*Y163,0)</f>
        <v>0</v>
      </c>
      <c r="CD163" s="462">
        <f>IF(AND(AT163&lt;&gt;0,AN163&lt;&gt;"NE"),VLOOKUP(AN163,Retirement_Rates,5,FALSE)*Y163,0)</f>
        <v>0</v>
      </c>
      <c r="CE163" s="462">
        <f>IF(AND(AT163&lt;&gt;0,AJ163&lt;&gt;"PF"),LifeCHG*Y163,0)</f>
        <v>0</v>
      </c>
      <c r="CF163" s="462">
        <f>IF(AND(AT163&lt;&gt;0,AM163="Y"),UICHG*Y163,0)</f>
        <v>-404.31664000000001</v>
      </c>
      <c r="CG163" s="462">
        <f>IF(AND(AT163&lt;&gt;0,N163&lt;&gt;"NR"),DHRCHG*Y163,0)</f>
        <v>0</v>
      </c>
      <c r="CH163" s="462">
        <f>IF(AT163&lt;&gt;0,WCCHG*Y163,0)</f>
        <v>-24.754080000000013</v>
      </c>
      <c r="CI163" s="462">
        <f>IF(OR(AND(AT163&lt;&gt;0,AJ163&lt;&gt;"PF",AN163&lt;&gt;"NE",AG163&lt;&gt;"A"),AND(AL163="E",OR(AT163=1,AT163=3))),SickCHG*Y163,0)</f>
        <v>0</v>
      </c>
      <c r="CJ163" s="462">
        <f t="shared" si="46"/>
        <v>-429.07071999999999</v>
      </c>
      <c r="CK163" s="462" t="str">
        <f t="shared" si="47"/>
        <v/>
      </c>
      <c r="CL163" s="462" t="str">
        <f t="shared" si="48"/>
        <v/>
      </c>
      <c r="CM163" s="462" t="str">
        <f t="shared" si="49"/>
        <v/>
      </c>
      <c r="CN163" s="462" t="str">
        <f t="shared" si="50"/>
        <v>0450-38</v>
      </c>
    </row>
    <row r="164" spans="1:92" ht="15" thickBot="1" x14ac:dyDescent="0.35">
      <c r="A164" s="376" t="s">
        <v>161</v>
      </c>
      <c r="B164" s="376" t="s">
        <v>162</v>
      </c>
      <c r="C164" s="376" t="s">
        <v>758</v>
      </c>
      <c r="D164" s="376" t="s">
        <v>430</v>
      </c>
      <c r="E164" s="376" t="s">
        <v>314</v>
      </c>
      <c r="F164" s="382" t="s">
        <v>406</v>
      </c>
      <c r="G164" s="376" t="s">
        <v>167</v>
      </c>
      <c r="H164" s="378"/>
      <c r="I164" s="378"/>
      <c r="J164" s="376" t="s">
        <v>168</v>
      </c>
      <c r="K164" s="376" t="s">
        <v>512</v>
      </c>
      <c r="L164" s="376" t="s">
        <v>216</v>
      </c>
      <c r="M164" s="376" t="s">
        <v>171</v>
      </c>
      <c r="N164" s="376" t="s">
        <v>172</v>
      </c>
      <c r="O164" s="379">
        <v>1</v>
      </c>
      <c r="P164" s="460">
        <v>1</v>
      </c>
      <c r="Q164" s="460">
        <v>1</v>
      </c>
      <c r="R164" s="380">
        <v>80</v>
      </c>
      <c r="S164" s="460">
        <v>1</v>
      </c>
      <c r="T164" s="380">
        <v>66213.03</v>
      </c>
      <c r="U164" s="380">
        <v>0</v>
      </c>
      <c r="V164" s="380">
        <v>26445.29</v>
      </c>
      <c r="W164" s="380">
        <v>72841.600000000006</v>
      </c>
      <c r="X164" s="380">
        <v>27350.97</v>
      </c>
      <c r="Y164" s="380">
        <v>72841.600000000006</v>
      </c>
      <c r="Z164" s="380">
        <v>26972.2</v>
      </c>
      <c r="AA164" s="376" t="s">
        <v>759</v>
      </c>
      <c r="AB164" s="376" t="s">
        <v>760</v>
      </c>
      <c r="AC164" s="376" t="s">
        <v>361</v>
      </c>
      <c r="AD164" s="376" t="s">
        <v>270</v>
      </c>
      <c r="AE164" s="376" t="s">
        <v>512</v>
      </c>
      <c r="AF164" s="376" t="s">
        <v>311</v>
      </c>
      <c r="AG164" s="376" t="s">
        <v>178</v>
      </c>
      <c r="AH164" s="381">
        <v>35.020000000000003</v>
      </c>
      <c r="AI164" s="381">
        <v>2166.5</v>
      </c>
      <c r="AJ164" s="376" t="s">
        <v>179</v>
      </c>
      <c r="AK164" s="376" t="s">
        <v>180</v>
      </c>
      <c r="AL164" s="376" t="s">
        <v>181</v>
      </c>
      <c r="AM164" s="376" t="s">
        <v>182</v>
      </c>
      <c r="AN164" s="376" t="s">
        <v>68</v>
      </c>
      <c r="AO164" s="379">
        <v>80</v>
      </c>
      <c r="AP164" s="460">
        <v>1</v>
      </c>
      <c r="AQ164" s="460">
        <v>1</v>
      </c>
      <c r="AR164" s="458" t="s">
        <v>183</v>
      </c>
      <c r="AS164" s="462">
        <f t="shared" si="34"/>
        <v>1</v>
      </c>
      <c r="AT164">
        <f t="shared" si="35"/>
        <v>1</v>
      </c>
      <c r="AU164" s="462">
        <f>IF(AT164=0,"",IF(AND(AT164=1,M164="F",SUMIF(C2:C170,C164,AS2:AS170)&lt;=1),SUMIF(C2:C170,C164,AS2:AS170),IF(AND(AT164=1,M164="F",SUMIF(C2:C170,C164,AS2:AS170)&gt;1),1,"")))</f>
        <v>1</v>
      </c>
      <c r="AV164" s="462" t="str">
        <f>IF(AT164=0,"",IF(AND(AT164=3,M164="F",SUMIF(C2:C170,C164,AS2:AS170)&lt;=1),SUMIF(C2:C170,C164,AS2:AS170),IF(AND(AT164=3,M164="F",SUMIF(C2:C170,C164,AS2:AS170)&gt;1),1,"")))</f>
        <v/>
      </c>
      <c r="AW164" s="462">
        <f>SUMIF(C2:C170,C164,O2:O170)</f>
        <v>1</v>
      </c>
      <c r="AX164" s="462">
        <f>IF(AND(M164="F",AS164&lt;&gt;0),SUMIF(C2:C170,C164,W2:W170),0)</f>
        <v>72841.600000000006</v>
      </c>
      <c r="AY164" s="462">
        <f t="shared" si="36"/>
        <v>72841.600000000006</v>
      </c>
      <c r="AZ164" s="462" t="str">
        <f t="shared" si="37"/>
        <v/>
      </c>
      <c r="BA164" s="462">
        <f t="shared" si="38"/>
        <v>0</v>
      </c>
      <c r="BB164" s="462">
        <f>IF(AND(AT164=1,AK164="E",AU164&gt;=0.75,AW164=1),Health,IF(AND(AT164=1,AK164="E",AU164&gt;=0.75),Health*P164,IF(AND(AT164=1,AK164="E",AU164&gt;=0.5,AW164=1),PTHealth,IF(AND(AT164=1,AK164="E",AU164&gt;=0.5),PTHealth*P164,0))))</f>
        <v>11650</v>
      </c>
      <c r="BC164" s="462">
        <f>IF(AND(AT164=3,AK164="E",AV164&gt;=0.75,AW164=1),Health,IF(AND(AT164=3,AK164="E",AV164&gt;=0.75),Health*P164,IF(AND(AT164=3,AK164="E",AV164&gt;=0.5,AW164=1),PTHealth,IF(AND(AT164=3,AK164="E",AV164&gt;=0.5),PTHealth*P164,0))))</f>
        <v>0</v>
      </c>
      <c r="BD164" s="462">
        <f>IF(AND(AT164&lt;&gt;0,AX164&gt;=MAXSSDI),SSDI*MAXSSDI*P164,IF(AT164&lt;&gt;0,SSDI*W164,0))</f>
        <v>4516.1792000000005</v>
      </c>
      <c r="BE164" s="462">
        <f>IF(AT164&lt;&gt;0,SSHI*W164,0)</f>
        <v>1056.2032000000002</v>
      </c>
      <c r="BF164" s="462">
        <f>IF(AND(AT164&lt;&gt;0,AN164&lt;&gt;"NE"),VLOOKUP(AN164,Retirement_Rates,3,FALSE)*W164,0)</f>
        <v>8697.2870400000011</v>
      </c>
      <c r="BG164" s="462">
        <f>IF(AND(AT164&lt;&gt;0,AJ164&lt;&gt;"PF"),Life*W164,0)</f>
        <v>525.18793600000004</v>
      </c>
      <c r="BH164" s="462">
        <f>IF(AND(AT164&lt;&gt;0,AM164="Y"),UI*W164,0)</f>
        <v>356.92384000000004</v>
      </c>
      <c r="BI164" s="462">
        <f>IF(AND(AT164&lt;&gt;0,N164&lt;&gt;"NR"),DHR*W164,0)</f>
        <v>403.542464</v>
      </c>
      <c r="BJ164" s="462">
        <f>IF(AT164&lt;&gt;0,WC*W164,0)</f>
        <v>145.68320000000003</v>
      </c>
      <c r="BK164" s="462">
        <f>IF(OR(AND(AT164&lt;&gt;0,AJ164&lt;&gt;"PF",AN164&lt;&gt;"NE",AG164&lt;&gt;"A"),AND(AL164="E",OR(AT164=1,AT164=3))),Sick*W164,0)</f>
        <v>0</v>
      </c>
      <c r="BL164" s="462">
        <f t="shared" si="39"/>
        <v>15701.006880000001</v>
      </c>
      <c r="BM164" s="462">
        <f t="shared" si="40"/>
        <v>0</v>
      </c>
      <c r="BN164" s="462">
        <f>IF(AND(AT164=1,AK164="E",AU164&gt;=0.75,AW164=1),HealthBY,IF(AND(AT164=1,AK164="E",AU164&gt;=0.75),HealthBY*P164,IF(AND(AT164=1,AK164="E",AU164&gt;=0.5,AW164=1),PTHealthBY,IF(AND(AT164=1,AK164="E",AU164&gt;=0.5),PTHealthBY*P164,0))))</f>
        <v>11650</v>
      </c>
      <c r="BO164" s="462">
        <f>IF(AND(AT164=3,AK164="E",AV164&gt;=0.75,AW164=1),HealthBY,IF(AND(AT164=3,AK164="E",AV164&gt;=0.75),HealthBY*P164,IF(AND(AT164=3,AK164="E",AV164&gt;=0.5,AW164=1),PTHealthBY,IF(AND(AT164=3,AK164="E",AV164&gt;=0.5),PTHealthBY*P164,0))))</f>
        <v>0</v>
      </c>
      <c r="BP164" s="462">
        <f>IF(AND(AT164&lt;&gt;0,(AX164+BA164)&gt;=MAXSSDIBY),SSDIBY*MAXSSDIBY*P164,IF(AT164&lt;&gt;0,SSDIBY*W164,0))</f>
        <v>4516.1792000000005</v>
      </c>
      <c r="BQ164" s="462">
        <f>IF(AT164&lt;&gt;0,SSHIBY*W164,0)</f>
        <v>1056.2032000000002</v>
      </c>
      <c r="BR164" s="462">
        <f>IF(AND(AT164&lt;&gt;0,AN164&lt;&gt;"NE"),VLOOKUP(AN164,Retirement_Rates,4,FALSE)*W164,0)</f>
        <v>8697.2870400000011</v>
      </c>
      <c r="BS164" s="462">
        <f>IF(AND(AT164&lt;&gt;0,AJ164&lt;&gt;"PF"),LifeBY*W164,0)</f>
        <v>525.18793600000004</v>
      </c>
      <c r="BT164" s="462">
        <f>IF(AND(AT164&lt;&gt;0,AM164="Y"),UIBY*W164,0)</f>
        <v>0</v>
      </c>
      <c r="BU164" s="462">
        <f>IF(AND(AT164&lt;&gt;0,N164&lt;&gt;"NR"),DHRBY*W164,0)</f>
        <v>403.542464</v>
      </c>
      <c r="BV164" s="462">
        <f>IF(AT164&lt;&gt;0,WCBY*W164,0)</f>
        <v>123.83072</v>
      </c>
      <c r="BW164" s="462">
        <f>IF(OR(AND(AT164&lt;&gt;0,AJ164&lt;&gt;"PF",AN164&lt;&gt;"NE",AG164&lt;&gt;"A"),AND(AL164="E",OR(AT164=1,AT164=3))),SickBY*W164,0)</f>
        <v>0</v>
      </c>
      <c r="BX164" s="462">
        <f t="shared" si="41"/>
        <v>15322.230560000002</v>
      </c>
      <c r="BY164" s="462">
        <f t="shared" si="42"/>
        <v>0</v>
      </c>
      <c r="BZ164" s="462">
        <f t="shared" si="43"/>
        <v>0</v>
      </c>
      <c r="CA164" s="462">
        <f t="shared" si="44"/>
        <v>0</v>
      </c>
      <c r="CB164" s="462">
        <f t="shared" si="45"/>
        <v>0</v>
      </c>
      <c r="CC164" s="462">
        <f>IF(AT164&lt;&gt;0,SSHICHG*Y164,0)</f>
        <v>0</v>
      </c>
      <c r="CD164" s="462">
        <f>IF(AND(AT164&lt;&gt;0,AN164&lt;&gt;"NE"),VLOOKUP(AN164,Retirement_Rates,5,FALSE)*Y164,0)</f>
        <v>0</v>
      </c>
      <c r="CE164" s="462">
        <f>IF(AND(AT164&lt;&gt;0,AJ164&lt;&gt;"PF"),LifeCHG*Y164,0)</f>
        <v>0</v>
      </c>
      <c r="CF164" s="462">
        <f>IF(AND(AT164&lt;&gt;0,AM164="Y"),UICHG*Y164,0)</f>
        <v>-356.92384000000004</v>
      </c>
      <c r="CG164" s="462">
        <f>IF(AND(AT164&lt;&gt;0,N164&lt;&gt;"NR"),DHRCHG*Y164,0)</f>
        <v>0</v>
      </c>
      <c r="CH164" s="462">
        <f>IF(AT164&lt;&gt;0,WCCHG*Y164,0)</f>
        <v>-21.852480000000011</v>
      </c>
      <c r="CI164" s="462">
        <f>IF(OR(AND(AT164&lt;&gt;0,AJ164&lt;&gt;"PF",AN164&lt;&gt;"NE",AG164&lt;&gt;"A"),AND(AL164="E",OR(AT164=1,AT164=3))),SickCHG*Y164,0)</f>
        <v>0</v>
      </c>
      <c r="CJ164" s="462">
        <f t="shared" si="46"/>
        <v>-378.77632000000006</v>
      </c>
      <c r="CK164" s="462" t="str">
        <f t="shared" si="47"/>
        <v/>
      </c>
      <c r="CL164" s="462" t="str">
        <f t="shared" si="48"/>
        <v/>
      </c>
      <c r="CM164" s="462" t="str">
        <f t="shared" si="49"/>
        <v/>
      </c>
      <c r="CN164" s="462" t="str">
        <f t="shared" si="50"/>
        <v>0450-38</v>
      </c>
    </row>
    <row r="165" spans="1:92" ht="15" thickBot="1" x14ac:dyDescent="0.35">
      <c r="A165" s="376" t="s">
        <v>161</v>
      </c>
      <c r="B165" s="376" t="s">
        <v>162</v>
      </c>
      <c r="C165" s="376" t="s">
        <v>761</v>
      </c>
      <c r="D165" s="376" t="s">
        <v>313</v>
      </c>
      <c r="E165" s="376" t="s">
        <v>314</v>
      </c>
      <c r="F165" s="382" t="s">
        <v>406</v>
      </c>
      <c r="G165" s="376" t="s">
        <v>167</v>
      </c>
      <c r="H165" s="378"/>
      <c r="I165" s="378"/>
      <c r="J165" s="376" t="s">
        <v>168</v>
      </c>
      <c r="K165" s="376" t="s">
        <v>316</v>
      </c>
      <c r="L165" s="376" t="s">
        <v>216</v>
      </c>
      <c r="M165" s="376" t="s">
        <v>171</v>
      </c>
      <c r="N165" s="376" t="s">
        <v>172</v>
      </c>
      <c r="O165" s="379">
        <v>1</v>
      </c>
      <c r="P165" s="460">
        <v>1</v>
      </c>
      <c r="Q165" s="460">
        <v>1</v>
      </c>
      <c r="R165" s="380">
        <v>80</v>
      </c>
      <c r="S165" s="460">
        <v>1</v>
      </c>
      <c r="T165" s="380">
        <v>50890.400000000001</v>
      </c>
      <c r="U165" s="380">
        <v>0</v>
      </c>
      <c r="V165" s="380">
        <v>20352.439999999999</v>
      </c>
      <c r="W165" s="380">
        <v>71281.600000000006</v>
      </c>
      <c r="X165" s="380">
        <v>27014.720000000001</v>
      </c>
      <c r="Y165" s="380">
        <v>71281.600000000006</v>
      </c>
      <c r="Z165" s="380">
        <v>26644.06</v>
      </c>
      <c r="AA165" s="376" t="s">
        <v>762</v>
      </c>
      <c r="AB165" s="376" t="s">
        <v>763</v>
      </c>
      <c r="AC165" s="376" t="s">
        <v>195</v>
      </c>
      <c r="AD165" s="376" t="s">
        <v>228</v>
      </c>
      <c r="AE165" s="376" t="s">
        <v>316</v>
      </c>
      <c r="AF165" s="376" t="s">
        <v>311</v>
      </c>
      <c r="AG165" s="376" t="s">
        <v>178</v>
      </c>
      <c r="AH165" s="381">
        <v>34.270000000000003</v>
      </c>
      <c r="AI165" s="379">
        <v>1600</v>
      </c>
      <c r="AJ165" s="376" t="s">
        <v>179</v>
      </c>
      <c r="AK165" s="376" t="s">
        <v>180</v>
      </c>
      <c r="AL165" s="376" t="s">
        <v>181</v>
      </c>
      <c r="AM165" s="376" t="s">
        <v>182</v>
      </c>
      <c r="AN165" s="376" t="s">
        <v>68</v>
      </c>
      <c r="AO165" s="379">
        <v>80</v>
      </c>
      <c r="AP165" s="460">
        <v>1</v>
      </c>
      <c r="AQ165" s="460">
        <v>1</v>
      </c>
      <c r="AR165" s="458" t="s">
        <v>183</v>
      </c>
      <c r="AS165" s="462">
        <f t="shared" si="34"/>
        <v>1</v>
      </c>
      <c r="AT165">
        <f t="shared" si="35"/>
        <v>1</v>
      </c>
      <c r="AU165" s="462">
        <f>IF(AT165=0,"",IF(AND(AT165=1,M165="F",SUMIF(C2:C170,C165,AS2:AS170)&lt;=1),SUMIF(C2:C170,C165,AS2:AS170),IF(AND(AT165=1,M165="F",SUMIF(C2:C170,C165,AS2:AS170)&gt;1),1,"")))</f>
        <v>1</v>
      </c>
      <c r="AV165" s="462" t="str">
        <f>IF(AT165=0,"",IF(AND(AT165=3,M165="F",SUMIF(C2:C170,C165,AS2:AS170)&lt;=1),SUMIF(C2:C170,C165,AS2:AS170),IF(AND(AT165=3,M165="F",SUMIF(C2:C170,C165,AS2:AS170)&gt;1),1,"")))</f>
        <v/>
      </c>
      <c r="AW165" s="462">
        <f>SUMIF(C2:C170,C165,O2:O170)</f>
        <v>1</v>
      </c>
      <c r="AX165" s="462">
        <f>IF(AND(M165="F",AS165&lt;&gt;0),SUMIF(C2:C170,C165,W2:W170),0)</f>
        <v>71281.600000000006</v>
      </c>
      <c r="AY165" s="462">
        <f t="shared" si="36"/>
        <v>71281.600000000006</v>
      </c>
      <c r="AZ165" s="462" t="str">
        <f t="shared" si="37"/>
        <v/>
      </c>
      <c r="BA165" s="462">
        <f t="shared" si="38"/>
        <v>0</v>
      </c>
      <c r="BB165" s="462">
        <f>IF(AND(AT165=1,AK165="E",AU165&gt;=0.75,AW165=1),Health,IF(AND(AT165=1,AK165="E",AU165&gt;=0.75),Health*P165,IF(AND(AT165=1,AK165="E",AU165&gt;=0.5,AW165=1),PTHealth,IF(AND(AT165=1,AK165="E",AU165&gt;=0.5),PTHealth*P165,0))))</f>
        <v>11650</v>
      </c>
      <c r="BC165" s="462">
        <f>IF(AND(AT165=3,AK165="E",AV165&gt;=0.75,AW165=1),Health,IF(AND(AT165=3,AK165="E",AV165&gt;=0.75),Health*P165,IF(AND(AT165=3,AK165="E",AV165&gt;=0.5,AW165=1),PTHealth,IF(AND(AT165=3,AK165="E",AV165&gt;=0.5),PTHealth*P165,0))))</f>
        <v>0</v>
      </c>
      <c r="BD165" s="462">
        <f>IF(AND(AT165&lt;&gt;0,AX165&gt;=MAXSSDI),SSDI*MAXSSDI*P165,IF(AT165&lt;&gt;0,SSDI*W165,0))</f>
        <v>4419.4592000000002</v>
      </c>
      <c r="BE165" s="462">
        <f>IF(AT165&lt;&gt;0,SSHI*W165,0)</f>
        <v>1033.5832</v>
      </c>
      <c r="BF165" s="462">
        <f>IF(AND(AT165&lt;&gt;0,AN165&lt;&gt;"NE"),VLOOKUP(AN165,Retirement_Rates,3,FALSE)*W165,0)</f>
        <v>8511.0230400000019</v>
      </c>
      <c r="BG165" s="462">
        <f>IF(AND(AT165&lt;&gt;0,AJ165&lt;&gt;"PF"),Life*W165,0)</f>
        <v>513.94033600000012</v>
      </c>
      <c r="BH165" s="462">
        <f>IF(AND(AT165&lt;&gt;0,AM165="Y"),UI*W165,0)</f>
        <v>349.27984000000004</v>
      </c>
      <c r="BI165" s="462">
        <f>IF(AND(AT165&lt;&gt;0,N165&lt;&gt;"NR"),DHR*W165,0)</f>
        <v>394.90006400000004</v>
      </c>
      <c r="BJ165" s="462">
        <f>IF(AT165&lt;&gt;0,WC*W165,0)</f>
        <v>142.56320000000002</v>
      </c>
      <c r="BK165" s="462">
        <f>IF(OR(AND(AT165&lt;&gt;0,AJ165&lt;&gt;"PF",AN165&lt;&gt;"NE",AG165&lt;&gt;"A"),AND(AL165="E",OR(AT165=1,AT165=3))),Sick*W165,0)</f>
        <v>0</v>
      </c>
      <c r="BL165" s="462">
        <f t="shared" si="39"/>
        <v>15364.748880000001</v>
      </c>
      <c r="BM165" s="462">
        <f t="shared" si="40"/>
        <v>0</v>
      </c>
      <c r="BN165" s="462">
        <f>IF(AND(AT165=1,AK165="E",AU165&gt;=0.75,AW165=1),HealthBY,IF(AND(AT165=1,AK165="E",AU165&gt;=0.75),HealthBY*P165,IF(AND(AT165=1,AK165="E",AU165&gt;=0.5,AW165=1),PTHealthBY,IF(AND(AT165=1,AK165="E",AU165&gt;=0.5),PTHealthBY*P165,0))))</f>
        <v>11650</v>
      </c>
      <c r="BO165" s="462">
        <f>IF(AND(AT165=3,AK165="E",AV165&gt;=0.75,AW165=1),HealthBY,IF(AND(AT165=3,AK165="E",AV165&gt;=0.75),HealthBY*P165,IF(AND(AT165=3,AK165="E",AV165&gt;=0.5,AW165=1),PTHealthBY,IF(AND(AT165=3,AK165="E",AV165&gt;=0.5),PTHealthBY*P165,0))))</f>
        <v>0</v>
      </c>
      <c r="BP165" s="462">
        <f>IF(AND(AT165&lt;&gt;0,(AX165+BA165)&gt;=MAXSSDIBY),SSDIBY*MAXSSDIBY*P165,IF(AT165&lt;&gt;0,SSDIBY*W165,0))</f>
        <v>4419.4592000000002</v>
      </c>
      <c r="BQ165" s="462">
        <f>IF(AT165&lt;&gt;0,SSHIBY*W165,0)</f>
        <v>1033.5832</v>
      </c>
      <c r="BR165" s="462">
        <f>IF(AND(AT165&lt;&gt;0,AN165&lt;&gt;"NE"),VLOOKUP(AN165,Retirement_Rates,4,FALSE)*W165,0)</f>
        <v>8511.0230400000019</v>
      </c>
      <c r="BS165" s="462">
        <f>IF(AND(AT165&lt;&gt;0,AJ165&lt;&gt;"PF"),LifeBY*W165,0)</f>
        <v>513.94033600000012</v>
      </c>
      <c r="BT165" s="462">
        <f>IF(AND(AT165&lt;&gt;0,AM165="Y"),UIBY*W165,0)</f>
        <v>0</v>
      </c>
      <c r="BU165" s="462">
        <f>IF(AND(AT165&lt;&gt;0,N165&lt;&gt;"NR"),DHRBY*W165,0)</f>
        <v>394.90006400000004</v>
      </c>
      <c r="BV165" s="462">
        <f>IF(AT165&lt;&gt;0,WCBY*W165,0)</f>
        <v>121.17872</v>
      </c>
      <c r="BW165" s="462">
        <f>IF(OR(AND(AT165&lt;&gt;0,AJ165&lt;&gt;"PF",AN165&lt;&gt;"NE",AG165&lt;&gt;"A"),AND(AL165="E",OR(AT165=1,AT165=3))),SickBY*W165,0)</f>
        <v>0</v>
      </c>
      <c r="BX165" s="462">
        <f t="shared" si="41"/>
        <v>14994.084560000001</v>
      </c>
      <c r="BY165" s="462">
        <f t="shared" si="42"/>
        <v>0</v>
      </c>
      <c r="BZ165" s="462">
        <f t="shared" si="43"/>
        <v>0</v>
      </c>
      <c r="CA165" s="462">
        <f t="shared" si="44"/>
        <v>0</v>
      </c>
      <c r="CB165" s="462">
        <f t="shared" si="45"/>
        <v>0</v>
      </c>
      <c r="CC165" s="462">
        <f>IF(AT165&lt;&gt;0,SSHICHG*Y165,0)</f>
        <v>0</v>
      </c>
      <c r="CD165" s="462">
        <f>IF(AND(AT165&lt;&gt;0,AN165&lt;&gt;"NE"),VLOOKUP(AN165,Retirement_Rates,5,FALSE)*Y165,0)</f>
        <v>0</v>
      </c>
      <c r="CE165" s="462">
        <f>IF(AND(AT165&lt;&gt;0,AJ165&lt;&gt;"PF"),LifeCHG*Y165,0)</f>
        <v>0</v>
      </c>
      <c r="CF165" s="462">
        <f>IF(AND(AT165&lt;&gt;0,AM165="Y"),UICHG*Y165,0)</f>
        <v>-349.27984000000004</v>
      </c>
      <c r="CG165" s="462">
        <f>IF(AND(AT165&lt;&gt;0,N165&lt;&gt;"NR"),DHRCHG*Y165,0)</f>
        <v>0</v>
      </c>
      <c r="CH165" s="462">
        <f>IF(AT165&lt;&gt;0,WCCHG*Y165,0)</f>
        <v>-21.384480000000011</v>
      </c>
      <c r="CI165" s="462">
        <f>IF(OR(AND(AT165&lt;&gt;0,AJ165&lt;&gt;"PF",AN165&lt;&gt;"NE",AG165&lt;&gt;"A"),AND(AL165="E",OR(AT165=1,AT165=3))),SickCHG*Y165,0)</f>
        <v>0</v>
      </c>
      <c r="CJ165" s="462">
        <f t="shared" si="46"/>
        <v>-370.66432000000003</v>
      </c>
      <c r="CK165" s="462" t="str">
        <f t="shared" si="47"/>
        <v/>
      </c>
      <c r="CL165" s="462" t="str">
        <f t="shared" si="48"/>
        <v/>
      </c>
      <c r="CM165" s="462" t="str">
        <f t="shared" si="49"/>
        <v/>
      </c>
      <c r="CN165" s="462" t="str">
        <f t="shared" si="50"/>
        <v>0450-38</v>
      </c>
    </row>
    <row r="166" spans="1:92" ht="15" thickBot="1" x14ac:dyDescent="0.35">
      <c r="A166" s="376" t="s">
        <v>161</v>
      </c>
      <c r="B166" s="376" t="s">
        <v>162</v>
      </c>
      <c r="C166" s="376" t="s">
        <v>764</v>
      </c>
      <c r="D166" s="376" t="s">
        <v>313</v>
      </c>
      <c r="E166" s="376" t="s">
        <v>314</v>
      </c>
      <c r="F166" s="382" t="s">
        <v>406</v>
      </c>
      <c r="G166" s="376" t="s">
        <v>167</v>
      </c>
      <c r="H166" s="378"/>
      <c r="I166" s="378"/>
      <c r="J166" s="376" t="s">
        <v>168</v>
      </c>
      <c r="K166" s="376" t="s">
        <v>316</v>
      </c>
      <c r="L166" s="376" t="s">
        <v>216</v>
      </c>
      <c r="M166" s="376" t="s">
        <v>171</v>
      </c>
      <c r="N166" s="376" t="s">
        <v>172</v>
      </c>
      <c r="O166" s="379">
        <v>1</v>
      </c>
      <c r="P166" s="460">
        <v>1</v>
      </c>
      <c r="Q166" s="460">
        <v>1</v>
      </c>
      <c r="R166" s="380">
        <v>80</v>
      </c>
      <c r="S166" s="460">
        <v>1</v>
      </c>
      <c r="T166" s="380">
        <v>68366.399999999994</v>
      </c>
      <c r="U166" s="380">
        <v>0</v>
      </c>
      <c r="V166" s="380">
        <v>25630.81</v>
      </c>
      <c r="W166" s="380">
        <v>68889.600000000006</v>
      </c>
      <c r="X166" s="380">
        <v>26499.1</v>
      </c>
      <c r="Y166" s="380">
        <v>68889.600000000006</v>
      </c>
      <c r="Z166" s="380">
        <v>26140.89</v>
      </c>
      <c r="AA166" s="376" t="s">
        <v>765</v>
      </c>
      <c r="AB166" s="376" t="s">
        <v>766</v>
      </c>
      <c r="AC166" s="376" t="s">
        <v>199</v>
      </c>
      <c r="AD166" s="376" t="s">
        <v>353</v>
      </c>
      <c r="AE166" s="376" t="s">
        <v>316</v>
      </c>
      <c r="AF166" s="376" t="s">
        <v>311</v>
      </c>
      <c r="AG166" s="376" t="s">
        <v>178</v>
      </c>
      <c r="AH166" s="381">
        <v>33.119999999999997</v>
      </c>
      <c r="AI166" s="379">
        <v>10310</v>
      </c>
      <c r="AJ166" s="376" t="s">
        <v>179</v>
      </c>
      <c r="AK166" s="376" t="s">
        <v>180</v>
      </c>
      <c r="AL166" s="376" t="s">
        <v>181</v>
      </c>
      <c r="AM166" s="376" t="s">
        <v>182</v>
      </c>
      <c r="AN166" s="376" t="s">
        <v>68</v>
      </c>
      <c r="AO166" s="379">
        <v>80</v>
      </c>
      <c r="AP166" s="460">
        <v>1</v>
      </c>
      <c r="AQ166" s="460">
        <v>1</v>
      </c>
      <c r="AR166" s="458" t="s">
        <v>183</v>
      </c>
      <c r="AS166" s="462">
        <f t="shared" si="34"/>
        <v>1</v>
      </c>
      <c r="AT166">
        <f t="shared" si="35"/>
        <v>1</v>
      </c>
      <c r="AU166" s="462">
        <f>IF(AT166=0,"",IF(AND(AT166=1,M166="F",SUMIF(C2:C170,C166,AS2:AS170)&lt;=1),SUMIF(C2:C170,C166,AS2:AS170),IF(AND(AT166=1,M166="F",SUMIF(C2:C170,C166,AS2:AS170)&gt;1),1,"")))</f>
        <v>1</v>
      </c>
      <c r="AV166" s="462" t="str">
        <f>IF(AT166=0,"",IF(AND(AT166=3,M166="F",SUMIF(C2:C170,C166,AS2:AS170)&lt;=1),SUMIF(C2:C170,C166,AS2:AS170),IF(AND(AT166=3,M166="F",SUMIF(C2:C170,C166,AS2:AS170)&gt;1),1,"")))</f>
        <v/>
      </c>
      <c r="AW166" s="462">
        <f>SUMIF(C2:C170,C166,O2:O170)</f>
        <v>1</v>
      </c>
      <c r="AX166" s="462">
        <f>IF(AND(M166="F",AS166&lt;&gt;0),SUMIF(C2:C170,C166,W2:W170),0)</f>
        <v>68889.600000000006</v>
      </c>
      <c r="AY166" s="462">
        <f t="shared" si="36"/>
        <v>68889.600000000006</v>
      </c>
      <c r="AZ166" s="462" t="str">
        <f t="shared" si="37"/>
        <v/>
      </c>
      <c r="BA166" s="462">
        <f t="shared" si="38"/>
        <v>0</v>
      </c>
      <c r="BB166" s="462">
        <f>IF(AND(AT166=1,AK166="E",AU166&gt;=0.75,AW166=1),Health,IF(AND(AT166=1,AK166="E",AU166&gt;=0.75),Health*P166,IF(AND(AT166=1,AK166="E",AU166&gt;=0.5,AW166=1),PTHealth,IF(AND(AT166=1,AK166="E",AU166&gt;=0.5),PTHealth*P166,0))))</f>
        <v>11650</v>
      </c>
      <c r="BC166" s="462">
        <f>IF(AND(AT166=3,AK166="E",AV166&gt;=0.75,AW166=1),Health,IF(AND(AT166=3,AK166="E",AV166&gt;=0.75),Health*P166,IF(AND(AT166=3,AK166="E",AV166&gt;=0.5,AW166=1),PTHealth,IF(AND(AT166=3,AK166="E",AV166&gt;=0.5),PTHealth*P166,0))))</f>
        <v>0</v>
      </c>
      <c r="BD166" s="462">
        <f>IF(AND(AT166&lt;&gt;0,AX166&gt;=MAXSSDI),SSDI*MAXSSDI*P166,IF(AT166&lt;&gt;0,SSDI*W166,0))</f>
        <v>4271.1552000000001</v>
      </c>
      <c r="BE166" s="462">
        <f>IF(AT166&lt;&gt;0,SSHI*W166,0)</f>
        <v>998.89920000000018</v>
      </c>
      <c r="BF166" s="462">
        <f>IF(AND(AT166&lt;&gt;0,AN166&lt;&gt;"NE"),VLOOKUP(AN166,Retirement_Rates,3,FALSE)*W166,0)</f>
        <v>8225.4182400000009</v>
      </c>
      <c r="BG166" s="462">
        <f>IF(AND(AT166&lt;&gt;0,AJ166&lt;&gt;"PF"),Life*W166,0)</f>
        <v>496.69401600000003</v>
      </c>
      <c r="BH166" s="462">
        <f>IF(AND(AT166&lt;&gt;0,AM166="Y"),UI*W166,0)</f>
        <v>337.55904000000004</v>
      </c>
      <c r="BI166" s="462">
        <f>IF(AND(AT166&lt;&gt;0,N166&lt;&gt;"NR"),DHR*W166,0)</f>
        <v>381.64838400000002</v>
      </c>
      <c r="BJ166" s="462">
        <f>IF(AT166&lt;&gt;0,WC*W166,0)</f>
        <v>137.7792</v>
      </c>
      <c r="BK166" s="462">
        <f>IF(OR(AND(AT166&lt;&gt;0,AJ166&lt;&gt;"PF",AN166&lt;&gt;"NE",AG166&lt;&gt;"A"),AND(AL166="E",OR(AT166=1,AT166=3))),Sick*W166,0)</f>
        <v>0</v>
      </c>
      <c r="BL166" s="462">
        <f t="shared" si="39"/>
        <v>14849.15328</v>
      </c>
      <c r="BM166" s="462">
        <f t="shared" si="40"/>
        <v>0</v>
      </c>
      <c r="BN166" s="462">
        <f>IF(AND(AT166=1,AK166="E",AU166&gt;=0.75,AW166=1),HealthBY,IF(AND(AT166=1,AK166="E",AU166&gt;=0.75),HealthBY*P166,IF(AND(AT166=1,AK166="E",AU166&gt;=0.5,AW166=1),PTHealthBY,IF(AND(AT166=1,AK166="E",AU166&gt;=0.5),PTHealthBY*P166,0))))</f>
        <v>11650</v>
      </c>
      <c r="BO166" s="462">
        <f>IF(AND(AT166=3,AK166="E",AV166&gt;=0.75,AW166=1),HealthBY,IF(AND(AT166=3,AK166="E",AV166&gt;=0.75),HealthBY*P166,IF(AND(AT166=3,AK166="E",AV166&gt;=0.5,AW166=1),PTHealthBY,IF(AND(AT166=3,AK166="E",AV166&gt;=0.5),PTHealthBY*P166,0))))</f>
        <v>0</v>
      </c>
      <c r="BP166" s="462">
        <f>IF(AND(AT166&lt;&gt;0,(AX166+BA166)&gt;=MAXSSDIBY),SSDIBY*MAXSSDIBY*P166,IF(AT166&lt;&gt;0,SSDIBY*W166,0))</f>
        <v>4271.1552000000001</v>
      </c>
      <c r="BQ166" s="462">
        <f>IF(AT166&lt;&gt;0,SSHIBY*W166,0)</f>
        <v>998.89920000000018</v>
      </c>
      <c r="BR166" s="462">
        <f>IF(AND(AT166&lt;&gt;0,AN166&lt;&gt;"NE"),VLOOKUP(AN166,Retirement_Rates,4,FALSE)*W166,0)</f>
        <v>8225.4182400000009</v>
      </c>
      <c r="BS166" s="462">
        <f>IF(AND(AT166&lt;&gt;0,AJ166&lt;&gt;"PF"),LifeBY*W166,0)</f>
        <v>496.69401600000003</v>
      </c>
      <c r="BT166" s="462">
        <f>IF(AND(AT166&lt;&gt;0,AM166="Y"),UIBY*W166,0)</f>
        <v>0</v>
      </c>
      <c r="BU166" s="462">
        <f>IF(AND(AT166&lt;&gt;0,N166&lt;&gt;"NR"),DHRBY*W166,0)</f>
        <v>381.64838400000002</v>
      </c>
      <c r="BV166" s="462">
        <f>IF(AT166&lt;&gt;0,WCBY*W166,0)</f>
        <v>117.11232</v>
      </c>
      <c r="BW166" s="462">
        <f>IF(OR(AND(AT166&lt;&gt;0,AJ166&lt;&gt;"PF",AN166&lt;&gt;"NE",AG166&lt;&gt;"A"),AND(AL166="E",OR(AT166=1,AT166=3))),SickBY*W166,0)</f>
        <v>0</v>
      </c>
      <c r="BX166" s="462">
        <f t="shared" si="41"/>
        <v>14490.92736</v>
      </c>
      <c r="BY166" s="462">
        <f t="shared" si="42"/>
        <v>0</v>
      </c>
      <c r="BZ166" s="462">
        <f t="shared" si="43"/>
        <v>0</v>
      </c>
      <c r="CA166" s="462">
        <f t="shared" si="44"/>
        <v>0</v>
      </c>
      <c r="CB166" s="462">
        <f t="shared" si="45"/>
        <v>0</v>
      </c>
      <c r="CC166" s="462">
        <f>IF(AT166&lt;&gt;0,SSHICHG*Y166,0)</f>
        <v>0</v>
      </c>
      <c r="CD166" s="462">
        <f>IF(AND(AT166&lt;&gt;0,AN166&lt;&gt;"NE"),VLOOKUP(AN166,Retirement_Rates,5,FALSE)*Y166,0)</f>
        <v>0</v>
      </c>
      <c r="CE166" s="462">
        <f>IF(AND(AT166&lt;&gt;0,AJ166&lt;&gt;"PF"),LifeCHG*Y166,0)</f>
        <v>0</v>
      </c>
      <c r="CF166" s="462">
        <f>IF(AND(AT166&lt;&gt;0,AM166="Y"),UICHG*Y166,0)</f>
        <v>-337.55904000000004</v>
      </c>
      <c r="CG166" s="462">
        <f>IF(AND(AT166&lt;&gt;0,N166&lt;&gt;"NR"),DHRCHG*Y166,0)</f>
        <v>0</v>
      </c>
      <c r="CH166" s="462">
        <f>IF(AT166&lt;&gt;0,WCCHG*Y166,0)</f>
        <v>-20.66688000000001</v>
      </c>
      <c r="CI166" s="462">
        <f>IF(OR(AND(AT166&lt;&gt;0,AJ166&lt;&gt;"PF",AN166&lt;&gt;"NE",AG166&lt;&gt;"A"),AND(AL166="E",OR(AT166=1,AT166=3))),SickCHG*Y166,0)</f>
        <v>0</v>
      </c>
      <c r="CJ166" s="462">
        <f t="shared" si="46"/>
        <v>-358.22592000000003</v>
      </c>
      <c r="CK166" s="462" t="str">
        <f t="shared" si="47"/>
        <v/>
      </c>
      <c r="CL166" s="462" t="str">
        <f t="shared" si="48"/>
        <v/>
      </c>
      <c r="CM166" s="462" t="str">
        <f t="shared" si="49"/>
        <v/>
      </c>
      <c r="CN166" s="462" t="str">
        <f t="shared" si="50"/>
        <v>0450-38</v>
      </c>
    </row>
    <row r="167" spans="1:92" ht="15" thickBot="1" x14ac:dyDescent="0.35">
      <c r="A167" s="376" t="s">
        <v>161</v>
      </c>
      <c r="B167" s="376" t="s">
        <v>162</v>
      </c>
      <c r="C167" s="376" t="s">
        <v>401</v>
      </c>
      <c r="D167" s="376" t="s">
        <v>263</v>
      </c>
      <c r="E167" s="376" t="s">
        <v>314</v>
      </c>
      <c r="F167" s="382" t="s">
        <v>406</v>
      </c>
      <c r="G167" s="376" t="s">
        <v>167</v>
      </c>
      <c r="H167" s="378"/>
      <c r="I167" s="378"/>
      <c r="J167" s="376" t="s">
        <v>168</v>
      </c>
      <c r="K167" s="376" t="s">
        <v>264</v>
      </c>
      <c r="L167" s="376" t="s">
        <v>181</v>
      </c>
      <c r="M167" s="376" t="s">
        <v>171</v>
      </c>
      <c r="N167" s="376" t="s">
        <v>172</v>
      </c>
      <c r="O167" s="379">
        <v>1</v>
      </c>
      <c r="P167" s="460">
        <v>0</v>
      </c>
      <c r="Q167" s="460">
        <v>0</v>
      </c>
      <c r="R167" s="380">
        <v>80</v>
      </c>
      <c r="S167" s="460">
        <v>0</v>
      </c>
      <c r="T167" s="380">
        <v>14528</v>
      </c>
      <c r="U167" s="380">
        <v>0</v>
      </c>
      <c r="V167" s="380">
        <v>4982.32</v>
      </c>
      <c r="W167" s="380">
        <v>0</v>
      </c>
      <c r="X167" s="380">
        <v>0</v>
      </c>
      <c r="Y167" s="380">
        <v>0</v>
      </c>
      <c r="Z167" s="380">
        <v>0</v>
      </c>
      <c r="AA167" s="376" t="s">
        <v>402</v>
      </c>
      <c r="AB167" s="376" t="s">
        <v>403</v>
      </c>
      <c r="AC167" s="376" t="s">
        <v>404</v>
      </c>
      <c r="AD167" s="376" t="s">
        <v>353</v>
      </c>
      <c r="AE167" s="376" t="s">
        <v>264</v>
      </c>
      <c r="AF167" s="376" t="s">
        <v>349</v>
      </c>
      <c r="AG167" s="376" t="s">
        <v>178</v>
      </c>
      <c r="AH167" s="381">
        <v>39.15</v>
      </c>
      <c r="AI167" s="381">
        <v>28152.2</v>
      </c>
      <c r="AJ167" s="376" t="s">
        <v>179</v>
      </c>
      <c r="AK167" s="376" t="s">
        <v>180</v>
      </c>
      <c r="AL167" s="376" t="s">
        <v>181</v>
      </c>
      <c r="AM167" s="376" t="s">
        <v>182</v>
      </c>
      <c r="AN167" s="376" t="s">
        <v>68</v>
      </c>
      <c r="AO167" s="379">
        <v>80</v>
      </c>
      <c r="AP167" s="460">
        <v>1</v>
      </c>
      <c r="AQ167" s="460">
        <v>0</v>
      </c>
      <c r="AR167" s="458" t="s">
        <v>183</v>
      </c>
      <c r="AS167" s="462">
        <f t="shared" si="34"/>
        <v>0</v>
      </c>
      <c r="AT167">
        <f t="shared" si="35"/>
        <v>0</v>
      </c>
      <c r="AU167" s="462" t="str">
        <f>IF(AT167=0,"",IF(AND(AT167=1,M167="F",SUMIF(C2:C170,C167,AS2:AS170)&lt;=1),SUMIF(C2:C170,C167,AS2:AS170),IF(AND(AT167=1,M167="F",SUMIF(C2:C170,C167,AS2:AS170)&gt;1),1,"")))</f>
        <v/>
      </c>
      <c r="AV167" s="462" t="str">
        <f>IF(AT167=0,"",IF(AND(AT167=3,M167="F",SUMIF(C2:C170,C167,AS2:AS170)&lt;=1),SUMIF(C2:C170,C167,AS2:AS170),IF(AND(AT167=3,M167="F",SUMIF(C2:C170,C167,AS2:AS170)&gt;1),1,"")))</f>
        <v/>
      </c>
      <c r="AW167" s="462">
        <f>SUMIF(C2:C170,C167,O2:O170)</f>
        <v>2</v>
      </c>
      <c r="AX167" s="462">
        <f>IF(AND(M167="F",AS167&lt;&gt;0),SUMIF(C2:C170,C167,W2:W170),0)</f>
        <v>0</v>
      </c>
      <c r="AY167" s="462" t="str">
        <f t="shared" si="36"/>
        <v/>
      </c>
      <c r="AZ167" s="462" t="str">
        <f t="shared" si="37"/>
        <v/>
      </c>
      <c r="BA167" s="462">
        <f t="shared" si="38"/>
        <v>0</v>
      </c>
      <c r="BB167" s="462">
        <f>IF(AND(AT167=1,AK167="E",AU167&gt;=0.75,AW167=1),Health,IF(AND(AT167=1,AK167="E",AU167&gt;=0.75),Health*P167,IF(AND(AT167=1,AK167="E",AU167&gt;=0.5,AW167=1),PTHealth,IF(AND(AT167=1,AK167="E",AU167&gt;=0.5),PTHealth*P167,0))))</f>
        <v>0</v>
      </c>
      <c r="BC167" s="462">
        <f>IF(AND(AT167=3,AK167="E",AV167&gt;=0.75,AW167=1),Health,IF(AND(AT167=3,AK167="E",AV167&gt;=0.75),Health*P167,IF(AND(AT167=3,AK167="E",AV167&gt;=0.5,AW167=1),PTHealth,IF(AND(AT167=3,AK167="E",AV167&gt;=0.5),PTHealth*P167,0))))</f>
        <v>0</v>
      </c>
      <c r="BD167" s="462">
        <f>IF(AND(AT167&lt;&gt;0,AX167&gt;=MAXSSDI),SSDI*MAXSSDI*P167,IF(AT167&lt;&gt;0,SSDI*W167,0))</f>
        <v>0</v>
      </c>
      <c r="BE167" s="462">
        <f>IF(AT167&lt;&gt;0,SSHI*W167,0)</f>
        <v>0</v>
      </c>
      <c r="BF167" s="462">
        <f>IF(AND(AT167&lt;&gt;0,AN167&lt;&gt;"NE"),VLOOKUP(AN167,Retirement_Rates,3,FALSE)*W167,0)</f>
        <v>0</v>
      </c>
      <c r="BG167" s="462">
        <f>IF(AND(AT167&lt;&gt;0,AJ167&lt;&gt;"PF"),Life*W167,0)</f>
        <v>0</v>
      </c>
      <c r="BH167" s="462">
        <f>IF(AND(AT167&lt;&gt;0,AM167="Y"),UI*W167,0)</f>
        <v>0</v>
      </c>
      <c r="BI167" s="462">
        <f>IF(AND(AT167&lt;&gt;0,N167&lt;&gt;"NR"),DHR*W167,0)</f>
        <v>0</v>
      </c>
      <c r="BJ167" s="462">
        <f>IF(AT167&lt;&gt;0,WC*W167,0)</f>
        <v>0</v>
      </c>
      <c r="BK167" s="462">
        <f>IF(OR(AND(AT167&lt;&gt;0,AJ167&lt;&gt;"PF",AN167&lt;&gt;"NE",AG167&lt;&gt;"A"),AND(AL167="E",OR(AT167=1,AT167=3))),Sick*W167,0)</f>
        <v>0</v>
      </c>
      <c r="BL167" s="462">
        <f t="shared" si="39"/>
        <v>0</v>
      </c>
      <c r="BM167" s="462">
        <f t="shared" si="40"/>
        <v>0</v>
      </c>
      <c r="BN167" s="462">
        <f>IF(AND(AT167=1,AK167="E",AU167&gt;=0.75,AW167=1),HealthBY,IF(AND(AT167=1,AK167="E",AU167&gt;=0.75),HealthBY*P167,IF(AND(AT167=1,AK167="E",AU167&gt;=0.5,AW167=1),PTHealthBY,IF(AND(AT167=1,AK167="E",AU167&gt;=0.5),PTHealthBY*P167,0))))</f>
        <v>0</v>
      </c>
      <c r="BO167" s="462">
        <f>IF(AND(AT167=3,AK167="E",AV167&gt;=0.75,AW167=1),HealthBY,IF(AND(AT167=3,AK167="E",AV167&gt;=0.75),HealthBY*P167,IF(AND(AT167=3,AK167="E",AV167&gt;=0.5,AW167=1),PTHealthBY,IF(AND(AT167=3,AK167="E",AV167&gt;=0.5),PTHealthBY*P167,0))))</f>
        <v>0</v>
      </c>
      <c r="BP167" s="462">
        <f>IF(AND(AT167&lt;&gt;0,(AX167+BA167)&gt;=MAXSSDIBY),SSDIBY*MAXSSDIBY*P167,IF(AT167&lt;&gt;0,SSDIBY*W167,0))</f>
        <v>0</v>
      </c>
      <c r="BQ167" s="462">
        <f>IF(AT167&lt;&gt;0,SSHIBY*W167,0)</f>
        <v>0</v>
      </c>
      <c r="BR167" s="462">
        <f>IF(AND(AT167&lt;&gt;0,AN167&lt;&gt;"NE"),VLOOKUP(AN167,Retirement_Rates,4,FALSE)*W167,0)</f>
        <v>0</v>
      </c>
      <c r="BS167" s="462">
        <f>IF(AND(AT167&lt;&gt;0,AJ167&lt;&gt;"PF"),LifeBY*W167,0)</f>
        <v>0</v>
      </c>
      <c r="BT167" s="462">
        <f>IF(AND(AT167&lt;&gt;0,AM167="Y"),UIBY*W167,0)</f>
        <v>0</v>
      </c>
      <c r="BU167" s="462">
        <f>IF(AND(AT167&lt;&gt;0,N167&lt;&gt;"NR"),DHRBY*W167,0)</f>
        <v>0</v>
      </c>
      <c r="BV167" s="462">
        <f>IF(AT167&lt;&gt;0,WCBY*W167,0)</f>
        <v>0</v>
      </c>
      <c r="BW167" s="462">
        <f>IF(OR(AND(AT167&lt;&gt;0,AJ167&lt;&gt;"PF",AN167&lt;&gt;"NE",AG167&lt;&gt;"A"),AND(AL167="E",OR(AT167=1,AT167=3))),SickBY*W167,0)</f>
        <v>0</v>
      </c>
      <c r="BX167" s="462">
        <f t="shared" si="41"/>
        <v>0</v>
      </c>
      <c r="BY167" s="462">
        <f t="shared" si="42"/>
        <v>0</v>
      </c>
      <c r="BZ167" s="462">
        <f t="shared" si="43"/>
        <v>0</v>
      </c>
      <c r="CA167" s="462">
        <f t="shared" si="44"/>
        <v>0</v>
      </c>
      <c r="CB167" s="462">
        <f t="shared" si="45"/>
        <v>0</v>
      </c>
      <c r="CC167" s="462">
        <f>IF(AT167&lt;&gt;0,SSHICHG*Y167,0)</f>
        <v>0</v>
      </c>
      <c r="CD167" s="462">
        <f>IF(AND(AT167&lt;&gt;0,AN167&lt;&gt;"NE"),VLOOKUP(AN167,Retirement_Rates,5,FALSE)*Y167,0)</f>
        <v>0</v>
      </c>
      <c r="CE167" s="462">
        <f>IF(AND(AT167&lt;&gt;0,AJ167&lt;&gt;"PF"),LifeCHG*Y167,0)</f>
        <v>0</v>
      </c>
      <c r="CF167" s="462">
        <f>IF(AND(AT167&lt;&gt;0,AM167="Y"),UICHG*Y167,0)</f>
        <v>0</v>
      </c>
      <c r="CG167" s="462">
        <f>IF(AND(AT167&lt;&gt;0,N167&lt;&gt;"NR"),DHRCHG*Y167,0)</f>
        <v>0</v>
      </c>
      <c r="CH167" s="462">
        <f>IF(AT167&lt;&gt;0,WCCHG*Y167,0)</f>
        <v>0</v>
      </c>
      <c r="CI167" s="462">
        <f>IF(OR(AND(AT167&lt;&gt;0,AJ167&lt;&gt;"PF",AN167&lt;&gt;"NE",AG167&lt;&gt;"A"),AND(AL167="E",OR(AT167=1,AT167=3))),SickCHG*Y167,0)</f>
        <v>0</v>
      </c>
      <c r="CJ167" s="462">
        <f t="shared" si="46"/>
        <v>0</v>
      </c>
      <c r="CK167" s="462" t="str">
        <f t="shared" si="47"/>
        <v/>
      </c>
      <c r="CL167" s="462" t="str">
        <f t="shared" si="48"/>
        <v/>
      </c>
      <c r="CM167" s="462" t="str">
        <f t="shared" si="49"/>
        <v/>
      </c>
      <c r="CN167" s="462" t="str">
        <f t="shared" si="50"/>
        <v>0450-38</v>
      </c>
    </row>
    <row r="168" spans="1:92" ht="15" thickBot="1" x14ac:dyDescent="0.35">
      <c r="A168" s="376" t="s">
        <v>161</v>
      </c>
      <c r="B168" s="376" t="s">
        <v>162</v>
      </c>
      <c r="C168" s="376" t="s">
        <v>767</v>
      </c>
      <c r="D168" s="376" t="s">
        <v>313</v>
      </c>
      <c r="E168" s="376" t="s">
        <v>314</v>
      </c>
      <c r="F168" s="382" t="s">
        <v>406</v>
      </c>
      <c r="G168" s="376" t="s">
        <v>167</v>
      </c>
      <c r="H168" s="378"/>
      <c r="I168" s="378"/>
      <c r="J168" s="376" t="s">
        <v>168</v>
      </c>
      <c r="K168" s="376" t="s">
        <v>316</v>
      </c>
      <c r="L168" s="376" t="s">
        <v>216</v>
      </c>
      <c r="M168" s="376" t="s">
        <v>171</v>
      </c>
      <c r="N168" s="376" t="s">
        <v>172</v>
      </c>
      <c r="O168" s="379">
        <v>1</v>
      </c>
      <c r="P168" s="460">
        <v>1</v>
      </c>
      <c r="Q168" s="460">
        <v>1</v>
      </c>
      <c r="R168" s="380">
        <v>80</v>
      </c>
      <c r="S168" s="460">
        <v>1</v>
      </c>
      <c r="T168" s="380">
        <v>64111.72</v>
      </c>
      <c r="U168" s="380">
        <v>0</v>
      </c>
      <c r="V168" s="380">
        <v>25620.38</v>
      </c>
      <c r="W168" s="380">
        <v>65020.800000000003</v>
      </c>
      <c r="X168" s="380">
        <v>25665.200000000001</v>
      </c>
      <c r="Y168" s="380">
        <v>65020.800000000003</v>
      </c>
      <c r="Z168" s="380">
        <v>25327.09</v>
      </c>
      <c r="AA168" s="376" t="s">
        <v>768</v>
      </c>
      <c r="AB168" s="376" t="s">
        <v>769</v>
      </c>
      <c r="AC168" s="376" t="s">
        <v>770</v>
      </c>
      <c r="AD168" s="376" t="s">
        <v>353</v>
      </c>
      <c r="AE168" s="376" t="s">
        <v>316</v>
      </c>
      <c r="AF168" s="376" t="s">
        <v>311</v>
      </c>
      <c r="AG168" s="376" t="s">
        <v>178</v>
      </c>
      <c r="AH168" s="381">
        <v>31.26</v>
      </c>
      <c r="AI168" s="381">
        <v>35600.1</v>
      </c>
      <c r="AJ168" s="376" t="s">
        <v>179</v>
      </c>
      <c r="AK168" s="376" t="s">
        <v>180</v>
      </c>
      <c r="AL168" s="376" t="s">
        <v>181</v>
      </c>
      <c r="AM168" s="376" t="s">
        <v>182</v>
      </c>
      <c r="AN168" s="376" t="s">
        <v>68</v>
      </c>
      <c r="AO168" s="379">
        <v>80</v>
      </c>
      <c r="AP168" s="460">
        <v>1</v>
      </c>
      <c r="AQ168" s="460">
        <v>1</v>
      </c>
      <c r="AR168" s="458" t="s">
        <v>183</v>
      </c>
      <c r="AS168" s="462">
        <f t="shared" si="34"/>
        <v>1</v>
      </c>
      <c r="AT168">
        <f t="shared" si="35"/>
        <v>1</v>
      </c>
      <c r="AU168" s="462">
        <f>IF(AT168=0,"",IF(AND(AT168=1,M168="F",SUMIF(C2:C170,C168,AS2:AS170)&lt;=1),SUMIF(C2:C170,C168,AS2:AS170),IF(AND(AT168=1,M168="F",SUMIF(C2:C170,C168,AS2:AS170)&gt;1),1,"")))</f>
        <v>1</v>
      </c>
      <c r="AV168" s="462" t="str">
        <f>IF(AT168=0,"",IF(AND(AT168=3,M168="F",SUMIF(C2:C170,C168,AS2:AS170)&lt;=1),SUMIF(C2:C170,C168,AS2:AS170),IF(AND(AT168=3,M168="F",SUMIF(C2:C170,C168,AS2:AS170)&gt;1),1,"")))</f>
        <v/>
      </c>
      <c r="AW168" s="462">
        <f>SUMIF(C2:C170,C168,O2:O170)</f>
        <v>1</v>
      </c>
      <c r="AX168" s="462">
        <f>IF(AND(M168="F",AS168&lt;&gt;0),SUMIF(C2:C170,C168,W2:W170),0)</f>
        <v>65020.800000000003</v>
      </c>
      <c r="AY168" s="462">
        <f t="shared" si="36"/>
        <v>65020.800000000003</v>
      </c>
      <c r="AZ168" s="462" t="str">
        <f t="shared" si="37"/>
        <v/>
      </c>
      <c r="BA168" s="462">
        <f t="shared" si="38"/>
        <v>0</v>
      </c>
      <c r="BB168" s="462">
        <f>IF(AND(AT168=1,AK168="E",AU168&gt;=0.75,AW168=1),Health,IF(AND(AT168=1,AK168="E",AU168&gt;=0.75),Health*P168,IF(AND(AT168=1,AK168="E",AU168&gt;=0.5,AW168=1),PTHealth,IF(AND(AT168=1,AK168="E",AU168&gt;=0.5),PTHealth*P168,0))))</f>
        <v>11650</v>
      </c>
      <c r="BC168" s="462">
        <f>IF(AND(AT168=3,AK168="E",AV168&gt;=0.75,AW168=1),Health,IF(AND(AT168=3,AK168="E",AV168&gt;=0.75),Health*P168,IF(AND(AT168=3,AK168="E",AV168&gt;=0.5,AW168=1),PTHealth,IF(AND(AT168=3,AK168="E",AV168&gt;=0.5),PTHealth*P168,0))))</f>
        <v>0</v>
      </c>
      <c r="BD168" s="462">
        <f>IF(AND(AT168&lt;&gt;0,AX168&gt;=MAXSSDI),SSDI*MAXSSDI*P168,IF(AT168&lt;&gt;0,SSDI*W168,0))</f>
        <v>4031.2896000000001</v>
      </c>
      <c r="BE168" s="462">
        <f>IF(AT168&lt;&gt;0,SSHI*W168,0)</f>
        <v>942.80160000000012</v>
      </c>
      <c r="BF168" s="462">
        <f>IF(AND(AT168&lt;&gt;0,AN168&lt;&gt;"NE"),VLOOKUP(AN168,Retirement_Rates,3,FALSE)*W168,0)</f>
        <v>7763.4835200000007</v>
      </c>
      <c r="BG168" s="462">
        <f>IF(AND(AT168&lt;&gt;0,AJ168&lt;&gt;"PF"),Life*W168,0)</f>
        <v>468.79996800000004</v>
      </c>
      <c r="BH168" s="462">
        <f>IF(AND(AT168&lt;&gt;0,AM168="Y"),UI*W168,0)</f>
        <v>318.60192000000001</v>
      </c>
      <c r="BI168" s="462">
        <f>IF(AND(AT168&lt;&gt;0,N168&lt;&gt;"NR"),DHR*W168,0)</f>
        <v>360.21523200000001</v>
      </c>
      <c r="BJ168" s="462">
        <f>IF(AT168&lt;&gt;0,WC*W168,0)</f>
        <v>130.04160000000002</v>
      </c>
      <c r="BK168" s="462">
        <f>IF(OR(AND(AT168&lt;&gt;0,AJ168&lt;&gt;"PF",AN168&lt;&gt;"NE",AG168&lt;&gt;"A"),AND(AL168="E",OR(AT168=1,AT168=3))),Sick*W168,0)</f>
        <v>0</v>
      </c>
      <c r="BL168" s="462">
        <f t="shared" si="39"/>
        <v>14015.23344</v>
      </c>
      <c r="BM168" s="462">
        <f t="shared" si="40"/>
        <v>0</v>
      </c>
      <c r="BN168" s="462">
        <f>IF(AND(AT168=1,AK168="E",AU168&gt;=0.75,AW168=1),HealthBY,IF(AND(AT168=1,AK168="E",AU168&gt;=0.75),HealthBY*P168,IF(AND(AT168=1,AK168="E",AU168&gt;=0.5,AW168=1),PTHealthBY,IF(AND(AT168=1,AK168="E",AU168&gt;=0.5),PTHealthBY*P168,0))))</f>
        <v>11650</v>
      </c>
      <c r="BO168" s="462">
        <f>IF(AND(AT168=3,AK168="E",AV168&gt;=0.75,AW168=1),HealthBY,IF(AND(AT168=3,AK168="E",AV168&gt;=0.75),HealthBY*P168,IF(AND(AT168=3,AK168="E",AV168&gt;=0.5,AW168=1),PTHealthBY,IF(AND(AT168=3,AK168="E",AV168&gt;=0.5),PTHealthBY*P168,0))))</f>
        <v>0</v>
      </c>
      <c r="BP168" s="462">
        <f>IF(AND(AT168&lt;&gt;0,(AX168+BA168)&gt;=MAXSSDIBY),SSDIBY*MAXSSDIBY*P168,IF(AT168&lt;&gt;0,SSDIBY*W168,0))</f>
        <v>4031.2896000000001</v>
      </c>
      <c r="BQ168" s="462">
        <f>IF(AT168&lt;&gt;0,SSHIBY*W168,0)</f>
        <v>942.80160000000012</v>
      </c>
      <c r="BR168" s="462">
        <f>IF(AND(AT168&lt;&gt;0,AN168&lt;&gt;"NE"),VLOOKUP(AN168,Retirement_Rates,4,FALSE)*W168,0)</f>
        <v>7763.4835200000007</v>
      </c>
      <c r="BS168" s="462">
        <f>IF(AND(AT168&lt;&gt;0,AJ168&lt;&gt;"PF"),LifeBY*W168,0)</f>
        <v>468.79996800000004</v>
      </c>
      <c r="BT168" s="462">
        <f>IF(AND(AT168&lt;&gt;0,AM168="Y"),UIBY*W168,0)</f>
        <v>0</v>
      </c>
      <c r="BU168" s="462">
        <f>IF(AND(AT168&lt;&gt;0,N168&lt;&gt;"NR"),DHRBY*W168,0)</f>
        <v>360.21523200000001</v>
      </c>
      <c r="BV168" s="462">
        <f>IF(AT168&lt;&gt;0,WCBY*W168,0)</f>
        <v>110.53536</v>
      </c>
      <c r="BW168" s="462">
        <f>IF(OR(AND(AT168&lt;&gt;0,AJ168&lt;&gt;"PF",AN168&lt;&gt;"NE",AG168&lt;&gt;"A"),AND(AL168="E",OR(AT168=1,AT168=3))),SickBY*W168,0)</f>
        <v>0</v>
      </c>
      <c r="BX168" s="462">
        <f t="shared" si="41"/>
        <v>13677.12528</v>
      </c>
      <c r="BY168" s="462">
        <f t="shared" si="42"/>
        <v>0</v>
      </c>
      <c r="BZ168" s="462">
        <f t="shared" si="43"/>
        <v>0</v>
      </c>
      <c r="CA168" s="462">
        <f t="shared" si="44"/>
        <v>0</v>
      </c>
      <c r="CB168" s="462">
        <f t="shared" si="45"/>
        <v>0</v>
      </c>
      <c r="CC168" s="462">
        <f>IF(AT168&lt;&gt;0,SSHICHG*Y168,0)</f>
        <v>0</v>
      </c>
      <c r="CD168" s="462">
        <f>IF(AND(AT168&lt;&gt;0,AN168&lt;&gt;"NE"),VLOOKUP(AN168,Retirement_Rates,5,FALSE)*Y168,0)</f>
        <v>0</v>
      </c>
      <c r="CE168" s="462">
        <f>IF(AND(AT168&lt;&gt;0,AJ168&lt;&gt;"PF"),LifeCHG*Y168,0)</f>
        <v>0</v>
      </c>
      <c r="CF168" s="462">
        <f>IF(AND(AT168&lt;&gt;0,AM168="Y"),UICHG*Y168,0)</f>
        <v>-318.60192000000001</v>
      </c>
      <c r="CG168" s="462">
        <f>IF(AND(AT168&lt;&gt;0,N168&lt;&gt;"NR"),DHRCHG*Y168,0)</f>
        <v>0</v>
      </c>
      <c r="CH168" s="462">
        <f>IF(AT168&lt;&gt;0,WCCHG*Y168,0)</f>
        <v>-19.506240000000009</v>
      </c>
      <c r="CI168" s="462">
        <f>IF(OR(AND(AT168&lt;&gt;0,AJ168&lt;&gt;"PF",AN168&lt;&gt;"NE",AG168&lt;&gt;"A"),AND(AL168="E",OR(AT168=1,AT168=3))),SickCHG*Y168,0)</f>
        <v>0</v>
      </c>
      <c r="CJ168" s="462">
        <f t="shared" si="46"/>
        <v>-338.10816</v>
      </c>
      <c r="CK168" s="462" t="str">
        <f t="shared" si="47"/>
        <v/>
      </c>
      <c r="CL168" s="462" t="str">
        <f t="shared" si="48"/>
        <v/>
      </c>
      <c r="CM168" s="462" t="str">
        <f t="shared" si="49"/>
        <v/>
      </c>
      <c r="CN168" s="462" t="str">
        <f t="shared" si="50"/>
        <v>0450-38</v>
      </c>
    </row>
    <row r="169" spans="1:92" ht="15" thickBot="1" x14ac:dyDescent="0.35">
      <c r="A169" s="376" t="s">
        <v>161</v>
      </c>
      <c r="B169" s="376" t="s">
        <v>162</v>
      </c>
      <c r="C169" s="376" t="s">
        <v>771</v>
      </c>
      <c r="D169" s="376" t="s">
        <v>313</v>
      </c>
      <c r="E169" s="376" t="s">
        <v>314</v>
      </c>
      <c r="F169" s="382" t="s">
        <v>406</v>
      </c>
      <c r="G169" s="376" t="s">
        <v>167</v>
      </c>
      <c r="H169" s="378"/>
      <c r="I169" s="378"/>
      <c r="J169" s="376" t="s">
        <v>168</v>
      </c>
      <c r="K169" s="376" t="s">
        <v>344</v>
      </c>
      <c r="L169" s="376" t="s">
        <v>181</v>
      </c>
      <c r="M169" s="376" t="s">
        <v>171</v>
      </c>
      <c r="N169" s="376" t="s">
        <v>172</v>
      </c>
      <c r="O169" s="379">
        <v>1</v>
      </c>
      <c r="P169" s="460">
        <v>1</v>
      </c>
      <c r="Q169" s="460">
        <v>1</v>
      </c>
      <c r="R169" s="380">
        <v>80</v>
      </c>
      <c r="S169" s="460">
        <v>1</v>
      </c>
      <c r="T169" s="380">
        <v>44777.4</v>
      </c>
      <c r="U169" s="380">
        <v>0</v>
      </c>
      <c r="V169" s="380">
        <v>16882.98</v>
      </c>
      <c r="W169" s="380">
        <v>78499.199999999997</v>
      </c>
      <c r="X169" s="380">
        <v>28570.46</v>
      </c>
      <c r="Y169" s="380">
        <v>78499.199999999997</v>
      </c>
      <c r="Z169" s="380">
        <v>28162.27</v>
      </c>
      <c r="AA169" s="376" t="s">
        <v>772</v>
      </c>
      <c r="AB169" s="376" t="s">
        <v>773</v>
      </c>
      <c r="AC169" s="376" t="s">
        <v>774</v>
      </c>
      <c r="AD169" s="376" t="s">
        <v>775</v>
      </c>
      <c r="AE169" s="376" t="s">
        <v>344</v>
      </c>
      <c r="AF169" s="376" t="s">
        <v>349</v>
      </c>
      <c r="AG169" s="376" t="s">
        <v>178</v>
      </c>
      <c r="AH169" s="381">
        <v>37.74</v>
      </c>
      <c r="AI169" s="381">
        <v>27385.5</v>
      </c>
      <c r="AJ169" s="376" t="s">
        <v>179</v>
      </c>
      <c r="AK169" s="376" t="s">
        <v>180</v>
      </c>
      <c r="AL169" s="376" t="s">
        <v>181</v>
      </c>
      <c r="AM169" s="376" t="s">
        <v>182</v>
      </c>
      <c r="AN169" s="376" t="s">
        <v>68</v>
      </c>
      <c r="AO169" s="379">
        <v>80</v>
      </c>
      <c r="AP169" s="460">
        <v>1</v>
      </c>
      <c r="AQ169" s="460">
        <v>1</v>
      </c>
      <c r="AR169" s="458" t="s">
        <v>183</v>
      </c>
      <c r="AS169" s="462">
        <f t="shared" si="34"/>
        <v>1</v>
      </c>
      <c r="AT169">
        <f t="shared" si="35"/>
        <v>1</v>
      </c>
      <c r="AU169" s="462">
        <f>IF(AT169=0,"",IF(AND(AT169=1,M169="F",SUMIF(C2:C170,C169,AS2:AS170)&lt;=1),SUMIF(C2:C170,C169,AS2:AS170),IF(AND(AT169=1,M169="F",SUMIF(C2:C170,C169,AS2:AS170)&gt;1),1,"")))</f>
        <v>1</v>
      </c>
      <c r="AV169" s="462" t="str">
        <f>IF(AT169=0,"",IF(AND(AT169=3,M169="F",SUMIF(C2:C170,C169,AS2:AS170)&lt;=1),SUMIF(C2:C170,C169,AS2:AS170),IF(AND(AT169=3,M169="F",SUMIF(C2:C170,C169,AS2:AS170)&gt;1),1,"")))</f>
        <v/>
      </c>
      <c r="AW169" s="462">
        <f>SUMIF(C2:C170,C169,O2:O170)</f>
        <v>1</v>
      </c>
      <c r="AX169" s="462">
        <f>IF(AND(M169="F",AS169&lt;&gt;0),SUMIF(C2:C170,C169,W2:W170),0)</f>
        <v>78499.199999999997</v>
      </c>
      <c r="AY169" s="462">
        <f t="shared" si="36"/>
        <v>78499.199999999997</v>
      </c>
      <c r="AZ169" s="462" t="str">
        <f t="shared" si="37"/>
        <v/>
      </c>
      <c r="BA169" s="462">
        <f t="shared" si="38"/>
        <v>0</v>
      </c>
      <c r="BB169" s="462">
        <f>IF(AND(AT169=1,AK169="E",AU169&gt;=0.75,AW169=1),Health,IF(AND(AT169=1,AK169="E",AU169&gt;=0.75),Health*P169,IF(AND(AT169=1,AK169="E",AU169&gt;=0.5,AW169=1),PTHealth,IF(AND(AT169=1,AK169="E",AU169&gt;=0.5),PTHealth*P169,0))))</f>
        <v>11650</v>
      </c>
      <c r="BC169" s="462">
        <f>IF(AND(AT169=3,AK169="E",AV169&gt;=0.75,AW169=1),Health,IF(AND(AT169=3,AK169="E",AV169&gt;=0.75),Health*P169,IF(AND(AT169=3,AK169="E",AV169&gt;=0.5,AW169=1),PTHealth,IF(AND(AT169=3,AK169="E",AV169&gt;=0.5),PTHealth*P169,0))))</f>
        <v>0</v>
      </c>
      <c r="BD169" s="462">
        <f>IF(AND(AT169&lt;&gt;0,AX169&gt;=MAXSSDI),SSDI*MAXSSDI*P169,IF(AT169&lt;&gt;0,SSDI*W169,0))</f>
        <v>4866.9503999999997</v>
      </c>
      <c r="BE169" s="462">
        <f>IF(AT169&lt;&gt;0,SSHI*W169,0)</f>
        <v>1138.2384</v>
      </c>
      <c r="BF169" s="462">
        <f>IF(AND(AT169&lt;&gt;0,AN169&lt;&gt;"NE"),VLOOKUP(AN169,Retirement_Rates,3,FALSE)*W169,0)</f>
        <v>9372.8044800000007</v>
      </c>
      <c r="BG169" s="462">
        <f>IF(AND(AT169&lt;&gt;0,AJ169&lt;&gt;"PF"),Life*W169,0)</f>
        <v>565.97923200000002</v>
      </c>
      <c r="BH169" s="462">
        <f>IF(AND(AT169&lt;&gt;0,AM169="Y"),UI*W169,0)</f>
        <v>384.64607999999998</v>
      </c>
      <c r="BI169" s="462">
        <f>IF(AND(AT169&lt;&gt;0,N169&lt;&gt;"NR"),DHR*W169,0)</f>
        <v>434.88556799999998</v>
      </c>
      <c r="BJ169" s="462">
        <f>IF(AT169&lt;&gt;0,WC*W169,0)</f>
        <v>156.9984</v>
      </c>
      <c r="BK169" s="462">
        <f>IF(OR(AND(AT169&lt;&gt;0,AJ169&lt;&gt;"PF",AN169&lt;&gt;"NE",AG169&lt;&gt;"A"),AND(AL169="E",OR(AT169=1,AT169=3))),Sick*W169,0)</f>
        <v>0</v>
      </c>
      <c r="BL169" s="462">
        <f t="shared" si="39"/>
        <v>16920.502560000001</v>
      </c>
      <c r="BM169" s="462">
        <f t="shared" si="40"/>
        <v>0</v>
      </c>
      <c r="BN169" s="462">
        <f>IF(AND(AT169=1,AK169="E",AU169&gt;=0.75,AW169=1),HealthBY,IF(AND(AT169=1,AK169="E",AU169&gt;=0.75),HealthBY*P169,IF(AND(AT169=1,AK169="E",AU169&gt;=0.5,AW169=1),PTHealthBY,IF(AND(AT169=1,AK169="E",AU169&gt;=0.5),PTHealthBY*P169,0))))</f>
        <v>11650</v>
      </c>
      <c r="BO169" s="462">
        <f>IF(AND(AT169=3,AK169="E",AV169&gt;=0.75,AW169=1),HealthBY,IF(AND(AT169=3,AK169="E",AV169&gt;=0.75),HealthBY*P169,IF(AND(AT169=3,AK169="E",AV169&gt;=0.5,AW169=1),PTHealthBY,IF(AND(AT169=3,AK169="E",AV169&gt;=0.5),PTHealthBY*P169,0))))</f>
        <v>0</v>
      </c>
      <c r="BP169" s="462">
        <f>IF(AND(AT169&lt;&gt;0,(AX169+BA169)&gt;=MAXSSDIBY),SSDIBY*MAXSSDIBY*P169,IF(AT169&lt;&gt;0,SSDIBY*W169,0))</f>
        <v>4866.9503999999997</v>
      </c>
      <c r="BQ169" s="462">
        <f>IF(AT169&lt;&gt;0,SSHIBY*W169,0)</f>
        <v>1138.2384</v>
      </c>
      <c r="BR169" s="462">
        <f>IF(AND(AT169&lt;&gt;0,AN169&lt;&gt;"NE"),VLOOKUP(AN169,Retirement_Rates,4,FALSE)*W169,0)</f>
        <v>9372.8044800000007</v>
      </c>
      <c r="BS169" s="462">
        <f>IF(AND(AT169&lt;&gt;0,AJ169&lt;&gt;"PF"),LifeBY*W169,0)</f>
        <v>565.97923200000002</v>
      </c>
      <c r="BT169" s="462">
        <f>IF(AND(AT169&lt;&gt;0,AM169="Y"),UIBY*W169,0)</f>
        <v>0</v>
      </c>
      <c r="BU169" s="462">
        <f>IF(AND(AT169&lt;&gt;0,N169&lt;&gt;"NR"),DHRBY*W169,0)</f>
        <v>434.88556799999998</v>
      </c>
      <c r="BV169" s="462">
        <f>IF(AT169&lt;&gt;0,WCBY*W169,0)</f>
        <v>133.44863999999998</v>
      </c>
      <c r="BW169" s="462">
        <f>IF(OR(AND(AT169&lt;&gt;0,AJ169&lt;&gt;"PF",AN169&lt;&gt;"NE",AG169&lt;&gt;"A"),AND(AL169="E",OR(AT169=1,AT169=3))),SickBY*W169,0)</f>
        <v>0</v>
      </c>
      <c r="BX169" s="462">
        <f t="shared" si="41"/>
        <v>16512.30672</v>
      </c>
      <c r="BY169" s="462">
        <f t="shared" si="42"/>
        <v>0</v>
      </c>
      <c r="BZ169" s="462">
        <f t="shared" si="43"/>
        <v>0</v>
      </c>
      <c r="CA169" s="462">
        <f t="shared" si="44"/>
        <v>0</v>
      </c>
      <c r="CB169" s="462">
        <f t="shared" si="45"/>
        <v>0</v>
      </c>
      <c r="CC169" s="462">
        <f>IF(AT169&lt;&gt;0,SSHICHG*Y169,0)</f>
        <v>0</v>
      </c>
      <c r="CD169" s="462">
        <f>IF(AND(AT169&lt;&gt;0,AN169&lt;&gt;"NE"),VLOOKUP(AN169,Retirement_Rates,5,FALSE)*Y169,0)</f>
        <v>0</v>
      </c>
      <c r="CE169" s="462">
        <f>IF(AND(AT169&lt;&gt;0,AJ169&lt;&gt;"PF"),LifeCHG*Y169,0)</f>
        <v>0</v>
      </c>
      <c r="CF169" s="462">
        <f>IF(AND(AT169&lt;&gt;0,AM169="Y"),UICHG*Y169,0)</f>
        <v>-384.64607999999998</v>
      </c>
      <c r="CG169" s="462">
        <f>IF(AND(AT169&lt;&gt;0,N169&lt;&gt;"NR"),DHRCHG*Y169,0)</f>
        <v>0</v>
      </c>
      <c r="CH169" s="462">
        <f>IF(AT169&lt;&gt;0,WCCHG*Y169,0)</f>
        <v>-23.54976000000001</v>
      </c>
      <c r="CI169" s="462">
        <f>IF(OR(AND(AT169&lt;&gt;0,AJ169&lt;&gt;"PF",AN169&lt;&gt;"NE",AG169&lt;&gt;"A"),AND(AL169="E",OR(AT169=1,AT169=3))),SickCHG*Y169,0)</f>
        <v>0</v>
      </c>
      <c r="CJ169" s="462">
        <f t="shared" si="46"/>
        <v>-408.19583999999998</v>
      </c>
      <c r="CK169" s="462" t="str">
        <f t="shared" si="47"/>
        <v/>
      </c>
      <c r="CL169" s="462" t="str">
        <f t="shared" si="48"/>
        <v/>
      </c>
      <c r="CM169" s="462" t="str">
        <f t="shared" si="49"/>
        <v/>
      </c>
      <c r="CN169" s="462" t="str">
        <f t="shared" si="50"/>
        <v>0450-38</v>
      </c>
    </row>
    <row r="170" spans="1:92" ht="15" thickBot="1" x14ac:dyDescent="0.35">
      <c r="A170" s="376" t="s">
        <v>161</v>
      </c>
      <c r="B170" s="376" t="s">
        <v>162</v>
      </c>
      <c r="C170" s="376" t="s">
        <v>776</v>
      </c>
      <c r="D170" s="376" t="s">
        <v>313</v>
      </c>
      <c r="E170" s="376" t="s">
        <v>314</v>
      </c>
      <c r="F170" s="382" t="s">
        <v>406</v>
      </c>
      <c r="G170" s="376" t="s">
        <v>167</v>
      </c>
      <c r="H170" s="378"/>
      <c r="I170" s="378"/>
      <c r="J170" s="376" t="s">
        <v>168</v>
      </c>
      <c r="K170" s="376" t="s">
        <v>316</v>
      </c>
      <c r="L170" s="376" t="s">
        <v>216</v>
      </c>
      <c r="M170" s="376" t="s">
        <v>171</v>
      </c>
      <c r="N170" s="376" t="s">
        <v>172</v>
      </c>
      <c r="O170" s="379">
        <v>1</v>
      </c>
      <c r="P170" s="460">
        <v>1</v>
      </c>
      <c r="Q170" s="460">
        <v>1</v>
      </c>
      <c r="R170" s="380">
        <v>80</v>
      </c>
      <c r="S170" s="460">
        <v>1</v>
      </c>
      <c r="T170" s="380">
        <v>67611.81</v>
      </c>
      <c r="U170" s="380">
        <v>0</v>
      </c>
      <c r="V170" s="380">
        <v>25366.45</v>
      </c>
      <c r="W170" s="380">
        <v>69784</v>
      </c>
      <c r="X170" s="380">
        <v>26691.9</v>
      </c>
      <c r="Y170" s="380">
        <v>69784</v>
      </c>
      <c r="Z170" s="380">
        <v>26329.03</v>
      </c>
      <c r="AA170" s="376" t="s">
        <v>777</v>
      </c>
      <c r="AB170" s="376" t="s">
        <v>778</v>
      </c>
      <c r="AC170" s="376" t="s">
        <v>422</v>
      </c>
      <c r="AD170" s="376" t="s">
        <v>270</v>
      </c>
      <c r="AE170" s="376" t="s">
        <v>316</v>
      </c>
      <c r="AF170" s="376" t="s">
        <v>311</v>
      </c>
      <c r="AG170" s="376" t="s">
        <v>178</v>
      </c>
      <c r="AH170" s="381">
        <v>33.549999999999997</v>
      </c>
      <c r="AI170" s="379">
        <v>9581</v>
      </c>
      <c r="AJ170" s="376" t="s">
        <v>179</v>
      </c>
      <c r="AK170" s="376" t="s">
        <v>180</v>
      </c>
      <c r="AL170" s="376" t="s">
        <v>181</v>
      </c>
      <c r="AM170" s="376" t="s">
        <v>182</v>
      </c>
      <c r="AN170" s="376" t="s">
        <v>68</v>
      </c>
      <c r="AO170" s="379">
        <v>80</v>
      </c>
      <c r="AP170" s="460">
        <v>1</v>
      </c>
      <c r="AQ170" s="460">
        <v>1</v>
      </c>
      <c r="AR170" s="458" t="s">
        <v>183</v>
      </c>
      <c r="AS170" s="462">
        <f t="shared" si="34"/>
        <v>1</v>
      </c>
      <c r="AT170">
        <f t="shared" si="35"/>
        <v>1</v>
      </c>
      <c r="AU170" s="462">
        <f>IF(AT170=0,"",IF(AND(AT170=1,M170="F",SUMIF(C2:C170,C170,AS2:AS170)&lt;=1),SUMIF(C2:C170,C170,AS2:AS170),IF(AND(AT170=1,M170="F",SUMIF(C2:C170,C170,AS2:AS170)&gt;1),1,"")))</f>
        <v>1</v>
      </c>
      <c r="AV170" s="462" t="str">
        <f>IF(AT170=0,"",IF(AND(AT170=3,M170="F",SUMIF(C2:C170,C170,AS2:AS170)&lt;=1),SUMIF(C2:C170,C170,AS2:AS170),IF(AND(AT170=3,M170="F",SUMIF(C2:C170,C170,AS2:AS170)&gt;1),1,"")))</f>
        <v/>
      </c>
      <c r="AW170" s="462">
        <f>SUMIF(C2:C170,C170,O2:O170)</f>
        <v>1</v>
      </c>
      <c r="AX170" s="462">
        <f>IF(AND(M170="F",AS170&lt;&gt;0),SUMIF(C2:C170,C170,W2:W170),0)</f>
        <v>69784</v>
      </c>
      <c r="AY170" s="462">
        <f t="shared" si="36"/>
        <v>69784</v>
      </c>
      <c r="AZ170" s="462" t="str">
        <f t="shared" si="37"/>
        <v/>
      </c>
      <c r="BA170" s="462">
        <f t="shared" si="38"/>
        <v>0</v>
      </c>
      <c r="BB170" s="462">
        <f>IF(AND(AT170=1,AK170="E",AU170&gt;=0.75,AW170=1),Health,IF(AND(AT170=1,AK170="E",AU170&gt;=0.75),Health*P170,IF(AND(AT170=1,AK170="E",AU170&gt;=0.5,AW170=1),PTHealth,IF(AND(AT170=1,AK170="E",AU170&gt;=0.5),PTHealth*P170,0))))</f>
        <v>11650</v>
      </c>
      <c r="BC170" s="462">
        <f>IF(AND(AT170=3,AK170="E",AV170&gt;=0.75,AW170=1),Health,IF(AND(AT170=3,AK170="E",AV170&gt;=0.75),Health*P170,IF(AND(AT170=3,AK170="E",AV170&gt;=0.5,AW170=1),PTHealth,IF(AND(AT170=3,AK170="E",AV170&gt;=0.5),PTHealth*P170,0))))</f>
        <v>0</v>
      </c>
      <c r="BD170" s="462">
        <f>IF(AND(AT170&lt;&gt;0,AX170&gt;=MAXSSDI),SSDI*MAXSSDI*P170,IF(AT170&lt;&gt;0,SSDI*W170,0))</f>
        <v>4326.6080000000002</v>
      </c>
      <c r="BE170" s="462">
        <f>IF(AT170&lt;&gt;0,SSHI*W170,0)</f>
        <v>1011.8680000000001</v>
      </c>
      <c r="BF170" s="462">
        <f>IF(AND(AT170&lt;&gt;0,AN170&lt;&gt;"NE"),VLOOKUP(AN170,Retirement_Rates,3,FALSE)*W170,0)</f>
        <v>8332.2096000000001</v>
      </c>
      <c r="BG170" s="462">
        <f>IF(AND(AT170&lt;&gt;0,AJ170&lt;&gt;"PF"),Life*W170,0)</f>
        <v>503.14264000000003</v>
      </c>
      <c r="BH170" s="462">
        <f>IF(AND(AT170&lt;&gt;0,AM170="Y"),UI*W170,0)</f>
        <v>341.94159999999999</v>
      </c>
      <c r="BI170" s="462">
        <f>IF(AND(AT170&lt;&gt;0,N170&lt;&gt;"NR"),DHR*W170,0)</f>
        <v>386.60336000000001</v>
      </c>
      <c r="BJ170" s="462">
        <f>IF(AT170&lt;&gt;0,WC*W170,0)</f>
        <v>139.56800000000001</v>
      </c>
      <c r="BK170" s="462">
        <f>IF(OR(AND(AT170&lt;&gt;0,AJ170&lt;&gt;"PF",AN170&lt;&gt;"NE",AG170&lt;&gt;"A"),AND(AL170="E",OR(AT170=1,AT170=3))),Sick*W170,0)</f>
        <v>0</v>
      </c>
      <c r="BL170" s="462">
        <f t="shared" si="39"/>
        <v>15041.941199999999</v>
      </c>
      <c r="BM170" s="462">
        <f t="shared" si="40"/>
        <v>0</v>
      </c>
      <c r="BN170" s="462">
        <f>IF(AND(AT170=1,AK170="E",AU170&gt;=0.75,AW170=1),HealthBY,IF(AND(AT170=1,AK170="E",AU170&gt;=0.75),HealthBY*P170,IF(AND(AT170=1,AK170="E",AU170&gt;=0.5,AW170=1),PTHealthBY,IF(AND(AT170=1,AK170="E",AU170&gt;=0.5),PTHealthBY*P170,0))))</f>
        <v>11650</v>
      </c>
      <c r="BO170" s="462">
        <f>IF(AND(AT170=3,AK170="E",AV170&gt;=0.75,AW170=1),HealthBY,IF(AND(AT170=3,AK170="E",AV170&gt;=0.75),HealthBY*P170,IF(AND(AT170=3,AK170="E",AV170&gt;=0.5,AW170=1),PTHealthBY,IF(AND(AT170=3,AK170="E",AV170&gt;=0.5),PTHealthBY*P170,0))))</f>
        <v>0</v>
      </c>
      <c r="BP170" s="462">
        <f>IF(AND(AT170&lt;&gt;0,(AX170+BA170)&gt;=MAXSSDIBY),SSDIBY*MAXSSDIBY*P170,IF(AT170&lt;&gt;0,SSDIBY*W170,0))</f>
        <v>4326.6080000000002</v>
      </c>
      <c r="BQ170" s="462">
        <f>IF(AT170&lt;&gt;0,SSHIBY*W170,0)</f>
        <v>1011.8680000000001</v>
      </c>
      <c r="BR170" s="462">
        <f>IF(AND(AT170&lt;&gt;0,AN170&lt;&gt;"NE"),VLOOKUP(AN170,Retirement_Rates,4,FALSE)*W170,0)</f>
        <v>8332.2096000000001</v>
      </c>
      <c r="BS170" s="462">
        <f>IF(AND(AT170&lt;&gt;0,AJ170&lt;&gt;"PF"),LifeBY*W170,0)</f>
        <v>503.14264000000003</v>
      </c>
      <c r="BT170" s="462">
        <f>IF(AND(AT170&lt;&gt;0,AM170="Y"),UIBY*W170,0)</f>
        <v>0</v>
      </c>
      <c r="BU170" s="462">
        <f>IF(AND(AT170&lt;&gt;0,N170&lt;&gt;"NR"),DHRBY*W170,0)</f>
        <v>386.60336000000001</v>
      </c>
      <c r="BV170" s="462">
        <f>IF(AT170&lt;&gt;0,WCBY*W170,0)</f>
        <v>118.63279999999999</v>
      </c>
      <c r="BW170" s="462">
        <f>IF(OR(AND(AT170&lt;&gt;0,AJ170&lt;&gt;"PF",AN170&lt;&gt;"NE",AG170&lt;&gt;"A"),AND(AL170="E",OR(AT170=1,AT170=3))),SickBY*W170,0)</f>
        <v>0</v>
      </c>
      <c r="BX170" s="462">
        <f t="shared" si="41"/>
        <v>14679.064399999999</v>
      </c>
      <c r="BY170" s="462">
        <f t="shared" si="42"/>
        <v>0</v>
      </c>
      <c r="BZ170" s="462">
        <f t="shared" si="43"/>
        <v>0</v>
      </c>
      <c r="CA170" s="462">
        <f t="shared" si="44"/>
        <v>0</v>
      </c>
      <c r="CB170" s="462">
        <f t="shared" si="45"/>
        <v>0</v>
      </c>
      <c r="CC170" s="462">
        <f>IF(AT170&lt;&gt;0,SSHICHG*Y170,0)</f>
        <v>0</v>
      </c>
      <c r="CD170" s="462">
        <f>IF(AND(AT170&lt;&gt;0,AN170&lt;&gt;"NE"),VLOOKUP(AN170,Retirement_Rates,5,FALSE)*Y170,0)</f>
        <v>0</v>
      </c>
      <c r="CE170" s="462">
        <f>IF(AND(AT170&lt;&gt;0,AJ170&lt;&gt;"PF"),LifeCHG*Y170,0)</f>
        <v>0</v>
      </c>
      <c r="CF170" s="462">
        <f>IF(AND(AT170&lt;&gt;0,AM170="Y"),UICHG*Y170,0)</f>
        <v>-341.94159999999999</v>
      </c>
      <c r="CG170" s="462">
        <f>IF(AND(AT170&lt;&gt;0,N170&lt;&gt;"NR"),DHRCHG*Y170,0)</f>
        <v>0</v>
      </c>
      <c r="CH170" s="462">
        <f>IF(AT170&lt;&gt;0,WCCHG*Y170,0)</f>
        <v>-20.935200000000009</v>
      </c>
      <c r="CI170" s="462">
        <f>IF(OR(AND(AT170&lt;&gt;0,AJ170&lt;&gt;"PF",AN170&lt;&gt;"NE",AG170&lt;&gt;"A"),AND(AL170="E",OR(AT170=1,AT170=3))),SickCHG*Y170,0)</f>
        <v>0</v>
      </c>
      <c r="CJ170" s="462">
        <f t="shared" si="46"/>
        <v>-362.8768</v>
      </c>
      <c r="CK170" s="462" t="str">
        <f t="shared" si="47"/>
        <v/>
      </c>
      <c r="CL170" s="462" t="str">
        <f t="shared" si="48"/>
        <v/>
      </c>
      <c r="CM170" s="462" t="str">
        <f t="shared" si="49"/>
        <v/>
      </c>
      <c r="CN170" s="462" t="str">
        <f t="shared" si="50"/>
        <v>0450-38</v>
      </c>
    </row>
    <row r="172" spans="1:92" ht="21" x14ac:dyDescent="0.4">
      <c r="AQ172" s="251" t="s">
        <v>849</v>
      </c>
    </row>
    <row r="173" spans="1:92" ht="15" thickBot="1" x14ac:dyDescent="0.35">
      <c r="AR173" t="s">
        <v>827</v>
      </c>
      <c r="AS173" s="462">
        <f>SUMIFS(AS2:AS170,G2:G170,"TEAB",E2:E170,"0001",F2:F170,"00",AT2:AT170,1)</f>
        <v>12</v>
      </c>
      <c r="AT173" s="462">
        <f>SUMIFS(AS2:AS170,G2:G170,"TEAB",E2:E170,"0001",F2:F170,"00",AT2:AT170,3)</f>
        <v>0</v>
      </c>
      <c r="AU173" s="462">
        <f>SUMIFS(AU2:AU170,G2:G170,"TEAB",E2:E170,"0001",F2:F170,"00")</f>
        <v>12</v>
      </c>
      <c r="AV173" s="462">
        <f>SUMIFS(AV2:AV170,G2:G170,"TEAB",E2:E170,"0001",F2:F170,"00")</f>
        <v>0</v>
      </c>
      <c r="AW173" s="462">
        <f>SUMIFS(AW2:AW170,G2:G170,"TEAB",E2:E170,"0001",F2:F170,"00")</f>
        <v>32</v>
      </c>
      <c r="AX173" s="462">
        <f>SUMIFS(AX2:AX170,G2:G170,"TEAB",E2:E170,"0001",F2:F170,"00")</f>
        <v>809140.8</v>
      </c>
      <c r="AY173" s="462">
        <f>SUMIFS(AY2:AY170,G2:G170,"TEAB",E2:E170,"0001",F2:F170,"00")</f>
        <v>809140.8</v>
      </c>
      <c r="AZ173" s="462">
        <f>SUMIFS(AZ2:AZ170,G2:G170,"TEAB",E2:E170,"0001",F2:F170,"00")</f>
        <v>0</v>
      </c>
      <c r="BA173" s="462">
        <f>SUMIFS(BA2:BA170,G2:G170,"TEAB",E2:E170,"0001",F2:F170,"00")</f>
        <v>0</v>
      </c>
      <c r="BB173" s="462">
        <f>SUMIFS(BB2:BB170,G2:G170,"TEAB",E2:E170,"0001",F2:F170,"00")</f>
        <v>139800</v>
      </c>
      <c r="BC173" s="462">
        <f>SUMIFS(BC2:BC170,G2:G170,"TEAB",E2:E170,"0001",F2:F170,"00")</f>
        <v>0</v>
      </c>
      <c r="BD173" s="462">
        <f>SUMIFS(BD2:BD170,G2:G170,"TEAB",E2:E170,"0001",F2:F170,"00")</f>
        <v>50166.729599999999</v>
      </c>
      <c r="BE173" s="462">
        <f>SUMIFS(BE2:BE170,G2:G170,"TEAB",E2:E170,"0001",F2:F170,"00")</f>
        <v>11732.5416</v>
      </c>
      <c r="BF173" s="462">
        <f>SUMIFS(BF2:BF170,G2:G170,"TEAB",E2:E170,"0001",F2:F170,"00")</f>
        <v>96611.411519999994</v>
      </c>
      <c r="BG173" s="462">
        <f>SUMIFS(BG2:BG170,G2:G170,"TEAB",E2:E170,"0001",F2:F170,"00")</f>
        <v>5833.9051680000002</v>
      </c>
      <c r="BH173" s="462">
        <f>SUMIFS(BH2:BH170,G2:G170,"TEAB",E2:E170,"0001",F2:F170,"00")</f>
        <v>3337.0646399999996</v>
      </c>
      <c r="BI173" s="462">
        <f>SUMIFS(BI2:BI170,G2:G170,"TEAB",E2:E170,"0001",F2:F170,"00")</f>
        <v>3124.4004479999999</v>
      </c>
      <c r="BJ173" s="462">
        <f>SUMIFS(BJ2:BJ170,G2:G170,"TEAB",E2:E170,"0001",F2:F170,"00")</f>
        <v>1618.2816</v>
      </c>
      <c r="BK173" s="462">
        <f>SUMIFS(BK2:BK170,G2:G170,"TEAB",E2:E170,"0001",F2:F170,"00")</f>
        <v>0</v>
      </c>
      <c r="BL173" s="462">
        <f>SUMIFS(BL2:BL170,G2:G170,"TEAB",E2:E170,"0001",F2:F170,"00")</f>
        <v>172424.33457599999</v>
      </c>
      <c r="BM173" s="462">
        <f>SUMIFS(BM2:BM170,G2:G170,"TEAB",E2:E170,"0001",F2:F170,"00")</f>
        <v>0</v>
      </c>
      <c r="BN173" s="462">
        <f>SUMIFS(BN2:BN170,G2:G170,"TEAB",E2:E170,"0001",F2:F170,"00")</f>
        <v>139800</v>
      </c>
      <c r="BO173" s="462">
        <f>SUMIFS(BO2:BO170,G2:G170,"TEAB",E2:E170,"0001",F2:F170,"00")</f>
        <v>0</v>
      </c>
      <c r="BP173" s="462">
        <f>SUMIFS(BP2:BP170,G2:G170,"TEAB",E2:E170,"0001",F2:F170,"00")</f>
        <v>50166.729599999999</v>
      </c>
      <c r="BQ173" s="462">
        <f>SUMIFS(BQ2:BQ170,G2:G170,"TEAB",E2:E170,"0001",F2:F170,"00")</f>
        <v>11732.5416</v>
      </c>
      <c r="BR173" s="462">
        <f>SUMIFS(BR2:BR170,G2:G170,"TEAB",E2:E170,"0001",F2:F170,"00")</f>
        <v>96611.411519999994</v>
      </c>
      <c r="BS173" s="462">
        <f>SUMIFS(BS2:BS170,G2:G170,"TEAB",E2:E170,"0001",F2:F170,"00")</f>
        <v>5833.9051680000002</v>
      </c>
      <c r="BT173" s="462">
        <f>SUMIFS(BT2:BT170,G2:G170,"TEAB",E2:E170,"0001",F2:F170,"00")</f>
        <v>0</v>
      </c>
      <c r="BU173" s="462">
        <f>SUMIFS(BU2:BU170,G2:G170,"TEAB",E2:E170,"0001",F2:F170,"00")</f>
        <v>3124.4004479999999</v>
      </c>
      <c r="BV173" s="462">
        <f>SUMIFS(BV2:BV170,G2:G170,"TEAB",E2:E170,"0001",F2:F170,"00")</f>
        <v>1375.5393599999998</v>
      </c>
      <c r="BW173" s="462">
        <f>SUMIFS(BW2:BW170,G2:G170,"TEAB",E2:E170,"0001",F2:F170,"00")</f>
        <v>0</v>
      </c>
      <c r="BX173" s="462">
        <f>SUMIFS(BX2:BX170,G2:G170,"TEAB",E2:E170,"0001",F2:F170,"00")</f>
        <v>168844.527696</v>
      </c>
      <c r="BY173" s="462">
        <f>SUMIFS(BY2:BY170,G2:G170,"TEAB",E2:E170,"0001",F2:F170,"00")</f>
        <v>0</v>
      </c>
      <c r="BZ173" s="462">
        <f>SUMIFS(BZ2:BZ170,G2:G170,"TEAB",E2:E170,"0001",F2:F170,"00")</f>
        <v>0</v>
      </c>
      <c r="CA173" s="462">
        <f>SUMIFS(CA2:CA170,G2:G170,"TEAB",E2:E170,"0001",F2:F170,"00")</f>
        <v>0</v>
      </c>
      <c r="CB173" s="462">
        <f>SUMIFS(CB2:CB170,G2:G170,"TEAB",E2:E170,"0001",F2:F170,"00")</f>
        <v>0</v>
      </c>
      <c r="CC173" s="462">
        <f>SUMIFS(CC2:CC170,G2:G170,"TEAB",E2:E170,"0001",F2:F170,"00")</f>
        <v>0</v>
      </c>
      <c r="CD173" s="462">
        <f>SUMIFS(CD2:CD170,G2:G170,"TEAB",E2:E170,"0001",F2:F170,"00")</f>
        <v>0</v>
      </c>
      <c r="CE173" s="462">
        <f>SUMIFS(CE2:CE170,G2:G170,"TEAB",E2:E170,"0001",F2:F170,"00")</f>
        <v>0</v>
      </c>
      <c r="CF173" s="462">
        <f>SUMIFS(CF2:CF170,G2:G170,"TEAB",E2:E170,"0001",F2:F170,"00")</f>
        <v>-3337.0646399999996</v>
      </c>
      <c r="CG173" s="462">
        <f>SUMIFS(CG2:CG170,G2:G170,"TEAB",E2:E170,"0001",F2:F170,"00")</f>
        <v>0</v>
      </c>
      <c r="CH173" s="462">
        <f>SUMIFS(CH2:CH170,G2:G170,"TEAB",E2:E170,"0001",F2:F170,"00")</f>
        <v>-242.74224000000009</v>
      </c>
      <c r="CI173" s="462">
        <f>SUMIFS(CI2:CI170,G2:G170,"TEAB",E2:E170,"0001",F2:F170,"00")</f>
        <v>0</v>
      </c>
      <c r="CJ173" s="462">
        <f>SUMIFS(CJ2:CJ170,G2:G170,"TEAB",E2:E170,"0001",F2:F170,"00")</f>
        <v>-3579.8068799999992</v>
      </c>
      <c r="CK173" s="462">
        <f>SUMIFS(CK2:CK170,G2:G170,"TEAB",E2:E170,"0001",F2:F170,"00")</f>
        <v>0</v>
      </c>
      <c r="CL173" s="462">
        <f>SUMIFS(CL2:CL170,G2:G170,"TEAB",E2:E170,"0001",F2:F170,"00")</f>
        <v>0</v>
      </c>
      <c r="CM173" s="462">
        <f>SUMIFS(CM2:CM170,G2:G170,"TEAB",E2:E170,"0001",F2:F170,"00")</f>
        <v>0</v>
      </c>
    </row>
    <row r="174" spans="1:92" ht="18" x14ac:dyDescent="0.35">
      <c r="AQ174" s="468" t="s">
        <v>828</v>
      </c>
      <c r="AS174" s="469">
        <f>SUM(AS173:AS173)</f>
        <v>12</v>
      </c>
      <c r="AT174" s="469">
        <f>SUM(AT173:AT173)</f>
        <v>0</v>
      </c>
      <c r="AU174" s="469">
        <f>SUM(AU173:AU173)</f>
        <v>12</v>
      </c>
      <c r="AV174" s="469">
        <f>SUM(AV173:AV173)</f>
        <v>0</v>
      </c>
      <c r="AW174" s="469">
        <f>SUM(AW173:AW173)</f>
        <v>32</v>
      </c>
      <c r="AX174" s="469">
        <f>SUM(AX173:AX173)</f>
        <v>809140.8</v>
      </c>
      <c r="AY174" s="469">
        <f>SUM(AY173:AY173)</f>
        <v>809140.8</v>
      </c>
      <c r="AZ174" s="469">
        <f>SUM(AZ173:AZ173)</f>
        <v>0</v>
      </c>
      <c r="BA174" s="469">
        <f>SUM(BA173:BA173)</f>
        <v>0</v>
      </c>
      <c r="BB174" s="469">
        <f>SUM(BB173:BB173)</f>
        <v>139800</v>
      </c>
      <c r="BC174" s="469">
        <f>SUM(BC173:BC173)</f>
        <v>0</v>
      </c>
      <c r="BD174" s="469">
        <f>SUM(BD173:BD173)</f>
        <v>50166.729599999999</v>
      </c>
      <c r="BE174" s="469">
        <f>SUM(BE173:BE173)</f>
        <v>11732.5416</v>
      </c>
      <c r="BF174" s="469">
        <f>SUM(BF173:BF173)</f>
        <v>96611.411519999994</v>
      </c>
      <c r="BG174" s="469">
        <f>SUM(BG173:BG173)</f>
        <v>5833.9051680000002</v>
      </c>
      <c r="BH174" s="469">
        <f>SUM(BH173:BH173)</f>
        <v>3337.0646399999996</v>
      </c>
      <c r="BI174" s="469">
        <f>SUM(BI173:BI173)</f>
        <v>3124.4004479999999</v>
      </c>
      <c r="BJ174" s="469">
        <f>SUM(BJ173:BJ173)</f>
        <v>1618.2816</v>
      </c>
      <c r="BK174" s="469">
        <f>SUM(BK173:BK173)</f>
        <v>0</v>
      </c>
      <c r="BL174" s="469">
        <f>SUM(BL173:BL173)</f>
        <v>172424.33457599999</v>
      </c>
      <c r="BM174" s="469">
        <f>SUM(BM173:BM173)</f>
        <v>0</v>
      </c>
      <c r="BN174" s="469">
        <f>SUM(BN173:BN173)</f>
        <v>139800</v>
      </c>
      <c r="BO174" s="469">
        <f>SUM(BO173:BO173)</f>
        <v>0</v>
      </c>
      <c r="BP174" s="469">
        <f>SUM(BP173:BP173)</f>
        <v>50166.729599999999</v>
      </c>
      <c r="BQ174" s="469">
        <f>SUM(BQ173:BQ173)</f>
        <v>11732.5416</v>
      </c>
      <c r="BR174" s="469">
        <f>SUM(BR173:BR173)</f>
        <v>96611.411519999994</v>
      </c>
      <c r="BS174" s="469">
        <f>SUM(BS173:BS173)</f>
        <v>5833.9051680000002</v>
      </c>
      <c r="BT174" s="469">
        <f>SUM(BT173:BT173)</f>
        <v>0</v>
      </c>
      <c r="BU174" s="469">
        <f>SUM(BU173:BU173)</f>
        <v>3124.4004479999999</v>
      </c>
      <c r="BV174" s="469">
        <f>SUM(BV173:BV173)</f>
        <v>1375.5393599999998</v>
      </c>
      <c r="BW174" s="469">
        <f>SUM(BW173:BW173)</f>
        <v>0</v>
      </c>
      <c r="BX174" s="469">
        <f>SUM(BX173:BX173)</f>
        <v>168844.527696</v>
      </c>
      <c r="BY174" s="469">
        <f>SUM(BY173:BY173)</f>
        <v>0</v>
      </c>
      <c r="BZ174" s="469">
        <f>SUM(BZ173:BZ173)</f>
        <v>0</v>
      </c>
      <c r="CA174" s="469">
        <f>SUM(CA173:CA173)</f>
        <v>0</v>
      </c>
      <c r="CB174" s="469">
        <f>SUM(CB173:CB173)</f>
        <v>0</v>
      </c>
      <c r="CC174" s="469">
        <f>SUM(CC173:CC173)</f>
        <v>0</v>
      </c>
      <c r="CD174" s="469">
        <f>SUM(CD173:CD173)</f>
        <v>0</v>
      </c>
      <c r="CE174" s="469">
        <f>SUM(CE173:CE173)</f>
        <v>0</v>
      </c>
      <c r="CF174" s="469">
        <f>SUM(CF173:CF173)</f>
        <v>-3337.0646399999996</v>
      </c>
      <c r="CG174" s="469">
        <f>SUM(CG173:CG173)</f>
        <v>0</v>
      </c>
      <c r="CH174" s="469">
        <f>SUM(CH173:CH173)</f>
        <v>-242.74224000000009</v>
      </c>
      <c r="CI174" s="469">
        <f>SUM(CI173:CI173)</f>
        <v>0</v>
      </c>
      <c r="CJ174" s="469">
        <f>SUM(CJ173:CJ173)</f>
        <v>-3579.8068799999992</v>
      </c>
      <c r="CK174" s="469">
        <f>SUM(CK173:CK173)</f>
        <v>0</v>
      </c>
      <c r="CL174" s="469">
        <f>SUM(CL173:CL173)</f>
        <v>0</v>
      </c>
      <c r="CM174" s="469">
        <f>SUM(CM173:CM173)</f>
        <v>0</v>
      </c>
    </row>
    <row r="175" spans="1:92" x14ac:dyDescent="0.3">
      <c r="AR175" t="s">
        <v>835</v>
      </c>
      <c r="AS175" s="462">
        <f>SUMIFS(AS2:AS170,G2:G170,"TEAB",E2:E170,"0450",F2:F170,"00",AT2:AT170,1)</f>
        <v>0</v>
      </c>
      <c r="AT175" s="462">
        <f>SUMIFS(AS2:AS170,G2:G170,"TEAB",E2:E170,"0450",F2:F170,"00",AT2:AT170,3)</f>
        <v>0</v>
      </c>
      <c r="AU175" s="462">
        <f>SUMIFS(AU2:AU170,G2:G170,"TEAB",E2:E170,"0450",F2:F170,"00")</f>
        <v>0</v>
      </c>
      <c r="AV175" s="462">
        <f>SUMIFS(AV2:AV170,G2:G170,"TEAB",E2:E170,"0450",F2:F170,"00")</f>
        <v>0</v>
      </c>
      <c r="AW175" s="462">
        <f>SUMIFS(AW2:AW170,G2:G170,"TEAB",E2:E170,"0450",F2:F170,"00")</f>
        <v>0</v>
      </c>
      <c r="AX175" s="462">
        <f>SUMIFS(AX2:AX170,G2:G170,"TEAB",E2:E170,"0450",F2:F170,"00")</f>
        <v>0</v>
      </c>
      <c r="AY175" s="462">
        <f>SUMIFS(AY2:AY170,G2:G170,"TEAB",E2:E170,"0450",F2:F170,"00")</f>
        <v>0</v>
      </c>
      <c r="AZ175" s="462">
        <f>SUMIFS(AZ2:AZ170,G2:G170,"TEAB",E2:E170,"0450",F2:F170,"00")</f>
        <v>0</v>
      </c>
      <c r="BA175" s="462">
        <f>SUMIFS(BA2:BA170,G2:G170,"TEAB",E2:E170,"0450",F2:F170,"00")</f>
        <v>0</v>
      </c>
      <c r="BB175" s="462">
        <f>SUMIFS(BB2:BB170,G2:G170,"TEAB",E2:E170,"0450",F2:F170,"00")</f>
        <v>0</v>
      </c>
      <c r="BC175" s="462">
        <f>SUMIFS(BC2:BC170,G2:G170,"TEAB",E2:E170,"0450",F2:F170,"00")</f>
        <v>0</v>
      </c>
      <c r="BD175" s="462">
        <f>SUMIFS(BD2:BD170,G2:G170,"TEAB",E2:E170,"0450",F2:F170,"00")</f>
        <v>0</v>
      </c>
      <c r="BE175" s="462">
        <f>SUMIFS(BE2:BE170,G2:G170,"TEAB",E2:E170,"0450",F2:F170,"00")</f>
        <v>0</v>
      </c>
      <c r="BF175" s="462">
        <f>SUMIFS(BF2:BF170,G2:G170,"TEAB",E2:E170,"0450",F2:F170,"00")</f>
        <v>0</v>
      </c>
      <c r="BG175" s="462">
        <f>SUMIFS(BG2:BG170,G2:G170,"TEAB",E2:E170,"0450",F2:F170,"00")</f>
        <v>0</v>
      </c>
      <c r="BH175" s="462">
        <f>SUMIFS(BH2:BH170,G2:G170,"TEAB",E2:E170,"0450",F2:F170,"00")</f>
        <v>0</v>
      </c>
      <c r="BI175" s="462">
        <f>SUMIFS(BI2:BI170,G2:G170,"TEAB",E2:E170,"0450",F2:F170,"00")</f>
        <v>0</v>
      </c>
      <c r="BJ175" s="462">
        <f>SUMIFS(BJ2:BJ170,G2:G170,"TEAB",E2:E170,"0450",F2:F170,"00")</f>
        <v>0</v>
      </c>
      <c r="BK175" s="462">
        <f>SUMIFS(BK2:BK170,G2:G170,"TEAB",E2:E170,"0450",F2:F170,"00")</f>
        <v>0</v>
      </c>
      <c r="BL175" s="462">
        <f>SUMIFS(BL2:BL170,G2:G170,"TEAB",E2:E170,"0450",F2:F170,"00")</f>
        <v>0</v>
      </c>
      <c r="BM175" s="462">
        <f>SUMIFS(BM2:BM170,G2:G170,"TEAB",E2:E170,"0450",F2:F170,"00")</f>
        <v>0</v>
      </c>
      <c r="BN175" s="462">
        <f>SUMIFS(BN2:BN170,G2:G170,"TEAB",E2:E170,"0450",F2:F170,"00")</f>
        <v>0</v>
      </c>
      <c r="BO175" s="462">
        <f>SUMIFS(BO2:BO170,G2:G170,"TEAB",E2:E170,"0450",F2:F170,"00")</f>
        <v>0</v>
      </c>
      <c r="BP175" s="462">
        <f>SUMIFS(BP2:BP170,G2:G170,"TEAB",E2:E170,"0450",F2:F170,"00")</f>
        <v>0</v>
      </c>
      <c r="BQ175" s="462">
        <f>SUMIFS(BQ2:BQ170,G2:G170,"TEAB",E2:E170,"0450",F2:F170,"00")</f>
        <v>0</v>
      </c>
      <c r="BR175" s="462">
        <f>SUMIFS(BR2:BR170,G2:G170,"TEAB",E2:E170,"0450",F2:F170,"00")</f>
        <v>0</v>
      </c>
      <c r="BS175" s="462">
        <f>SUMIFS(BS2:BS170,G2:G170,"TEAB",E2:E170,"0450",F2:F170,"00")</f>
        <v>0</v>
      </c>
      <c r="BT175" s="462">
        <f>SUMIFS(BT2:BT170,G2:G170,"TEAB",E2:E170,"0450",F2:F170,"00")</f>
        <v>0</v>
      </c>
      <c r="BU175" s="462">
        <f>SUMIFS(BU2:BU170,G2:G170,"TEAB",E2:E170,"0450",F2:F170,"00")</f>
        <v>0</v>
      </c>
      <c r="BV175" s="462">
        <f>SUMIFS(BV2:BV170,G2:G170,"TEAB",E2:E170,"0450",F2:F170,"00")</f>
        <v>0</v>
      </c>
      <c r="BW175" s="462">
        <f>SUMIFS(BW2:BW170,G2:G170,"TEAB",E2:E170,"0450",F2:F170,"00")</f>
        <v>0</v>
      </c>
      <c r="BX175" s="462">
        <f>SUMIFS(BX2:BX170,G2:G170,"TEAB",E2:E170,"0450",F2:F170,"00")</f>
        <v>0</v>
      </c>
      <c r="BY175" s="462">
        <f>SUMIFS(BY2:BY170,G2:G170,"TEAB",E2:E170,"0450",F2:F170,"00")</f>
        <v>0</v>
      </c>
      <c r="BZ175" s="462">
        <f>SUMIFS(BZ2:BZ170,G2:G170,"TEAB",E2:E170,"0450",F2:F170,"00")</f>
        <v>0</v>
      </c>
      <c r="CA175" s="462">
        <f>SUMIFS(CA2:CA170,G2:G170,"TEAB",E2:E170,"0450",F2:F170,"00")</f>
        <v>0</v>
      </c>
      <c r="CB175" s="462">
        <f>SUMIFS(CB2:CB170,G2:G170,"TEAB",E2:E170,"0450",F2:F170,"00")</f>
        <v>0</v>
      </c>
      <c r="CC175" s="462">
        <f>SUMIFS(CC2:CC170,G2:G170,"TEAB",E2:E170,"0450",F2:F170,"00")</f>
        <v>0</v>
      </c>
      <c r="CD175" s="462">
        <f>SUMIFS(CD2:CD170,G2:G170,"TEAB",E2:E170,"0450",F2:F170,"00")</f>
        <v>0</v>
      </c>
      <c r="CE175" s="462">
        <f>SUMIFS(CE2:CE170,G2:G170,"TEAB",E2:E170,"0450",F2:F170,"00")</f>
        <v>0</v>
      </c>
      <c r="CF175" s="462">
        <f>SUMIFS(CF2:CF170,G2:G170,"TEAB",E2:E170,"0450",F2:F170,"00")</f>
        <v>0</v>
      </c>
      <c r="CG175" s="462">
        <f>SUMIFS(CG2:CG170,G2:G170,"TEAB",E2:E170,"0450",F2:F170,"00")</f>
        <v>0</v>
      </c>
      <c r="CH175" s="462">
        <f>SUMIFS(CH2:CH170,G2:G170,"TEAB",E2:E170,"0450",F2:F170,"00")</f>
        <v>0</v>
      </c>
      <c r="CI175" s="462">
        <f>SUMIFS(CI2:CI170,G2:G170,"TEAB",E2:E170,"0450",F2:F170,"00")</f>
        <v>0</v>
      </c>
      <c r="CJ175" s="462">
        <f>SUMIFS(CJ2:CJ170,G2:G170,"TEAB",E2:E170,"0450",F2:F170,"00")</f>
        <v>0</v>
      </c>
      <c r="CK175" s="462">
        <f>SUMIFS(CK2:CK170,G2:G170,"TEAB",E2:E170,"0450",F2:F170,"00")</f>
        <v>0</v>
      </c>
      <c r="CL175" s="462">
        <f>SUMIFS(CL2:CL170,G2:G170,"TEAB",E2:E170,"0450",F2:F170,"00")</f>
        <v>0</v>
      </c>
      <c r="CM175" s="462">
        <f>SUMIFS(CM2:CM170,G2:G170,"TEAB",E2:E170,"0450",F2:F170,"00")</f>
        <v>0</v>
      </c>
    </row>
    <row r="176" spans="1:92" x14ac:dyDescent="0.3">
      <c r="AR176" t="s">
        <v>836</v>
      </c>
      <c r="AS176" s="462">
        <f>SUMIFS(AS2:AS170,G2:G170,"TEAB",E2:E170,"0450",F2:F170,"04",AT2:AT170,1)</f>
        <v>3</v>
      </c>
      <c r="AT176" s="462">
        <f>SUMIFS(AS2:AS170,G2:G170,"TEAB",E2:E170,"0450",F2:F170,"04",AT2:AT170,3)</f>
        <v>0</v>
      </c>
      <c r="AU176" s="462">
        <f>SUMIFS(AU2:AU170,G2:G170,"TEAB",E2:E170,"0450",F2:F170,"04")</f>
        <v>3</v>
      </c>
      <c r="AV176" s="462">
        <f>SUMIFS(AV2:AV170,G2:G170,"TEAB",E2:E170,"0450",F2:F170,"04")</f>
        <v>0</v>
      </c>
      <c r="AW176" s="462">
        <f>SUMIFS(AW2:AW170,G2:G170,"TEAB",E2:E170,"0450",F2:F170,"04")</f>
        <v>16</v>
      </c>
      <c r="AX176" s="462">
        <f>SUMIFS(AX2:AX170,G2:G170,"TEAB",E2:E170,"0450",F2:F170,"04")</f>
        <v>233521.59999999998</v>
      </c>
      <c r="AY176" s="462">
        <f>SUMIFS(AY2:AY170,G2:G170,"TEAB",E2:E170,"0450",F2:F170,"04")</f>
        <v>233521.59999999998</v>
      </c>
      <c r="AZ176" s="462">
        <f>SUMIFS(AZ2:AZ170,G2:G170,"TEAB",E2:E170,"0450",F2:F170,"04")</f>
        <v>0</v>
      </c>
      <c r="BA176" s="462">
        <f>SUMIFS(BA2:BA170,G2:G170,"TEAB",E2:E170,"0450",F2:F170,"04")</f>
        <v>0</v>
      </c>
      <c r="BB176" s="462">
        <f>SUMIFS(BB2:BB170,G2:G170,"TEAB",E2:E170,"0450",F2:F170,"04")</f>
        <v>34950</v>
      </c>
      <c r="BC176" s="462">
        <f>SUMIFS(BC2:BC170,G2:G170,"TEAB",E2:E170,"0450",F2:F170,"04")</f>
        <v>0</v>
      </c>
      <c r="BD176" s="462">
        <f>SUMIFS(BD2:BD170,G2:G170,"TEAB",E2:E170,"0450",F2:F170,"04")</f>
        <v>14478.339199999999</v>
      </c>
      <c r="BE176" s="462">
        <f>SUMIFS(BE2:BE170,G2:G170,"TEAB",E2:E170,"0450",F2:F170,"04")</f>
        <v>3386.0632000000001</v>
      </c>
      <c r="BF176" s="462">
        <f>SUMIFS(BF2:BF170,G2:G170,"TEAB",E2:E170,"0450",F2:F170,"04")</f>
        <v>27882.479039999998</v>
      </c>
      <c r="BG176" s="462">
        <f>SUMIFS(BG2:BG170,G2:G170,"TEAB",E2:E170,"0450",F2:F170,"04")</f>
        <v>1683.690736</v>
      </c>
      <c r="BH176" s="462">
        <f>SUMIFS(BH2:BH170,G2:G170,"TEAB",E2:E170,"0450",F2:F170,"04")</f>
        <v>1144.2558399999998</v>
      </c>
      <c r="BI176" s="462">
        <f>SUMIFS(BI2:BI170,G2:G170,"TEAB",E2:E170,"0450",F2:F170,"04")</f>
        <v>1293.709664</v>
      </c>
      <c r="BJ176" s="462">
        <f>SUMIFS(BJ2:BJ170,G2:G170,"TEAB",E2:E170,"0450",F2:F170,"04")</f>
        <v>467.04320000000001</v>
      </c>
      <c r="BK176" s="462">
        <f>SUMIFS(BK2:BK170,G2:G170,"TEAB",E2:E170,"0450",F2:F170,"04")</f>
        <v>0</v>
      </c>
      <c r="BL176" s="462">
        <f>SUMIFS(BL2:BL170,G2:G170,"TEAB",E2:E170,"0450",F2:F170,"04")</f>
        <v>50335.580879999994</v>
      </c>
      <c r="BM176" s="462">
        <f>SUMIFS(BM2:BM170,G2:G170,"TEAB",E2:E170,"0450",F2:F170,"04")</f>
        <v>0</v>
      </c>
      <c r="BN176" s="462">
        <f>SUMIFS(BN2:BN170,G2:G170,"TEAB",E2:E170,"0450",F2:F170,"04")</f>
        <v>34950</v>
      </c>
      <c r="BO176" s="462">
        <f>SUMIFS(BO2:BO170,G2:G170,"TEAB",E2:E170,"0450",F2:F170,"04")</f>
        <v>0</v>
      </c>
      <c r="BP176" s="462">
        <f>SUMIFS(BP2:BP170,G2:G170,"TEAB",E2:E170,"0450",F2:F170,"04")</f>
        <v>14478.339199999999</v>
      </c>
      <c r="BQ176" s="462">
        <f>SUMIFS(BQ2:BQ170,G2:G170,"TEAB",E2:E170,"0450",F2:F170,"04")</f>
        <v>3386.0632000000001</v>
      </c>
      <c r="BR176" s="462">
        <f>SUMIFS(BR2:BR170,G2:G170,"TEAB",E2:E170,"0450",F2:F170,"04")</f>
        <v>27882.479039999998</v>
      </c>
      <c r="BS176" s="462">
        <f>SUMIFS(BS2:BS170,G2:G170,"TEAB",E2:E170,"0450",F2:F170,"04")</f>
        <v>1683.690736</v>
      </c>
      <c r="BT176" s="462">
        <f>SUMIFS(BT2:BT170,G2:G170,"TEAB",E2:E170,"0450",F2:F170,"04")</f>
        <v>0</v>
      </c>
      <c r="BU176" s="462">
        <f>SUMIFS(BU2:BU170,G2:G170,"TEAB",E2:E170,"0450",F2:F170,"04")</f>
        <v>1293.709664</v>
      </c>
      <c r="BV176" s="462">
        <f>SUMIFS(BV2:BV170,G2:G170,"TEAB",E2:E170,"0450",F2:F170,"04")</f>
        <v>396.98671999999993</v>
      </c>
      <c r="BW176" s="462">
        <f>SUMIFS(BW2:BW170,G2:G170,"TEAB",E2:E170,"0450",F2:F170,"04")</f>
        <v>0</v>
      </c>
      <c r="BX176" s="462">
        <f>SUMIFS(BX2:BX170,G2:G170,"TEAB",E2:E170,"0450",F2:F170,"04")</f>
        <v>49121.268559999997</v>
      </c>
      <c r="BY176" s="462">
        <f>SUMIFS(BY2:BY170,G2:G170,"TEAB",E2:E170,"0450",F2:F170,"04")</f>
        <v>0</v>
      </c>
      <c r="BZ176" s="462">
        <f>SUMIFS(BZ2:BZ170,G2:G170,"TEAB",E2:E170,"0450",F2:F170,"04")</f>
        <v>0</v>
      </c>
      <c r="CA176" s="462">
        <f>SUMIFS(CA2:CA170,G2:G170,"TEAB",E2:E170,"0450",F2:F170,"04")</f>
        <v>0</v>
      </c>
      <c r="CB176" s="462">
        <f>SUMIFS(CB2:CB170,G2:G170,"TEAB",E2:E170,"0450",F2:F170,"04")</f>
        <v>0</v>
      </c>
      <c r="CC176" s="462">
        <f>SUMIFS(CC2:CC170,G2:G170,"TEAB",E2:E170,"0450",F2:F170,"04")</f>
        <v>0</v>
      </c>
      <c r="CD176" s="462">
        <f>SUMIFS(CD2:CD170,G2:G170,"TEAB",E2:E170,"0450",F2:F170,"04")</f>
        <v>0</v>
      </c>
      <c r="CE176" s="462">
        <f>SUMIFS(CE2:CE170,G2:G170,"TEAB",E2:E170,"0450",F2:F170,"04")</f>
        <v>0</v>
      </c>
      <c r="CF176" s="462">
        <f>SUMIFS(CF2:CF170,G2:G170,"TEAB",E2:E170,"0450",F2:F170,"04")</f>
        <v>-1144.2558399999998</v>
      </c>
      <c r="CG176" s="462">
        <f>SUMIFS(CG2:CG170,G2:G170,"TEAB",E2:E170,"0450",F2:F170,"04")</f>
        <v>0</v>
      </c>
      <c r="CH176" s="462">
        <f>SUMIFS(CH2:CH170,G2:G170,"TEAB",E2:E170,"0450",F2:F170,"04")</f>
        <v>-70.056480000000022</v>
      </c>
      <c r="CI176" s="462">
        <f>SUMIFS(CI2:CI170,G2:G170,"TEAB",E2:E170,"0450",F2:F170,"04")</f>
        <v>0</v>
      </c>
      <c r="CJ176" s="462">
        <f>SUMIFS(CJ2:CJ170,G2:G170,"TEAB",E2:E170,"0450",F2:F170,"04")</f>
        <v>-1214.31232</v>
      </c>
      <c r="CK176" s="462">
        <f>SUMIFS(CK2:CK170,G2:G170,"TEAB",E2:E170,"0450",F2:F170,"04")</f>
        <v>0</v>
      </c>
      <c r="CL176" s="462">
        <f>SUMIFS(CL2:CL170,G2:G170,"TEAB",E2:E170,"0450",F2:F170,"04")</f>
        <v>0</v>
      </c>
      <c r="CM176" s="462">
        <f>SUMIFS(CM2:CM170,G2:G170,"TEAB",E2:E170,"0450",F2:F170,"04")</f>
        <v>0</v>
      </c>
    </row>
    <row r="177" spans="41:91" x14ac:dyDescent="0.3">
      <c r="AR177" t="s">
        <v>837</v>
      </c>
      <c r="AS177" s="462">
        <f>SUMIFS(AS2:AS170,G2:G170,"TEAB",E2:E170,"0450",F2:F170,"22",AT2:AT170,1)</f>
        <v>4</v>
      </c>
      <c r="AT177" s="462">
        <f>SUMIFS(AS2:AS170,G2:G170,"TEAB",E2:E170,"0450",F2:F170,"22",AT2:AT170,3)</f>
        <v>0</v>
      </c>
      <c r="AU177" s="462">
        <f>SUMIFS(AU2:AU170,G2:G170,"TEAB",E2:E170,"0450",F2:F170,"22")</f>
        <v>4</v>
      </c>
      <c r="AV177" s="462">
        <f>SUMIFS(AV2:AV170,G2:G170,"TEAB",E2:E170,"0450",F2:F170,"22")</f>
        <v>0</v>
      </c>
      <c r="AW177" s="462">
        <f>SUMIFS(AW2:AW170,G2:G170,"TEAB",E2:E170,"0450",F2:F170,"22")</f>
        <v>9</v>
      </c>
      <c r="AX177" s="462">
        <f>SUMIFS(AX2:AX170,G2:G170,"TEAB",E2:E170,"0450",F2:F170,"22")</f>
        <v>267529.59999999998</v>
      </c>
      <c r="AY177" s="462">
        <f>SUMIFS(AY2:AY170,G2:G170,"TEAB",E2:E170,"0450",F2:F170,"22")</f>
        <v>267529.59999999998</v>
      </c>
      <c r="AZ177" s="462">
        <f>SUMIFS(AZ2:AZ170,G2:G170,"TEAB",E2:E170,"0450",F2:F170,"22")</f>
        <v>0</v>
      </c>
      <c r="BA177" s="462">
        <f>SUMIFS(BA2:BA170,G2:G170,"TEAB",E2:E170,"0450",F2:F170,"22")</f>
        <v>0</v>
      </c>
      <c r="BB177" s="462">
        <f>SUMIFS(BB2:BB170,G2:G170,"TEAB",E2:E170,"0450",F2:F170,"22")</f>
        <v>46600</v>
      </c>
      <c r="BC177" s="462">
        <f>SUMIFS(BC2:BC170,G2:G170,"TEAB",E2:E170,"0450",F2:F170,"22")</f>
        <v>0</v>
      </c>
      <c r="BD177" s="462">
        <f>SUMIFS(BD2:BD170,G2:G170,"TEAB",E2:E170,"0450",F2:F170,"22")</f>
        <v>16586.835200000001</v>
      </c>
      <c r="BE177" s="462">
        <f>SUMIFS(BE2:BE170,G2:G170,"TEAB",E2:E170,"0450",F2:F170,"22")</f>
        <v>3879.1792000000005</v>
      </c>
      <c r="BF177" s="462">
        <f>SUMIFS(BF2:BF170,G2:G170,"TEAB",E2:E170,"0450",F2:F170,"22")</f>
        <v>31943.034240000001</v>
      </c>
      <c r="BG177" s="462">
        <f>SUMIFS(BG2:BG170,G2:G170,"TEAB",E2:E170,"0450",F2:F170,"22")</f>
        <v>1928.888416</v>
      </c>
      <c r="BH177" s="462">
        <f>SUMIFS(BH2:BH170,G2:G170,"TEAB",E2:E170,"0450",F2:F170,"22")</f>
        <v>1310.8950399999999</v>
      </c>
      <c r="BI177" s="462">
        <f>SUMIFS(BI2:BI170,G2:G170,"TEAB",E2:E170,"0450",F2:F170,"22")</f>
        <v>1482.1139840000001</v>
      </c>
      <c r="BJ177" s="462">
        <f>SUMIFS(BJ2:BJ170,G2:G170,"TEAB",E2:E170,"0450",F2:F170,"22")</f>
        <v>535.05920000000003</v>
      </c>
      <c r="BK177" s="462">
        <f>SUMIFS(BK2:BK170,G2:G170,"TEAB",E2:E170,"0450",F2:F170,"22")</f>
        <v>0</v>
      </c>
      <c r="BL177" s="462">
        <f>SUMIFS(BL2:BL170,G2:G170,"TEAB",E2:E170,"0450",F2:F170,"22")</f>
        <v>57666.005280000012</v>
      </c>
      <c r="BM177" s="462">
        <f>SUMIFS(BM2:BM170,G2:G170,"TEAB",E2:E170,"0450",F2:F170,"22")</f>
        <v>0</v>
      </c>
      <c r="BN177" s="462">
        <f>SUMIFS(BN2:BN170,G2:G170,"TEAB",E2:E170,"0450",F2:F170,"22")</f>
        <v>46600</v>
      </c>
      <c r="BO177" s="462">
        <f>SUMIFS(BO2:BO170,G2:G170,"TEAB",E2:E170,"0450",F2:F170,"22")</f>
        <v>0</v>
      </c>
      <c r="BP177" s="462">
        <f>SUMIFS(BP2:BP170,G2:G170,"TEAB",E2:E170,"0450",F2:F170,"22")</f>
        <v>16586.835200000001</v>
      </c>
      <c r="BQ177" s="462">
        <f>SUMIFS(BQ2:BQ170,G2:G170,"TEAB",E2:E170,"0450",F2:F170,"22")</f>
        <v>3879.1792000000005</v>
      </c>
      <c r="BR177" s="462">
        <f>SUMIFS(BR2:BR170,G2:G170,"TEAB",E2:E170,"0450",F2:F170,"22")</f>
        <v>31943.034240000001</v>
      </c>
      <c r="BS177" s="462">
        <f>SUMIFS(BS2:BS170,G2:G170,"TEAB",E2:E170,"0450",F2:F170,"22")</f>
        <v>1928.888416</v>
      </c>
      <c r="BT177" s="462">
        <f>SUMIFS(BT2:BT170,G2:G170,"TEAB",E2:E170,"0450",F2:F170,"22")</f>
        <v>0</v>
      </c>
      <c r="BU177" s="462">
        <f>SUMIFS(BU2:BU170,G2:G170,"TEAB",E2:E170,"0450",F2:F170,"22")</f>
        <v>1482.1139840000001</v>
      </c>
      <c r="BV177" s="462">
        <f>SUMIFS(BV2:BV170,G2:G170,"TEAB",E2:E170,"0450",F2:F170,"22")</f>
        <v>454.80032</v>
      </c>
      <c r="BW177" s="462">
        <f>SUMIFS(BW2:BW170,G2:G170,"TEAB",E2:E170,"0450",F2:F170,"22")</f>
        <v>0</v>
      </c>
      <c r="BX177" s="462">
        <f>SUMIFS(BX2:BX170,G2:G170,"TEAB",E2:E170,"0450",F2:F170,"22")</f>
        <v>56274.851360000008</v>
      </c>
      <c r="BY177" s="462">
        <f>SUMIFS(BY2:BY170,G2:G170,"TEAB",E2:E170,"0450",F2:F170,"22")</f>
        <v>0</v>
      </c>
      <c r="BZ177" s="462">
        <f>SUMIFS(BZ2:BZ170,G2:G170,"TEAB",E2:E170,"0450",F2:F170,"22")</f>
        <v>0</v>
      </c>
      <c r="CA177" s="462">
        <f>SUMIFS(CA2:CA170,G2:G170,"TEAB",E2:E170,"0450",F2:F170,"22")</f>
        <v>0</v>
      </c>
      <c r="CB177" s="462">
        <f>SUMIFS(CB2:CB170,G2:G170,"TEAB",E2:E170,"0450",F2:F170,"22")</f>
        <v>0</v>
      </c>
      <c r="CC177" s="462">
        <f>SUMIFS(CC2:CC170,G2:G170,"TEAB",E2:E170,"0450",F2:F170,"22")</f>
        <v>0</v>
      </c>
      <c r="CD177" s="462">
        <f>SUMIFS(CD2:CD170,G2:G170,"TEAB",E2:E170,"0450",F2:F170,"22")</f>
        <v>0</v>
      </c>
      <c r="CE177" s="462">
        <f>SUMIFS(CE2:CE170,G2:G170,"TEAB",E2:E170,"0450",F2:F170,"22")</f>
        <v>0</v>
      </c>
      <c r="CF177" s="462">
        <f>SUMIFS(CF2:CF170,G2:G170,"TEAB",E2:E170,"0450",F2:F170,"22")</f>
        <v>-1310.8950399999999</v>
      </c>
      <c r="CG177" s="462">
        <f>SUMIFS(CG2:CG170,G2:G170,"TEAB",E2:E170,"0450",F2:F170,"22")</f>
        <v>0</v>
      </c>
      <c r="CH177" s="462">
        <f>SUMIFS(CH2:CH170,G2:G170,"TEAB",E2:E170,"0450",F2:F170,"22")</f>
        <v>-80.258880000000033</v>
      </c>
      <c r="CI177" s="462">
        <f>SUMIFS(CI2:CI170,G2:G170,"TEAB",E2:E170,"0450",F2:F170,"22")</f>
        <v>0</v>
      </c>
      <c r="CJ177" s="462">
        <f>SUMIFS(CJ2:CJ170,G2:G170,"TEAB",E2:E170,"0450",F2:F170,"22")</f>
        <v>-1391.15392</v>
      </c>
      <c r="CK177" s="462">
        <f>SUMIFS(CK2:CK170,G2:G170,"TEAB",E2:E170,"0450",F2:F170,"22")</f>
        <v>0</v>
      </c>
      <c r="CL177" s="462">
        <f>SUMIFS(CL2:CL170,G2:G170,"TEAB",E2:E170,"0450",F2:F170,"22")</f>
        <v>0</v>
      </c>
      <c r="CM177" s="462">
        <f>SUMIFS(CM2:CM170,G2:G170,"TEAB",E2:E170,"0450",F2:F170,"22")</f>
        <v>0</v>
      </c>
    </row>
    <row r="178" spans="41:91" x14ac:dyDescent="0.3">
      <c r="AR178" t="s">
        <v>838</v>
      </c>
      <c r="AS178" s="462">
        <f>SUMIFS(AS2:AS170,G2:G170,"TEAB",E2:E170,"0450",F2:F170,"35",AT2:AT170,1)</f>
        <v>2</v>
      </c>
      <c r="AT178" s="462">
        <f>SUMIFS(AS2:AS170,G2:G170,"TEAB",E2:E170,"0450",F2:F170,"35",AT2:AT170,3)</f>
        <v>0</v>
      </c>
      <c r="AU178" s="462">
        <f>SUMIFS(AU2:AU170,G2:G170,"TEAB",E2:E170,"0450",F2:F170,"35")</f>
        <v>2</v>
      </c>
      <c r="AV178" s="462">
        <f>SUMIFS(AV2:AV170,G2:G170,"TEAB",E2:E170,"0450",F2:F170,"35")</f>
        <v>0</v>
      </c>
      <c r="AW178" s="462">
        <f>SUMIFS(AW2:AW170,G2:G170,"TEAB",E2:E170,"0450",F2:F170,"35")</f>
        <v>18</v>
      </c>
      <c r="AX178" s="462">
        <f>SUMIFS(AX2:AX170,G2:G170,"TEAB",E2:E170,"0450",F2:F170,"35")</f>
        <v>153441.60000000001</v>
      </c>
      <c r="AY178" s="462">
        <f>SUMIFS(AY2:AY170,G2:G170,"TEAB",E2:E170,"0450",F2:F170,"35")</f>
        <v>153441.60000000001</v>
      </c>
      <c r="AZ178" s="462">
        <f>SUMIFS(AZ2:AZ170,G2:G170,"TEAB",E2:E170,"0450",F2:F170,"35")</f>
        <v>0</v>
      </c>
      <c r="BA178" s="462">
        <f>SUMIFS(BA2:BA170,G2:G170,"TEAB",E2:E170,"0450",F2:F170,"35")</f>
        <v>0</v>
      </c>
      <c r="BB178" s="462">
        <f>SUMIFS(BB2:BB170,G2:G170,"TEAB",E2:E170,"0450",F2:F170,"35")</f>
        <v>23300</v>
      </c>
      <c r="BC178" s="462">
        <f>SUMIFS(BC2:BC170,G2:G170,"TEAB",E2:E170,"0450",F2:F170,"35")</f>
        <v>0</v>
      </c>
      <c r="BD178" s="462">
        <f>SUMIFS(BD2:BD170,G2:G170,"TEAB",E2:E170,"0450",F2:F170,"35")</f>
        <v>9513.3791999999994</v>
      </c>
      <c r="BE178" s="462">
        <f>SUMIFS(BE2:BE170,G2:G170,"TEAB",E2:E170,"0450",F2:F170,"35")</f>
        <v>2224.9032000000002</v>
      </c>
      <c r="BF178" s="462">
        <f>SUMIFS(BF2:BF170,G2:G170,"TEAB",E2:E170,"0450",F2:F170,"35")</f>
        <v>18320.927040000002</v>
      </c>
      <c r="BG178" s="462">
        <f>SUMIFS(BG2:BG170,G2:G170,"TEAB",E2:E170,"0450",F2:F170,"35")</f>
        <v>1106.313936</v>
      </c>
      <c r="BH178" s="462">
        <f>SUMIFS(BH2:BH170,G2:G170,"TEAB",E2:E170,"0450",F2:F170,"35")</f>
        <v>751.86383999999998</v>
      </c>
      <c r="BI178" s="462">
        <f>SUMIFS(BI2:BI170,G2:G170,"TEAB",E2:E170,"0450",F2:F170,"35")</f>
        <v>850.066464</v>
      </c>
      <c r="BJ178" s="462">
        <f>SUMIFS(BJ2:BJ170,G2:G170,"TEAB",E2:E170,"0450",F2:F170,"35")</f>
        <v>306.88319999999999</v>
      </c>
      <c r="BK178" s="462">
        <f>SUMIFS(BK2:BK170,G2:G170,"TEAB",E2:E170,"0450",F2:F170,"35")</f>
        <v>0</v>
      </c>
      <c r="BL178" s="462">
        <f>SUMIFS(BL2:BL170,G2:G170,"TEAB",E2:E170,"0450",F2:F170,"35")</f>
        <v>33074.336880000003</v>
      </c>
      <c r="BM178" s="462">
        <f>SUMIFS(BM2:BM170,G2:G170,"TEAB",E2:E170,"0450",F2:F170,"35")</f>
        <v>0</v>
      </c>
      <c r="BN178" s="462">
        <f>SUMIFS(BN2:BN170,G2:G170,"TEAB",E2:E170,"0450",F2:F170,"35")</f>
        <v>23300</v>
      </c>
      <c r="BO178" s="462">
        <f>SUMIFS(BO2:BO170,G2:G170,"TEAB",E2:E170,"0450",F2:F170,"35")</f>
        <v>0</v>
      </c>
      <c r="BP178" s="462">
        <f>SUMIFS(BP2:BP170,G2:G170,"TEAB",E2:E170,"0450",F2:F170,"35")</f>
        <v>9513.3791999999994</v>
      </c>
      <c r="BQ178" s="462">
        <f>SUMIFS(BQ2:BQ170,G2:G170,"TEAB",E2:E170,"0450",F2:F170,"35")</f>
        <v>2224.9032000000002</v>
      </c>
      <c r="BR178" s="462">
        <f>SUMIFS(BR2:BR170,G2:G170,"TEAB",E2:E170,"0450",F2:F170,"35")</f>
        <v>18320.927040000002</v>
      </c>
      <c r="BS178" s="462">
        <f>SUMIFS(BS2:BS170,G2:G170,"TEAB",E2:E170,"0450",F2:F170,"35")</f>
        <v>1106.313936</v>
      </c>
      <c r="BT178" s="462">
        <f>SUMIFS(BT2:BT170,G2:G170,"TEAB",E2:E170,"0450",F2:F170,"35")</f>
        <v>0</v>
      </c>
      <c r="BU178" s="462">
        <f>SUMIFS(BU2:BU170,G2:G170,"TEAB",E2:E170,"0450",F2:F170,"35")</f>
        <v>850.066464</v>
      </c>
      <c r="BV178" s="462">
        <f>SUMIFS(BV2:BV170,G2:G170,"TEAB",E2:E170,"0450",F2:F170,"35")</f>
        <v>260.85071999999997</v>
      </c>
      <c r="BW178" s="462">
        <f>SUMIFS(BW2:BW170,G2:G170,"TEAB",E2:E170,"0450",F2:F170,"35")</f>
        <v>0</v>
      </c>
      <c r="BX178" s="462">
        <f>SUMIFS(BX2:BX170,G2:G170,"TEAB",E2:E170,"0450",F2:F170,"35")</f>
        <v>32276.440559999999</v>
      </c>
      <c r="BY178" s="462">
        <f>SUMIFS(BY2:BY170,G2:G170,"TEAB",E2:E170,"0450",F2:F170,"35")</f>
        <v>0</v>
      </c>
      <c r="BZ178" s="462">
        <f>SUMIFS(BZ2:BZ170,G2:G170,"TEAB",E2:E170,"0450",F2:F170,"35")</f>
        <v>0</v>
      </c>
      <c r="CA178" s="462">
        <f>SUMIFS(CA2:CA170,G2:G170,"TEAB",E2:E170,"0450",F2:F170,"35")</f>
        <v>0</v>
      </c>
      <c r="CB178" s="462">
        <f>SUMIFS(CB2:CB170,G2:G170,"TEAB",E2:E170,"0450",F2:F170,"35")</f>
        <v>0</v>
      </c>
      <c r="CC178" s="462">
        <f>SUMIFS(CC2:CC170,G2:G170,"TEAB",E2:E170,"0450",F2:F170,"35")</f>
        <v>0</v>
      </c>
      <c r="CD178" s="462">
        <f>SUMIFS(CD2:CD170,G2:G170,"TEAB",E2:E170,"0450",F2:F170,"35")</f>
        <v>0</v>
      </c>
      <c r="CE178" s="462">
        <f>SUMIFS(CE2:CE170,G2:G170,"TEAB",E2:E170,"0450",F2:F170,"35")</f>
        <v>0</v>
      </c>
      <c r="CF178" s="462">
        <f>SUMIFS(CF2:CF170,G2:G170,"TEAB",E2:E170,"0450",F2:F170,"35")</f>
        <v>-751.86383999999998</v>
      </c>
      <c r="CG178" s="462">
        <f>SUMIFS(CG2:CG170,G2:G170,"TEAB",E2:E170,"0450",F2:F170,"35")</f>
        <v>0</v>
      </c>
      <c r="CH178" s="462">
        <f>SUMIFS(CH2:CH170,G2:G170,"TEAB",E2:E170,"0450",F2:F170,"35")</f>
        <v>-46.032480000000021</v>
      </c>
      <c r="CI178" s="462">
        <f>SUMIFS(CI2:CI170,G2:G170,"TEAB",E2:E170,"0450",F2:F170,"35")</f>
        <v>0</v>
      </c>
      <c r="CJ178" s="462">
        <f>SUMIFS(CJ2:CJ170,G2:G170,"TEAB",E2:E170,"0450",F2:F170,"35")</f>
        <v>-797.89632000000006</v>
      </c>
      <c r="CK178" s="462">
        <f>SUMIFS(CK2:CK170,G2:G170,"TEAB",E2:E170,"0450",F2:F170,"35")</f>
        <v>0</v>
      </c>
      <c r="CL178" s="462">
        <f>SUMIFS(CL2:CL170,G2:G170,"TEAB",E2:E170,"0450",F2:F170,"35")</f>
        <v>0</v>
      </c>
      <c r="CM178" s="462">
        <f>SUMIFS(CM2:CM170,G2:G170,"TEAB",E2:E170,"0450",F2:F170,"35")</f>
        <v>0</v>
      </c>
    </row>
    <row r="179" spans="41:91" ht="15" thickBot="1" x14ac:dyDescent="0.35">
      <c r="AR179" t="s">
        <v>839</v>
      </c>
      <c r="AS179" s="462">
        <f>SUMIFS(AS2:AS170,G2:G170,"TEAB",E2:E170,"0450",F2:F170,"38",AT2:AT170,1)</f>
        <v>110</v>
      </c>
      <c r="AT179" s="462">
        <f>SUMIFS(AS2:AS170,G2:G170,"TEAB",E2:E170,"0450",F2:F170,"38",AT2:AT170,3)</f>
        <v>0</v>
      </c>
      <c r="AU179" s="462">
        <f>SUMIFS(AU2:AU170,G2:G170,"TEAB",E2:E170,"0450",F2:F170,"38")</f>
        <v>110</v>
      </c>
      <c r="AV179" s="462">
        <f>SUMIFS(AV2:AV170,G2:G170,"TEAB",E2:E170,"0450",F2:F170,"38")</f>
        <v>0</v>
      </c>
      <c r="AW179" s="462">
        <f>SUMIFS(AW2:AW170,G2:G170,"TEAB",E2:E170,"0450",F2:F170,"38")</f>
        <v>147</v>
      </c>
      <c r="AX179" s="462">
        <f>SUMIFS(AX2:AX170,G2:G170,"TEAB",E2:E170,"0450",F2:F170,"38")</f>
        <v>7824190.3999999966</v>
      </c>
      <c r="AY179" s="462">
        <f>SUMIFS(AY2:AY170,G2:G170,"TEAB",E2:E170,"0450",F2:F170,"38")</f>
        <v>7824190.3999999966</v>
      </c>
      <c r="AZ179" s="462">
        <f>SUMIFS(AZ2:AZ170,G2:G170,"TEAB",E2:E170,"0450",F2:F170,"38")</f>
        <v>0</v>
      </c>
      <c r="BA179" s="462">
        <f>SUMIFS(BA2:BA170,G2:G170,"TEAB",E2:E170,"0450",F2:F170,"38")</f>
        <v>0</v>
      </c>
      <c r="BB179" s="462">
        <f>SUMIFS(BB2:BB170,G2:G170,"TEAB",E2:E170,"0450",F2:F170,"38")</f>
        <v>1281500</v>
      </c>
      <c r="BC179" s="462">
        <f>SUMIFS(BC2:BC170,G2:G170,"TEAB",E2:E170,"0450",F2:F170,"38")</f>
        <v>0</v>
      </c>
      <c r="BD179" s="462">
        <f>SUMIFS(BD2:BD170,G2:G170,"TEAB",E2:E170,"0450",F2:F170,"38")</f>
        <v>485099.80479999998</v>
      </c>
      <c r="BE179" s="462">
        <f>SUMIFS(BE2:BE170,G2:G170,"TEAB",E2:E170,"0450",F2:F170,"38")</f>
        <v>113450.76079999999</v>
      </c>
      <c r="BF179" s="462">
        <f>SUMIFS(BF2:BF170,G2:G170,"TEAB",E2:E170,"0450",F2:F170,"38")</f>
        <v>934208.33376000042</v>
      </c>
      <c r="BG179" s="462">
        <f>SUMIFS(BG2:BG170,G2:G170,"TEAB",E2:E170,"0450",F2:F170,"38")</f>
        <v>56412.412784000007</v>
      </c>
      <c r="BH179" s="462">
        <f>SUMIFS(BH2:BH170,G2:G170,"TEAB",E2:E170,"0450",F2:F170,"38")</f>
        <v>38338.532960000004</v>
      </c>
      <c r="BI179" s="462">
        <f>SUMIFS(BI2:BI170,G2:G170,"TEAB",E2:E170,"0450",F2:F170,"38")</f>
        <v>43346.014815999981</v>
      </c>
      <c r="BJ179" s="462">
        <f>SUMIFS(BJ2:BJ170,G2:G170,"TEAB",E2:E170,"0450",F2:F170,"38")</f>
        <v>15648.380800000004</v>
      </c>
      <c r="BK179" s="462">
        <f>SUMIFS(BK2:BK170,G2:G170,"TEAB",E2:E170,"0450",F2:F170,"38")</f>
        <v>0</v>
      </c>
      <c r="BL179" s="462">
        <f>SUMIFS(BL2:BL170,G2:G170,"TEAB",E2:E170,"0450",F2:F170,"38")</f>
        <v>1686504.2407200008</v>
      </c>
      <c r="BM179" s="462">
        <f>SUMIFS(BM2:BM170,G2:G170,"TEAB",E2:E170,"0450",F2:F170,"38")</f>
        <v>0</v>
      </c>
      <c r="BN179" s="462">
        <f>SUMIFS(BN2:BN170,G2:G170,"TEAB",E2:E170,"0450",F2:F170,"38")</f>
        <v>1281500</v>
      </c>
      <c r="BO179" s="462">
        <f>SUMIFS(BO2:BO170,G2:G170,"TEAB",E2:E170,"0450",F2:F170,"38")</f>
        <v>0</v>
      </c>
      <c r="BP179" s="462">
        <f>SUMIFS(BP2:BP170,G2:G170,"TEAB",E2:E170,"0450",F2:F170,"38")</f>
        <v>485099.80479999998</v>
      </c>
      <c r="BQ179" s="462">
        <f>SUMIFS(BQ2:BQ170,G2:G170,"TEAB",E2:E170,"0450",F2:F170,"38")</f>
        <v>113450.76079999999</v>
      </c>
      <c r="BR179" s="462">
        <f>SUMIFS(BR2:BR170,G2:G170,"TEAB",E2:E170,"0450",F2:F170,"38")</f>
        <v>934208.33376000042</v>
      </c>
      <c r="BS179" s="462">
        <f>SUMIFS(BS2:BS170,G2:G170,"TEAB",E2:E170,"0450",F2:F170,"38")</f>
        <v>56412.412784000007</v>
      </c>
      <c r="BT179" s="462">
        <f>SUMIFS(BT2:BT170,G2:G170,"TEAB",E2:E170,"0450",F2:F170,"38")</f>
        <v>0</v>
      </c>
      <c r="BU179" s="462">
        <f>SUMIFS(BU2:BU170,G2:G170,"TEAB",E2:E170,"0450",F2:F170,"38")</f>
        <v>43346.014815999981</v>
      </c>
      <c r="BV179" s="462">
        <f>SUMIFS(BV2:BV170,G2:G170,"TEAB",E2:E170,"0450",F2:F170,"38")</f>
        <v>13301.123679999995</v>
      </c>
      <c r="BW179" s="462">
        <f>SUMIFS(BW2:BW170,G2:G170,"TEAB",E2:E170,"0450",F2:F170,"38")</f>
        <v>0</v>
      </c>
      <c r="BX179" s="462">
        <f>SUMIFS(BX2:BX170,G2:G170,"TEAB",E2:E170,"0450",F2:F170,"38")</f>
        <v>1645818.4506400013</v>
      </c>
      <c r="BY179" s="462">
        <f>SUMIFS(BY2:BY170,G2:G170,"TEAB",E2:E170,"0450",F2:F170,"38")</f>
        <v>0</v>
      </c>
      <c r="BZ179" s="462">
        <f>SUMIFS(BZ2:BZ170,G2:G170,"TEAB",E2:E170,"0450",F2:F170,"38")</f>
        <v>0</v>
      </c>
      <c r="CA179" s="462">
        <f>SUMIFS(CA2:CA170,G2:G170,"TEAB",E2:E170,"0450",F2:F170,"38")</f>
        <v>0</v>
      </c>
      <c r="CB179" s="462">
        <f>SUMIFS(CB2:CB170,G2:G170,"TEAB",E2:E170,"0450",F2:F170,"38")</f>
        <v>0</v>
      </c>
      <c r="CC179" s="462">
        <f>SUMIFS(CC2:CC170,G2:G170,"TEAB",E2:E170,"0450",F2:F170,"38")</f>
        <v>0</v>
      </c>
      <c r="CD179" s="462">
        <f>SUMIFS(CD2:CD170,G2:G170,"TEAB",E2:E170,"0450",F2:F170,"38")</f>
        <v>0</v>
      </c>
      <c r="CE179" s="462">
        <f>SUMIFS(CE2:CE170,G2:G170,"TEAB",E2:E170,"0450",F2:F170,"38")</f>
        <v>0</v>
      </c>
      <c r="CF179" s="462">
        <f>SUMIFS(CF2:CF170,G2:G170,"TEAB",E2:E170,"0450",F2:F170,"38")</f>
        <v>-38338.532960000004</v>
      </c>
      <c r="CG179" s="462">
        <f>SUMIFS(CG2:CG170,G2:G170,"TEAB",E2:E170,"0450",F2:F170,"38")</f>
        <v>0</v>
      </c>
      <c r="CH179" s="462">
        <f>SUMIFS(CH2:CH170,G2:G170,"TEAB",E2:E170,"0450",F2:F170,"38")</f>
        <v>-2347.257120000002</v>
      </c>
      <c r="CI179" s="462">
        <f>SUMIFS(CI2:CI170,G2:G170,"TEAB",E2:E170,"0450",F2:F170,"38")</f>
        <v>0</v>
      </c>
      <c r="CJ179" s="462">
        <f>SUMIFS(CJ2:CJ170,G2:G170,"TEAB",E2:E170,"0450",F2:F170,"38")</f>
        <v>-40685.790080000013</v>
      </c>
      <c r="CK179" s="462">
        <f>SUMIFS(CK2:CK170,G2:G170,"TEAB",E2:E170,"0450",F2:F170,"38")</f>
        <v>0</v>
      </c>
      <c r="CL179" s="462">
        <f>SUMIFS(CL2:CL170,G2:G170,"TEAB",E2:E170,"0450",F2:F170,"38")</f>
        <v>13981.5</v>
      </c>
      <c r="CM179" s="462">
        <f>SUMIFS(CM2:CM170,G2:G170,"TEAB",E2:E170,"0450",F2:F170,"38")</f>
        <v>4762.54</v>
      </c>
    </row>
    <row r="180" spans="41:91" ht="18" x14ac:dyDescent="0.35">
      <c r="AQ180" s="468" t="s">
        <v>840</v>
      </c>
      <c r="AS180" s="469">
        <f>SUM(AS175:AS179)</f>
        <v>119</v>
      </c>
      <c r="AT180" s="469">
        <f>SUM(AT175:AT179)</f>
        <v>0</v>
      </c>
      <c r="AU180" s="469">
        <f>SUM(AU175:AU179)</f>
        <v>119</v>
      </c>
      <c r="AV180" s="469">
        <f>SUM(AV175:AV179)</f>
        <v>0</v>
      </c>
      <c r="AW180" s="469">
        <f>SUM(AW175:AW179)</f>
        <v>190</v>
      </c>
      <c r="AX180" s="469">
        <f>SUM(AX175:AX179)</f>
        <v>8478683.1999999974</v>
      </c>
      <c r="AY180" s="469">
        <f>SUM(AY175:AY179)</f>
        <v>8478683.1999999974</v>
      </c>
      <c r="AZ180" s="469">
        <f>SUM(AZ175:AZ179)</f>
        <v>0</v>
      </c>
      <c r="BA180" s="469">
        <f>SUM(BA175:BA179)</f>
        <v>0</v>
      </c>
      <c r="BB180" s="469">
        <f>SUM(BB175:BB179)</f>
        <v>1386350</v>
      </c>
      <c r="BC180" s="469">
        <f>SUM(BC175:BC179)</f>
        <v>0</v>
      </c>
      <c r="BD180" s="469">
        <f>SUM(BD175:BD179)</f>
        <v>525678.35840000003</v>
      </c>
      <c r="BE180" s="469">
        <f>SUM(BE175:BE179)</f>
        <v>122940.90639999999</v>
      </c>
      <c r="BF180" s="469">
        <f>SUM(BF175:BF179)</f>
        <v>1012354.7740800004</v>
      </c>
      <c r="BG180" s="469">
        <f>SUM(BG175:BG179)</f>
        <v>61131.305872000012</v>
      </c>
      <c r="BH180" s="469">
        <f>SUM(BH175:BH179)</f>
        <v>41545.547680000003</v>
      </c>
      <c r="BI180" s="469">
        <f>SUM(BI175:BI179)</f>
        <v>46971.904927999982</v>
      </c>
      <c r="BJ180" s="469">
        <f>SUM(BJ175:BJ179)</f>
        <v>16957.366400000006</v>
      </c>
      <c r="BK180" s="469">
        <f>SUM(BK175:BK179)</f>
        <v>0</v>
      </c>
      <c r="BL180" s="469">
        <f>SUM(BL175:BL179)</f>
        <v>1827580.1637600008</v>
      </c>
      <c r="BM180" s="469">
        <f>SUM(BM175:BM179)</f>
        <v>0</v>
      </c>
      <c r="BN180" s="469">
        <f>SUM(BN175:BN179)</f>
        <v>1386350</v>
      </c>
      <c r="BO180" s="469">
        <f>SUM(BO175:BO179)</f>
        <v>0</v>
      </c>
      <c r="BP180" s="469">
        <f>SUM(BP175:BP179)</f>
        <v>525678.35840000003</v>
      </c>
      <c r="BQ180" s="469">
        <f>SUM(BQ175:BQ179)</f>
        <v>122940.90639999999</v>
      </c>
      <c r="BR180" s="469">
        <f>SUM(BR175:BR179)</f>
        <v>1012354.7740800004</v>
      </c>
      <c r="BS180" s="469">
        <f>SUM(BS175:BS179)</f>
        <v>61131.305872000012</v>
      </c>
      <c r="BT180" s="469">
        <f>SUM(BT175:BT179)</f>
        <v>0</v>
      </c>
      <c r="BU180" s="469">
        <f>SUM(BU175:BU179)</f>
        <v>46971.904927999982</v>
      </c>
      <c r="BV180" s="469">
        <f>SUM(BV175:BV179)</f>
        <v>14413.761439999995</v>
      </c>
      <c r="BW180" s="469">
        <f>SUM(BW175:BW179)</f>
        <v>0</v>
      </c>
      <c r="BX180" s="469">
        <f>SUM(BX175:BX179)</f>
        <v>1783491.0111200013</v>
      </c>
      <c r="BY180" s="469">
        <f>SUM(BY175:BY179)</f>
        <v>0</v>
      </c>
      <c r="BZ180" s="469">
        <f>SUM(BZ175:BZ179)</f>
        <v>0</v>
      </c>
      <c r="CA180" s="469">
        <f>SUM(CA175:CA179)</f>
        <v>0</v>
      </c>
      <c r="CB180" s="469">
        <f>SUM(CB175:CB179)</f>
        <v>0</v>
      </c>
      <c r="CC180" s="469">
        <f>SUM(CC175:CC179)</f>
        <v>0</v>
      </c>
      <c r="CD180" s="469">
        <f>SUM(CD175:CD179)</f>
        <v>0</v>
      </c>
      <c r="CE180" s="469">
        <f>SUM(CE175:CE179)</f>
        <v>0</v>
      </c>
      <c r="CF180" s="469">
        <f>SUM(CF175:CF179)</f>
        <v>-41545.547680000003</v>
      </c>
      <c r="CG180" s="469">
        <f>SUM(CG175:CG179)</f>
        <v>0</v>
      </c>
      <c r="CH180" s="469">
        <f>SUM(CH175:CH179)</f>
        <v>-2543.6049600000019</v>
      </c>
      <c r="CI180" s="469">
        <f>SUM(CI175:CI179)</f>
        <v>0</v>
      </c>
      <c r="CJ180" s="469">
        <f>SUM(CJ175:CJ179)</f>
        <v>-44089.152640000015</v>
      </c>
      <c r="CK180" s="469">
        <f>SUM(CK175:CK179)</f>
        <v>0</v>
      </c>
      <c r="CL180" s="469">
        <f>SUM(CL175:CL179)</f>
        <v>13981.5</v>
      </c>
      <c r="CM180" s="469">
        <f>SUM(CM175:CM179)</f>
        <v>4762.54</v>
      </c>
    </row>
    <row r="181" spans="41:91" ht="15" thickBot="1" x14ac:dyDescent="0.35">
      <c r="AR181" t="s">
        <v>845</v>
      </c>
      <c r="AS181" s="462">
        <f>SUMIFS(AS2:AS170,G2:G170,"TEAC",E2:E170,"0450",F2:F170,"00",AT2:AT170,1)</f>
        <v>0</v>
      </c>
      <c r="AT181" s="462">
        <f>SUMIFS(AS2:AS170,G2:G170,"TEAC",E2:E170,"0450",F2:F170,"00",AT2:AT170,3)</f>
        <v>0</v>
      </c>
      <c r="AU181" s="462">
        <f>SUMIFS(AU2:AU170,G2:G170,"TEAC",E2:E170,"0450",F2:F170,"00")</f>
        <v>0</v>
      </c>
      <c r="AV181" s="462">
        <f>SUMIFS(AV2:AV170,G2:G170,"TEAC",E2:E170,"0450",F2:F170,"00")</f>
        <v>0</v>
      </c>
      <c r="AW181" s="462">
        <f>SUMIFS(AW2:AW170,G2:G170,"TEAC",E2:E170,"0450",F2:F170,"00")</f>
        <v>0</v>
      </c>
      <c r="AX181" s="462">
        <f>SUMIFS(AX2:AX170,G2:G170,"TEAC",E2:E170,"0450",F2:F170,"00")</f>
        <v>0</v>
      </c>
      <c r="AY181" s="462">
        <f>SUMIFS(AY2:AY170,G2:G170,"TEAC",E2:E170,"0450",F2:F170,"00")</f>
        <v>0</v>
      </c>
      <c r="AZ181" s="462">
        <f>SUMIFS(AZ2:AZ170,G2:G170,"TEAC",E2:E170,"0450",F2:F170,"00")</f>
        <v>0</v>
      </c>
      <c r="BA181" s="462">
        <f>SUMIFS(BA2:BA170,G2:G170,"TEAC",E2:E170,"0450",F2:F170,"00")</f>
        <v>0</v>
      </c>
      <c r="BB181" s="462">
        <f>SUMIFS(BB2:BB170,G2:G170,"TEAC",E2:E170,"0450",F2:F170,"00")</f>
        <v>0</v>
      </c>
      <c r="BC181" s="462">
        <f>SUMIFS(BC2:BC170,G2:G170,"TEAC",E2:E170,"0450",F2:F170,"00")</f>
        <v>0</v>
      </c>
      <c r="BD181" s="462">
        <f>SUMIFS(BD2:BD170,G2:G170,"TEAC",E2:E170,"0450",F2:F170,"00")</f>
        <v>0</v>
      </c>
      <c r="BE181" s="462">
        <f>SUMIFS(BE2:BE170,G2:G170,"TEAC",E2:E170,"0450",F2:F170,"00")</f>
        <v>0</v>
      </c>
      <c r="BF181" s="462">
        <f>SUMIFS(BF2:BF170,G2:G170,"TEAC",E2:E170,"0450",F2:F170,"00")</f>
        <v>0</v>
      </c>
      <c r="BG181" s="462">
        <f>SUMIFS(BG2:BG170,G2:G170,"TEAC",E2:E170,"0450",F2:F170,"00")</f>
        <v>0</v>
      </c>
      <c r="BH181" s="462">
        <f>SUMIFS(BH2:BH170,G2:G170,"TEAC",E2:E170,"0450",F2:F170,"00")</f>
        <v>0</v>
      </c>
      <c r="BI181" s="462">
        <f>SUMIFS(BI2:BI170,G2:G170,"TEAC",E2:E170,"0450",F2:F170,"00")</f>
        <v>0</v>
      </c>
      <c r="BJ181" s="462">
        <f>SUMIFS(BJ2:BJ170,G2:G170,"TEAC",E2:E170,"0450",F2:F170,"00")</f>
        <v>0</v>
      </c>
      <c r="BK181" s="462">
        <f>SUMIFS(BK2:BK170,G2:G170,"TEAC",E2:E170,"0450",F2:F170,"00")</f>
        <v>0</v>
      </c>
      <c r="BL181" s="462">
        <f>SUMIFS(BL2:BL170,G2:G170,"TEAC",E2:E170,"0450",F2:F170,"00")</f>
        <v>0</v>
      </c>
      <c r="BM181" s="462">
        <f>SUMIFS(BM2:BM170,G2:G170,"TEAC",E2:E170,"0450",F2:F170,"00")</f>
        <v>0</v>
      </c>
      <c r="BN181" s="462">
        <f>SUMIFS(BN2:BN170,G2:G170,"TEAC",E2:E170,"0450",F2:F170,"00")</f>
        <v>0</v>
      </c>
      <c r="BO181" s="462">
        <f>SUMIFS(BO2:BO170,G2:G170,"TEAC",E2:E170,"0450",F2:F170,"00")</f>
        <v>0</v>
      </c>
      <c r="BP181" s="462">
        <f>SUMIFS(BP2:BP170,G2:G170,"TEAC",E2:E170,"0450",F2:F170,"00")</f>
        <v>0</v>
      </c>
      <c r="BQ181" s="462">
        <f>SUMIFS(BQ2:BQ170,G2:G170,"TEAC",E2:E170,"0450",F2:F170,"00")</f>
        <v>0</v>
      </c>
      <c r="BR181" s="462">
        <f>SUMIFS(BR2:BR170,G2:G170,"TEAC",E2:E170,"0450",F2:F170,"00")</f>
        <v>0</v>
      </c>
      <c r="BS181" s="462">
        <f>SUMIFS(BS2:BS170,G2:G170,"TEAC",E2:E170,"0450",F2:F170,"00")</f>
        <v>0</v>
      </c>
      <c r="BT181" s="462">
        <f>SUMIFS(BT2:BT170,G2:G170,"TEAC",E2:E170,"0450",F2:F170,"00")</f>
        <v>0</v>
      </c>
      <c r="BU181" s="462">
        <f>SUMIFS(BU2:BU170,G2:G170,"TEAC",E2:E170,"0450",F2:F170,"00")</f>
        <v>0</v>
      </c>
      <c r="BV181" s="462">
        <f>SUMIFS(BV2:BV170,G2:G170,"TEAC",E2:E170,"0450",F2:F170,"00")</f>
        <v>0</v>
      </c>
      <c r="BW181" s="462">
        <f>SUMIFS(BW2:BW170,G2:G170,"TEAC",E2:E170,"0450",F2:F170,"00")</f>
        <v>0</v>
      </c>
      <c r="BX181" s="462">
        <f>SUMIFS(BX2:BX170,G2:G170,"TEAC",E2:E170,"0450",F2:F170,"00")</f>
        <v>0</v>
      </c>
      <c r="BY181" s="462">
        <f>SUMIFS(BY2:BY170,G2:G170,"TEAC",E2:E170,"0450",F2:F170,"00")</f>
        <v>0</v>
      </c>
      <c r="BZ181" s="462">
        <f>SUMIFS(BZ2:BZ170,G2:G170,"TEAC",E2:E170,"0450",F2:F170,"00")</f>
        <v>0</v>
      </c>
      <c r="CA181" s="462">
        <f>SUMIFS(CA2:CA170,G2:G170,"TEAC",E2:E170,"0450",F2:F170,"00")</f>
        <v>0</v>
      </c>
      <c r="CB181" s="462">
        <f>SUMIFS(CB2:CB170,G2:G170,"TEAC",E2:E170,"0450",F2:F170,"00")</f>
        <v>0</v>
      </c>
      <c r="CC181" s="462">
        <f>SUMIFS(CC2:CC170,G2:G170,"TEAC",E2:E170,"0450",F2:F170,"00")</f>
        <v>0</v>
      </c>
      <c r="CD181" s="462">
        <f>SUMIFS(CD2:CD170,G2:G170,"TEAC",E2:E170,"0450",F2:F170,"00")</f>
        <v>0</v>
      </c>
      <c r="CE181" s="462">
        <f>SUMIFS(CE2:CE170,G2:G170,"TEAC",E2:E170,"0450",F2:F170,"00")</f>
        <v>0</v>
      </c>
      <c r="CF181" s="462">
        <f>SUMIFS(CF2:CF170,G2:G170,"TEAC",E2:E170,"0450",F2:F170,"00")</f>
        <v>0</v>
      </c>
      <c r="CG181" s="462">
        <f>SUMIFS(CG2:CG170,G2:G170,"TEAC",E2:E170,"0450",F2:F170,"00")</f>
        <v>0</v>
      </c>
      <c r="CH181" s="462">
        <f>SUMIFS(CH2:CH170,G2:G170,"TEAC",E2:E170,"0450",F2:F170,"00")</f>
        <v>0</v>
      </c>
      <c r="CI181" s="462">
        <f>SUMIFS(CI2:CI170,G2:G170,"TEAC",E2:E170,"0450",F2:F170,"00")</f>
        <v>0</v>
      </c>
      <c r="CJ181" s="462">
        <f>SUMIFS(CJ2:CJ170,G2:G170,"TEAC",E2:E170,"0450",F2:F170,"00")</f>
        <v>0</v>
      </c>
      <c r="CK181" s="462">
        <f>SUMIFS(CK2:CK170,G2:G170,"TEAC",E2:E170,"0450",F2:F170,"00")</f>
        <v>0</v>
      </c>
      <c r="CL181" s="462">
        <f>SUMIFS(CL2:CL170,G2:G170,"TEAC",E2:E170,"0450",F2:F170,"00")</f>
        <v>0</v>
      </c>
      <c r="CM181" s="462">
        <f>SUMIFS(CM2:CM170,G2:G170,"TEAC",E2:E170,"0450",F2:F170,"00")</f>
        <v>0</v>
      </c>
    </row>
    <row r="182" spans="41:91" ht="18" x14ac:dyDescent="0.35">
      <c r="AQ182" s="468" t="s">
        <v>846</v>
      </c>
      <c r="AS182" s="469">
        <f>SUM(AS181:AS181)</f>
        <v>0</v>
      </c>
      <c r="AT182" s="469">
        <f>SUM(AT181:AT181)</f>
        <v>0</v>
      </c>
      <c r="AU182" s="469">
        <f>SUM(AU181:AU181)</f>
        <v>0</v>
      </c>
      <c r="AV182" s="469">
        <f>SUM(AV181:AV181)</f>
        <v>0</v>
      </c>
      <c r="AW182" s="469">
        <f>SUM(AW181:AW181)</f>
        <v>0</v>
      </c>
      <c r="AX182" s="469">
        <f>SUM(AX181:AX181)</f>
        <v>0</v>
      </c>
      <c r="AY182" s="469">
        <f>SUM(AY181:AY181)</f>
        <v>0</v>
      </c>
      <c r="AZ182" s="469">
        <f>SUM(AZ181:AZ181)</f>
        <v>0</v>
      </c>
      <c r="BA182" s="469">
        <f>SUM(BA181:BA181)</f>
        <v>0</v>
      </c>
      <c r="BB182" s="469">
        <f>SUM(BB181:BB181)</f>
        <v>0</v>
      </c>
      <c r="BC182" s="469">
        <f>SUM(BC181:BC181)</f>
        <v>0</v>
      </c>
      <c r="BD182" s="469">
        <f>SUM(BD181:BD181)</f>
        <v>0</v>
      </c>
      <c r="BE182" s="469">
        <f>SUM(BE181:BE181)</f>
        <v>0</v>
      </c>
      <c r="BF182" s="469">
        <f>SUM(BF181:BF181)</f>
        <v>0</v>
      </c>
      <c r="BG182" s="469">
        <f>SUM(BG181:BG181)</f>
        <v>0</v>
      </c>
      <c r="BH182" s="469">
        <f>SUM(BH181:BH181)</f>
        <v>0</v>
      </c>
      <c r="BI182" s="469">
        <f>SUM(BI181:BI181)</f>
        <v>0</v>
      </c>
      <c r="BJ182" s="469">
        <f>SUM(BJ181:BJ181)</f>
        <v>0</v>
      </c>
      <c r="BK182" s="469">
        <f>SUM(BK181:BK181)</f>
        <v>0</v>
      </c>
      <c r="BL182" s="469">
        <f>SUM(BL181:BL181)</f>
        <v>0</v>
      </c>
      <c r="BM182" s="469">
        <f>SUM(BM181:BM181)</f>
        <v>0</v>
      </c>
      <c r="BN182" s="469">
        <f>SUM(BN181:BN181)</f>
        <v>0</v>
      </c>
      <c r="BO182" s="469">
        <f>SUM(BO181:BO181)</f>
        <v>0</v>
      </c>
      <c r="BP182" s="469">
        <f>SUM(BP181:BP181)</f>
        <v>0</v>
      </c>
      <c r="BQ182" s="469">
        <f>SUM(BQ181:BQ181)</f>
        <v>0</v>
      </c>
      <c r="BR182" s="469">
        <f>SUM(BR181:BR181)</f>
        <v>0</v>
      </c>
      <c r="BS182" s="469">
        <f>SUM(BS181:BS181)</f>
        <v>0</v>
      </c>
      <c r="BT182" s="469">
        <f>SUM(BT181:BT181)</f>
        <v>0</v>
      </c>
      <c r="BU182" s="469">
        <f>SUM(BU181:BU181)</f>
        <v>0</v>
      </c>
      <c r="BV182" s="469">
        <f>SUM(BV181:BV181)</f>
        <v>0</v>
      </c>
      <c r="BW182" s="469">
        <f>SUM(BW181:BW181)</f>
        <v>0</v>
      </c>
      <c r="BX182" s="469">
        <f>SUM(BX181:BX181)</f>
        <v>0</v>
      </c>
      <c r="BY182" s="469">
        <f>SUM(BY181:BY181)</f>
        <v>0</v>
      </c>
      <c r="BZ182" s="469">
        <f>SUM(BZ181:BZ181)</f>
        <v>0</v>
      </c>
      <c r="CA182" s="469">
        <f>SUM(CA181:CA181)</f>
        <v>0</v>
      </c>
      <c r="CB182" s="469">
        <f>SUM(CB181:CB181)</f>
        <v>0</v>
      </c>
      <c r="CC182" s="469">
        <f>SUM(CC181:CC181)</f>
        <v>0</v>
      </c>
      <c r="CD182" s="469">
        <f>SUM(CD181:CD181)</f>
        <v>0</v>
      </c>
      <c r="CE182" s="469">
        <f>SUM(CE181:CE181)</f>
        <v>0</v>
      </c>
      <c r="CF182" s="469">
        <f>SUM(CF181:CF181)</f>
        <v>0</v>
      </c>
      <c r="CG182" s="469">
        <f>SUM(CG181:CG181)</f>
        <v>0</v>
      </c>
      <c r="CH182" s="469">
        <f>SUM(CH181:CH181)</f>
        <v>0</v>
      </c>
      <c r="CI182" s="469">
        <f>SUM(CI181:CI181)</f>
        <v>0</v>
      </c>
      <c r="CJ182" s="469">
        <f>SUM(CJ181:CJ181)</f>
        <v>0</v>
      </c>
      <c r="CK182" s="469">
        <f>SUM(CK181:CK181)</f>
        <v>0</v>
      </c>
      <c r="CL182" s="469">
        <f>SUM(CL181:CL181)</f>
        <v>0</v>
      </c>
      <c r="CM182" s="469">
        <f>SUM(CM181:CM181)</f>
        <v>0</v>
      </c>
    </row>
    <row r="184" spans="41:91" ht="21" x14ac:dyDescent="0.4">
      <c r="AO184" s="251" t="s">
        <v>97</v>
      </c>
      <c r="AP184" s="251"/>
      <c r="AQ184" s="251"/>
    </row>
    <row r="186" spans="41:91" ht="21" x14ac:dyDescent="0.4">
      <c r="AO186" s="252"/>
      <c r="AP186" s="252"/>
      <c r="AQ186" s="252"/>
    </row>
    <row r="187" spans="41:91" ht="15.6" x14ac:dyDescent="0.3">
      <c r="AS187" s="373" t="s">
        <v>83</v>
      </c>
      <c r="AT187" s="455" t="s">
        <v>852</v>
      </c>
      <c r="AU187" s="455"/>
      <c r="AV187" s="456" t="s">
        <v>850</v>
      </c>
      <c r="AW187" s="455" t="s">
        <v>853</v>
      </c>
      <c r="AX187" s="455"/>
      <c r="AY187" s="456" t="s">
        <v>851</v>
      </c>
      <c r="AZ187" s="455" t="s">
        <v>854</v>
      </c>
      <c r="BA187" s="455"/>
    </row>
    <row r="188" spans="41:91" ht="15.6" x14ac:dyDescent="0.3">
      <c r="AS188" s="249"/>
      <c r="AT188" s="373" t="s">
        <v>94</v>
      </c>
      <c r="AU188" s="372" t="s">
        <v>96</v>
      </c>
      <c r="AV188" s="457"/>
      <c r="AW188" s="373" t="s">
        <v>98</v>
      </c>
      <c r="AX188" s="372" t="s">
        <v>95</v>
      </c>
      <c r="AY188" s="457"/>
      <c r="AZ188" s="373" t="s">
        <v>98</v>
      </c>
      <c r="BA188" s="372" t="s">
        <v>95</v>
      </c>
    </row>
    <row r="189" spans="41:91" x14ac:dyDescent="0.3">
      <c r="AO189" s="467" t="s">
        <v>855</v>
      </c>
    </row>
    <row r="190" spans="41:91" x14ac:dyDescent="0.3">
      <c r="AQ190" t="s">
        <v>832</v>
      </c>
      <c r="AS190" s="462">
        <f>SUM(SUMIFS(AS2:AS170,CN2:CN170,AQ190,E2:E170,"0001",F2:F170,"00",AT2:AT170,{1,3}))</f>
        <v>12</v>
      </c>
      <c r="AT190" s="462">
        <f>SUMPRODUCT(--(CN2:CN170=AQ190),--(N2:N170&lt;&gt;"NG"),--(AG2:AG170&lt;&gt;"D"),--(AR2:AR170&lt;&gt;6),--(AR2:AR170&lt;&gt;36),--(AR2:AR170&lt;&gt;56),T2:T170)+SUMPRODUCT(--(CN2:CN170=AQ190),--(N2:N170&lt;&gt;"NG"),--(AG2:AG170&lt;&gt;"D"),--(AR2:AR170&lt;&gt;6),--(AR2:AR170&lt;&gt;36),--(AR2:AR170&lt;&gt;56),U2:U170)</f>
        <v>1281294.3400000001</v>
      </c>
      <c r="AU190" s="462">
        <f>SUMPRODUCT(--(CN2:CN170=AQ190),--(N2:N170&lt;&gt;"NG"),--(AG2:AG170&lt;&gt;"D"),--(AR2:AR170&lt;&gt;6),--(AR2:AR170&lt;&gt;36),--(AR2:AR170&lt;&gt;56),V2:V170)</f>
        <v>463902.98</v>
      </c>
      <c r="AV190" s="462">
        <f>SUMPRODUCT(--(CN2:CN170=AQ190),AY2:AY170)+SUMPRODUCT(--(CN2:CN170=AQ190),AZ2:AZ170)</f>
        <v>809140.8</v>
      </c>
      <c r="AW190" s="462">
        <f>SUMPRODUCT(--(CN2:CN170=AQ190),BB2:BB170)+SUMPRODUCT(--(CN2:CN170=AQ190),BC2:BC170)</f>
        <v>139800</v>
      </c>
      <c r="AX190" s="462">
        <f>SUMPRODUCT(--(CN2:CN170=AQ190),BL2:BL170)+SUMPRODUCT(--(CN2:CN170=AQ190),BM2:BM170)</f>
        <v>172424.33457599999</v>
      </c>
      <c r="AY190" s="462">
        <f>SUMPRODUCT(--(CN2:CN170=AQ190),AY2:AY170)+SUMPRODUCT(--(CN2:CN170=AQ190),AZ2:AZ170)+SUMPRODUCT(--(CN2:CN170=AQ190),BA2:BA170)</f>
        <v>809140.8</v>
      </c>
      <c r="AZ190" s="462">
        <f>SUMPRODUCT(--(CN2:CN170=AQ190),BN2:BN170)+SUMPRODUCT(--(CN2:CN170=AQ190),BO2:BO170)</f>
        <v>139800</v>
      </c>
      <c r="BA190" s="462">
        <f>SUMPRODUCT(--(CN2:CN170=AQ190),BX2:BX170)+SUMPRODUCT(--(CN2:CN170=AQ190),BY2:BY170)</f>
        <v>168844.527696</v>
      </c>
    </row>
    <row r="191" spans="41:91" x14ac:dyDescent="0.3">
      <c r="AP191" t="s">
        <v>856</v>
      </c>
      <c r="AS191" s="473">
        <f>SUM(AS190:AS190)</f>
        <v>12</v>
      </c>
      <c r="AT191" s="473">
        <f>SUM(AT190:AT190)</f>
        <v>1281294.3400000001</v>
      </c>
      <c r="AU191" s="473">
        <f>SUM(AU190:AU190)</f>
        <v>463902.98</v>
      </c>
      <c r="AV191" s="473">
        <f>SUM(AV190:AV190)</f>
        <v>809140.8</v>
      </c>
      <c r="AW191" s="473">
        <f>SUM(AW190:AW190)</f>
        <v>139800</v>
      </c>
      <c r="AX191" s="473">
        <f>SUM(AX190:AX190)</f>
        <v>172424.33457599999</v>
      </c>
      <c r="AY191" s="473">
        <f>SUM(AY190:AY190)</f>
        <v>809140.8</v>
      </c>
      <c r="AZ191" s="473">
        <f>SUM(AZ190:AZ190)</f>
        <v>139800</v>
      </c>
      <c r="BA191" s="473">
        <f>SUM(BA190:BA190)</f>
        <v>168844.527696</v>
      </c>
    </row>
    <row r="192" spans="41:91" x14ac:dyDescent="0.3">
      <c r="AQ192" t="s">
        <v>857</v>
      </c>
      <c r="AS192" s="462">
        <f>SUM(SUMIFS(AS2:AS170,CN2:CN170,AQ192,E2:E170,"0450",F2:F170,"04",AT2:AT170,{1,3}))</f>
        <v>3</v>
      </c>
      <c r="AT192" s="462">
        <f>SUMPRODUCT(--(CN2:CN170=AQ192),--(N2:N170&lt;&gt;"NG"),--(AG2:AG170&lt;&gt;"D"),--(AR2:AR170&lt;&gt;6),--(AR2:AR170&lt;&gt;36),--(AR2:AR170&lt;&gt;56),T2:T170)+SUMPRODUCT(--(CN2:CN170=AQ192),--(N2:N170&lt;&gt;"NG"),--(AG2:AG170&lt;&gt;"D"),--(AR2:AR170&lt;&gt;6),--(AR2:AR170&lt;&gt;36),--(AR2:AR170&lt;&gt;56),U2:U170)</f>
        <v>198557.09</v>
      </c>
      <c r="AU192" s="462">
        <f>SUMPRODUCT(--(CN2:CN170=AQ192),--(N2:N170&lt;&gt;"NG"),--(AG2:AG170&lt;&gt;"D"),--(AR2:AR170&lt;&gt;6),--(AR2:AR170&lt;&gt;36),--(AR2:AR170&lt;&gt;56),V2:V170)</f>
        <v>75810.099999999991</v>
      </c>
      <c r="AV192" s="462">
        <f>SUMPRODUCT(--(CN2:CN170=AQ192),AY2:AY170)+SUMPRODUCT(--(CN2:CN170=AQ192),AZ2:AZ170)</f>
        <v>233521.59999999998</v>
      </c>
      <c r="AW192" s="462">
        <f>SUMPRODUCT(--(CN2:CN170=AQ192),BB2:BB170)+SUMPRODUCT(--(CN2:CN170=AQ192),BC2:BC170)</f>
        <v>34950</v>
      </c>
      <c r="AX192" s="462">
        <f>SUMPRODUCT(--(CN2:CN170=AQ192),BL2:BL170)+SUMPRODUCT(--(CN2:CN170=AQ192),BM2:BM170)</f>
        <v>50335.580879999994</v>
      </c>
      <c r="AY192" s="462">
        <f>SUMPRODUCT(--(CN2:CN170=AQ192),AY2:AY170)+SUMPRODUCT(--(CN2:CN170=AQ192),AZ2:AZ170)+SUMPRODUCT(--(CN2:CN170=AQ192),BA2:BA170)</f>
        <v>233521.59999999998</v>
      </c>
      <c r="AZ192" s="462">
        <f>SUMPRODUCT(--(CN2:CN170=AQ192),BN2:BN170)+SUMPRODUCT(--(CN2:CN170=AQ192),BO2:BO170)</f>
        <v>34950</v>
      </c>
      <c r="BA192" s="462">
        <f>SUMPRODUCT(--(CN2:CN170=AQ192),BX2:BX170)+SUMPRODUCT(--(CN2:CN170=AQ192),BY2:BY170)</f>
        <v>49121.268559999997</v>
      </c>
    </row>
    <row r="193" spans="41:249" x14ac:dyDescent="0.3">
      <c r="AQ193" t="s">
        <v>858</v>
      </c>
      <c r="AS193" s="462">
        <f>SUM(SUMIFS(AS2:AS170,CN2:CN170,AQ193,E2:E170,"0450",F2:F170,"22",AT2:AT170,{1,3}))</f>
        <v>4</v>
      </c>
      <c r="AT193" s="462">
        <f>SUMPRODUCT(--(CN2:CN170=AQ193),--(N2:N170&lt;&gt;"NG"),--(AG2:AG170&lt;&gt;"D"),--(AR2:AR170&lt;&gt;6),--(AR2:AR170&lt;&gt;36),--(AR2:AR170&lt;&gt;56),T2:T170)+SUMPRODUCT(--(CN2:CN170=AQ193),--(N2:N170&lt;&gt;"NG"),--(AG2:AG170&lt;&gt;"D"),--(AR2:AR170&lt;&gt;6),--(AR2:AR170&lt;&gt;36),--(AR2:AR170&lt;&gt;56),U2:U170)</f>
        <v>112087.45</v>
      </c>
      <c r="AU193" s="462">
        <f>SUMPRODUCT(--(CN2:CN170=AQ193),--(N2:N170&lt;&gt;"NG"),--(AG2:AG170&lt;&gt;"D"),--(AR2:AR170&lt;&gt;6),--(AR2:AR170&lt;&gt;36),--(AR2:AR170&lt;&gt;56),V2:V170)</f>
        <v>46608.270000000004</v>
      </c>
      <c r="AV193" s="462">
        <f>SUMPRODUCT(--(CN2:CN170=AQ193),AY2:AY170)+SUMPRODUCT(--(CN2:CN170=AQ193),AZ2:AZ170)</f>
        <v>267529.59999999998</v>
      </c>
      <c r="AW193" s="462">
        <f>SUMPRODUCT(--(CN2:CN170=AQ193),BB2:BB170)+SUMPRODUCT(--(CN2:CN170=AQ193),BC2:BC170)</f>
        <v>46600</v>
      </c>
      <c r="AX193" s="462">
        <f>SUMPRODUCT(--(CN2:CN170=AQ193),BL2:BL170)+SUMPRODUCT(--(CN2:CN170=AQ193),BM2:BM170)</f>
        <v>57666.005280000012</v>
      </c>
      <c r="AY193" s="462">
        <f>SUMPRODUCT(--(CN2:CN170=AQ193),AY2:AY170)+SUMPRODUCT(--(CN2:CN170=AQ193),AZ2:AZ170)+SUMPRODUCT(--(CN2:CN170=AQ193),BA2:BA170)</f>
        <v>267529.59999999998</v>
      </c>
      <c r="AZ193" s="462">
        <f>SUMPRODUCT(--(CN2:CN170=AQ193),BN2:BN170)+SUMPRODUCT(--(CN2:CN170=AQ193),BO2:BO170)</f>
        <v>46600</v>
      </c>
      <c r="BA193" s="462">
        <f>SUMPRODUCT(--(CN2:CN170=AQ193),BX2:BX170)+SUMPRODUCT(--(CN2:CN170=AQ193),BY2:BY170)</f>
        <v>56274.851360000008</v>
      </c>
    </row>
    <row r="194" spans="41:249" x14ac:dyDescent="0.3">
      <c r="AQ194" t="s">
        <v>859</v>
      </c>
      <c r="AS194" s="462">
        <f>SUM(SUMIFS(AS2:AS170,CN2:CN170,AQ194,E2:E170,"0450",F2:F170,"35",AT2:AT170,{1,3}))</f>
        <v>2</v>
      </c>
      <c r="AT194" s="462">
        <f>SUMPRODUCT(--(CN2:CN170=AQ194),--(N2:N170&lt;&gt;"NG"),--(AG2:AG170&lt;&gt;"D"),--(AR2:AR170&lt;&gt;6),--(AR2:AR170&lt;&gt;36),--(AR2:AR170&lt;&gt;56),T2:T170)+SUMPRODUCT(--(CN2:CN170=AQ194),--(N2:N170&lt;&gt;"NG"),--(AG2:AG170&lt;&gt;"D"),--(AR2:AR170&lt;&gt;6),--(AR2:AR170&lt;&gt;36),--(AR2:AR170&lt;&gt;56),U2:U170)</f>
        <v>344255.4599999999</v>
      </c>
      <c r="AU194" s="462">
        <f>SUMPRODUCT(--(CN2:CN170=AQ194),--(N2:N170&lt;&gt;"NG"),--(AG2:AG170&lt;&gt;"D"),--(AR2:AR170&lt;&gt;6),--(AR2:AR170&lt;&gt;36),--(AR2:AR170&lt;&gt;56),V2:V170)</f>
        <v>125629.65000000002</v>
      </c>
      <c r="AV194" s="462">
        <f>SUMPRODUCT(--(CN2:CN170=AQ194),AY2:AY170)+SUMPRODUCT(--(CN2:CN170=AQ194),AZ2:AZ170)</f>
        <v>153441.60000000001</v>
      </c>
      <c r="AW194" s="462">
        <f>SUMPRODUCT(--(CN2:CN170=AQ194),BB2:BB170)+SUMPRODUCT(--(CN2:CN170=AQ194),BC2:BC170)</f>
        <v>23300</v>
      </c>
      <c r="AX194" s="462">
        <f>SUMPRODUCT(--(CN2:CN170=AQ194),BL2:BL170)+SUMPRODUCT(--(CN2:CN170=AQ194),BM2:BM170)</f>
        <v>33074.336880000003</v>
      </c>
      <c r="AY194" s="462">
        <f>SUMPRODUCT(--(CN2:CN170=AQ194),AY2:AY170)+SUMPRODUCT(--(CN2:CN170=AQ194),AZ2:AZ170)+SUMPRODUCT(--(CN2:CN170=AQ194),BA2:BA170)</f>
        <v>153441.60000000001</v>
      </c>
      <c r="AZ194" s="462">
        <f>SUMPRODUCT(--(CN2:CN170=AQ194),BN2:BN170)+SUMPRODUCT(--(CN2:CN170=AQ194),BO2:BO170)</f>
        <v>23300</v>
      </c>
      <c r="BA194" s="462">
        <f>SUMPRODUCT(--(CN2:CN170=AQ194),BX2:BX170)+SUMPRODUCT(--(CN2:CN170=AQ194),BY2:BY170)</f>
        <v>32276.440559999999</v>
      </c>
    </row>
    <row r="195" spans="41:249" x14ac:dyDescent="0.3">
      <c r="AQ195" t="s">
        <v>860</v>
      </c>
      <c r="AS195" s="462">
        <f>SUM(SUMIFS(AS2:AS170,CN2:CN170,AQ195,E2:E170,"0450",F2:F170,"38",AT2:AT170,{1,3}))</f>
        <v>110</v>
      </c>
      <c r="AT195" s="462">
        <f>SUMPRODUCT(--(CN2:CN170=AQ195),--(N2:N170&lt;&gt;"NG"),--(AG2:AG170&lt;&gt;"D"),--(AR2:AR170&lt;&gt;6),--(AR2:AR170&lt;&gt;36),--(AR2:AR170&lt;&gt;56),T2:T170)+SUMPRODUCT(--(CN2:CN170=AQ195),--(N2:N170&lt;&gt;"NG"),--(AG2:AG170&lt;&gt;"D"),--(AR2:AR170&lt;&gt;6),--(AR2:AR170&lt;&gt;36),--(AR2:AR170&lt;&gt;56),U2:U170)</f>
        <v>6845551.0899999989</v>
      </c>
      <c r="AU195" s="462">
        <f>SUMPRODUCT(--(CN2:CN170=AQ195),--(N2:N170&lt;&gt;"NG"),--(AG2:AG170&lt;&gt;"D"),--(AR2:AR170&lt;&gt;6),--(AR2:AR170&lt;&gt;36),--(AR2:AR170&lt;&gt;56),V2:V170)</f>
        <v>2624502.6799999992</v>
      </c>
      <c r="AV195" s="462">
        <f>SUMPRODUCT(--(CN2:CN170=AQ195),AY2:AY170)+SUMPRODUCT(--(CN2:CN170=AQ195),AZ2:AZ170)</f>
        <v>7824190.3999999966</v>
      </c>
      <c r="AW195" s="462">
        <f>SUMPRODUCT(--(CN2:CN170=AQ195),BB2:BB170)+SUMPRODUCT(--(CN2:CN170=AQ195),BC2:BC170)</f>
        <v>1281500</v>
      </c>
      <c r="AX195" s="462">
        <f>SUMPRODUCT(--(CN2:CN170=AQ195),BL2:BL170)+SUMPRODUCT(--(CN2:CN170=AQ195),BM2:BM170)</f>
        <v>1686504.2407200008</v>
      </c>
      <c r="AY195" s="462">
        <f>SUMPRODUCT(--(CN2:CN170=AQ195),AY2:AY170)+SUMPRODUCT(--(CN2:CN170=AQ195),AZ2:AZ170)+SUMPRODUCT(--(CN2:CN170=AQ195),BA2:BA170)</f>
        <v>7824190.3999999966</v>
      </c>
      <c r="AZ195" s="462">
        <f>SUMPRODUCT(--(CN2:CN170=AQ195),BN2:BN170)+SUMPRODUCT(--(CN2:CN170=AQ195),BO2:BO170)</f>
        <v>1281500</v>
      </c>
      <c r="BA195" s="462">
        <f>SUMPRODUCT(--(CN2:CN170=AQ195),BX2:BX170)+SUMPRODUCT(--(CN2:CN170=AQ195),BY2:BY170)</f>
        <v>1645818.4506400013</v>
      </c>
    </row>
    <row r="196" spans="41:249" x14ac:dyDescent="0.3">
      <c r="AP196" t="s">
        <v>861</v>
      </c>
      <c r="AS196" s="473">
        <f>SUM(AS192:AS195)</f>
        <v>119</v>
      </c>
      <c r="AT196" s="473">
        <f>SUM(AT192:AT195)</f>
        <v>7500451.0899999989</v>
      </c>
      <c r="AU196" s="473">
        <f>SUM(AU192:AU195)</f>
        <v>2872550.6999999993</v>
      </c>
      <c r="AV196" s="473">
        <f>SUM(AV192:AV195)</f>
        <v>8478683.1999999974</v>
      </c>
      <c r="AW196" s="473">
        <f>SUM(AW192:AW195)</f>
        <v>1386350</v>
      </c>
      <c r="AX196" s="473">
        <f>SUM(AX192:AX195)</f>
        <v>1827580.1637600008</v>
      </c>
      <c r="AY196" s="473">
        <f>SUM(AY192:AY195)</f>
        <v>8478683.1999999974</v>
      </c>
      <c r="AZ196" s="473">
        <f>SUM(AZ192:AZ195)</f>
        <v>1386350</v>
      </c>
      <c r="BA196" s="473">
        <f>SUM(BA192:BA195)</f>
        <v>1783491.0111200013</v>
      </c>
    </row>
    <row r="197" spans="41:249" x14ac:dyDescent="0.3">
      <c r="AS197" s="462"/>
      <c r="AT197" s="462"/>
      <c r="AU197" s="462"/>
      <c r="AV197" s="462"/>
      <c r="AW197" s="462"/>
      <c r="AX197" s="462"/>
      <c r="AY197" s="462"/>
      <c r="AZ197" s="462"/>
      <c r="BA197" s="462"/>
    </row>
    <row r="198" spans="41:249" x14ac:dyDescent="0.3">
      <c r="AO198" s="471" t="s">
        <v>862</v>
      </c>
      <c r="AS198" s="474">
        <f>SUM(AS191,AS196)</f>
        <v>131</v>
      </c>
      <c r="AT198" s="474">
        <f>SUM(AT191,AT196)</f>
        <v>8781745.4299999997</v>
      </c>
      <c r="AU198" s="474">
        <f>SUM(AU191,AU196)</f>
        <v>3336453.6799999992</v>
      </c>
      <c r="AV198" s="474">
        <f>SUM(AV191,AV196)</f>
        <v>9287823.9999999981</v>
      </c>
      <c r="AW198" s="474">
        <f>SUM(AW191,AW196)</f>
        <v>1526150</v>
      </c>
      <c r="AX198" s="474">
        <f>SUM(AX191,AX196)</f>
        <v>2000004.4983360008</v>
      </c>
      <c r="AY198" s="474">
        <f>SUM(AY191,AY196)</f>
        <v>9287823.9999999981</v>
      </c>
      <c r="AZ198" s="474">
        <f>SUM(AZ191,AZ196)</f>
        <v>1526150</v>
      </c>
      <c r="BA198" s="474">
        <f>SUM(BA191,BA196)</f>
        <v>1952335.5388160013</v>
      </c>
    </row>
    <row r="199" spans="41:249" x14ac:dyDescent="0.3">
      <c r="AS199" s="462"/>
      <c r="AT199" s="462"/>
      <c r="AU199" s="462"/>
      <c r="AV199" s="462"/>
      <c r="AW199" s="462"/>
      <c r="AX199" s="462"/>
      <c r="AY199" s="462"/>
      <c r="AZ199" s="462"/>
      <c r="BA199" s="462"/>
    </row>
    <row r="200" spans="41:249" x14ac:dyDescent="0.3">
      <c r="AO200" s="467" t="s">
        <v>863</v>
      </c>
      <c r="AS200" s="462"/>
      <c r="AT200" s="462"/>
      <c r="AU200" s="462"/>
      <c r="AV200" s="462"/>
      <c r="AW200" s="462"/>
      <c r="AX200" s="462"/>
      <c r="AY200" s="462"/>
      <c r="AZ200" s="462"/>
      <c r="BA200" s="462"/>
    </row>
    <row r="201" spans="41:249" x14ac:dyDescent="0.3">
      <c r="AQ201" t="s">
        <v>860</v>
      </c>
      <c r="AS201" s="462"/>
      <c r="AT201" s="462">
        <f>SUMIF(CN2:CN170,AQ201,CL2:CL170)</f>
        <v>13981.5</v>
      </c>
      <c r="AU201" s="462">
        <f>SUMIF(CN2:CN170,AQ201,CM2:CM170)</f>
        <v>4762.54</v>
      </c>
      <c r="AV201" s="462">
        <f>SUMIF(CN2:CN170,AQ201,CL2:CL170)</f>
        <v>13981.5</v>
      </c>
      <c r="AW201" s="462">
        <v>0</v>
      </c>
      <c r="AX201" s="462">
        <f>SUMIF(CN2:CN170,AQ201,CM2:CM170)</f>
        <v>4762.54</v>
      </c>
      <c r="AY201" s="462">
        <f>SUMIF(CN2:CN170,AQ201,CL2:CL170)</f>
        <v>13981.5</v>
      </c>
      <c r="AZ201" s="462">
        <v>0</v>
      </c>
      <c r="BA201" s="462">
        <f>SUMIF(CN2:CN170,AQ201,CM2:CM170)</f>
        <v>4762.54</v>
      </c>
    </row>
    <row r="202" spans="41:249" x14ac:dyDescent="0.3">
      <c r="AP202" t="s">
        <v>861</v>
      </c>
      <c r="AS202" s="473"/>
      <c r="AT202" s="473">
        <f>SUM(AT201:AT201)</f>
        <v>13981.5</v>
      </c>
      <c r="AU202" s="473">
        <f>SUM(AU201:AU201)</f>
        <v>4762.54</v>
      </c>
      <c r="AV202" s="473">
        <f>SUM(AV201:AV201)</f>
        <v>13981.5</v>
      </c>
      <c r="AW202" s="473">
        <f>SUM(AW201:AW201)</f>
        <v>0</v>
      </c>
      <c r="AX202" s="473">
        <f>SUM(AX201:AX201)</f>
        <v>4762.54</v>
      </c>
      <c r="AY202" s="473">
        <f>SUM(AY201:AY201)</f>
        <v>13981.5</v>
      </c>
      <c r="AZ202" s="473">
        <f>SUM(AZ201:AZ201)</f>
        <v>0</v>
      </c>
      <c r="BA202" s="473">
        <f>SUM(BA201:BA201)</f>
        <v>4762.54</v>
      </c>
    </row>
    <row r="203" spans="41:249" x14ac:dyDescent="0.3">
      <c r="AS203" s="462"/>
      <c r="AT203" s="462"/>
      <c r="AU203" s="462"/>
      <c r="AV203" s="462"/>
      <c r="AW203" s="462"/>
      <c r="AX203" s="462"/>
      <c r="AY203" s="462"/>
      <c r="AZ203" s="462"/>
      <c r="BA203" s="462"/>
    </row>
    <row r="204" spans="41:249" x14ac:dyDescent="0.3">
      <c r="AO204" s="471" t="s">
        <v>864</v>
      </c>
      <c r="AS204" s="474">
        <f>SUM(AS202)</f>
        <v>0</v>
      </c>
      <c r="AT204" s="474">
        <f>SUM(AT202)</f>
        <v>13981.5</v>
      </c>
      <c r="AU204" s="474">
        <f>SUM(AU202)</f>
        <v>4762.54</v>
      </c>
      <c r="AV204" s="474">
        <f>SUM(AV202)</f>
        <v>13981.5</v>
      </c>
      <c r="AW204" s="474">
        <f>SUM(AW202)</f>
        <v>0</v>
      </c>
      <c r="AX204" s="474">
        <f>SUM(AX202)</f>
        <v>4762.54</v>
      </c>
      <c r="AY204" s="474">
        <f>SUM(AY202)</f>
        <v>13981.5</v>
      </c>
      <c r="AZ204" s="474">
        <f>SUM(AZ202)</f>
        <v>0</v>
      </c>
      <c r="BA204" s="474">
        <f>SUM(BA202)</f>
        <v>4762.54</v>
      </c>
      <c r="II204" s="467"/>
      <c r="IO204" s="467"/>
    </row>
    <row r="205" spans="41:249" x14ac:dyDescent="0.3">
      <c r="AS205" s="462"/>
      <c r="AT205" s="462"/>
      <c r="AU205" s="462"/>
      <c r="AV205" s="462"/>
      <c r="AW205" s="462"/>
      <c r="AX205" s="462"/>
      <c r="AY205" s="462"/>
      <c r="AZ205" s="462"/>
      <c r="BA205" s="462"/>
    </row>
    <row r="206" spans="41:249" x14ac:dyDescent="0.3">
      <c r="AO206" s="472" t="s">
        <v>865</v>
      </c>
      <c r="AS206" s="475">
        <f>SUM(AS198,AS204)</f>
        <v>131</v>
      </c>
      <c r="AT206" s="476">
        <f>SUM(AT198,AT204)</f>
        <v>8795726.9299999997</v>
      </c>
      <c r="AU206" s="476">
        <f>SUM(AU198,AU204)</f>
        <v>3341216.2199999993</v>
      </c>
      <c r="AV206" s="476">
        <f>SUM(AV198,AV204)</f>
        <v>9301805.4999999981</v>
      </c>
      <c r="AW206" s="476">
        <f>SUM(AW198,AW204)</f>
        <v>1526150</v>
      </c>
      <c r="AX206" s="476">
        <f>SUM(AX198,AX204)</f>
        <v>2004767.0383360009</v>
      </c>
      <c r="AY206" s="476">
        <f>SUM(AY198,AY204)</f>
        <v>9301805.4999999981</v>
      </c>
      <c r="AZ206" s="476">
        <f>SUM(AZ198,AZ204)</f>
        <v>1526150</v>
      </c>
      <c r="BA206" s="476">
        <f>SUM(BA198,BA204)</f>
        <v>1957098.0788160013</v>
      </c>
    </row>
  </sheetData>
  <mergeCells count="5">
    <mergeCell ref="AT187:AU187"/>
    <mergeCell ref="AV187:AV188"/>
    <mergeCell ref="AW187:AX187"/>
    <mergeCell ref="AY187:AY188"/>
    <mergeCell ref="AZ187:BA18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19" zoomScaleNormal="100" workbookViewId="0">
      <selection activeCell="C39" sqref="C39"/>
    </sheetView>
  </sheetViews>
  <sheetFormatPr defaultColWidth="9.109375" defaultRowHeight="19.2" x14ac:dyDescent="0.35"/>
  <cols>
    <col min="1" max="1" width="4" style="1" customWidth="1"/>
    <col min="2" max="2" width="42" style="1" bestFit="1" customWidth="1"/>
    <col min="3" max="3" width="20.33203125" style="1" customWidth="1"/>
    <col min="4" max="4" width="21.44140625" style="1" bestFit="1" customWidth="1"/>
    <col min="5" max="5" width="20.5546875" style="1" customWidth="1"/>
    <col min="6" max="6" width="14.33203125" style="1" bestFit="1" customWidth="1"/>
    <col min="7" max="7" width="12" style="1" bestFit="1" customWidth="1"/>
    <col min="8" max="8" width="15" style="1" bestFit="1" customWidth="1"/>
    <col min="9" max="10" width="9.109375" style="1"/>
    <col min="11" max="11" width="9.88671875" style="1" bestFit="1" customWidth="1"/>
    <col min="12" max="12" width="16.44140625" style="1" bestFit="1" customWidth="1"/>
    <col min="13" max="14" width="15.88671875" style="1" bestFit="1" customWidth="1"/>
    <col min="15" max="15" width="16.44140625" style="1" bestFit="1" customWidth="1"/>
    <col min="16" max="16384" width="9.109375" style="1"/>
  </cols>
  <sheetData>
    <row r="1" spans="1:15" x14ac:dyDescent="0.35">
      <c r="A1" s="383"/>
      <c r="B1" s="383"/>
      <c r="C1" s="383"/>
      <c r="D1" s="383"/>
      <c r="E1" s="383"/>
    </row>
    <row r="2" spans="1:15" ht="28.5" customHeight="1" x14ac:dyDescent="0.35">
      <c r="A2" s="2" t="s">
        <v>10</v>
      </c>
      <c r="B2" s="2"/>
      <c r="C2" s="2"/>
      <c r="D2" s="2"/>
      <c r="E2" s="2"/>
    </row>
    <row r="3" spans="1:15" x14ac:dyDescent="0.35">
      <c r="A3" s="3"/>
      <c r="B3" s="3"/>
      <c r="C3" s="4" t="s">
        <v>0</v>
      </c>
      <c r="D3" s="4" t="s">
        <v>1</v>
      </c>
      <c r="E3" s="3"/>
    </row>
    <row r="4" spans="1:15" ht="37.799999999999997" x14ac:dyDescent="0.35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5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5">
      <c r="A8" s="3"/>
      <c r="B8" s="130" t="s">
        <v>5</v>
      </c>
      <c r="C8" s="235">
        <v>2E-3</v>
      </c>
      <c r="D8" s="234">
        <v>1.6999999999999999E-3</v>
      </c>
      <c r="E8" s="314">
        <f t="shared" si="0"/>
        <v>-3.0000000000000014E-4</v>
      </c>
    </row>
    <row r="9" spans="1:15" x14ac:dyDescent="0.3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5">
      <c r="A11" s="3"/>
      <c r="B11" s="130" t="s">
        <v>8</v>
      </c>
      <c r="C11" s="348">
        <v>5.5399999999999998E-3</v>
      </c>
      <c r="D11" s="348">
        <v>5.5399999999999998E-3</v>
      </c>
      <c r="E11" s="313">
        <f t="shared" si="0"/>
        <v>0</v>
      </c>
    </row>
    <row r="12" spans="1:15" x14ac:dyDescent="0.35">
      <c r="A12" s="3"/>
      <c r="B12" s="233" t="s">
        <v>11</v>
      </c>
      <c r="C12" s="234">
        <f>SUM(C5:C11)</f>
        <v>9.6149999999999999E-2</v>
      </c>
      <c r="D12" s="234">
        <f>SUM(D5:D11)</f>
        <v>9.0949999999999989E-2</v>
      </c>
      <c r="E12" s="315">
        <f>D12-C12</f>
        <v>-5.2000000000000102E-3</v>
      </c>
      <c r="M12" s="320"/>
    </row>
    <row r="13" spans="1:15" x14ac:dyDescent="0.35">
      <c r="A13" s="3"/>
      <c r="B13" s="231" t="s">
        <v>9</v>
      </c>
      <c r="C13" s="226">
        <f>SUM(C5:C8)</f>
        <v>8.3400000000000002E-2</v>
      </c>
      <c r="D13" s="226">
        <f>SUM(D5:D8)</f>
        <v>7.8199999999999992E-2</v>
      </c>
      <c r="E13" s="313">
        <f t="shared" si="0"/>
        <v>-5.2000000000000102E-3</v>
      </c>
      <c r="F13" s="8"/>
    </row>
    <row r="14" spans="1:15" x14ac:dyDescent="0.35">
      <c r="A14" s="230"/>
      <c r="B14" s="232" t="s">
        <v>102</v>
      </c>
      <c r="C14" s="226">
        <f>SUM(C5:C6,C8:C9)</f>
        <v>8.5709999999999995E-2</v>
      </c>
      <c r="D14" s="226">
        <f>SUM(D5:D6,D8:D9)</f>
        <v>8.5409999999999986E-2</v>
      </c>
      <c r="E14" s="313">
        <f>D14-C14</f>
        <v>-3.0000000000000859E-4</v>
      </c>
      <c r="M14" s="320"/>
    </row>
    <row r="15" spans="1:15" x14ac:dyDescent="0.35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5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5">
      <c r="B17" s="130"/>
      <c r="D17" s="1" t="s">
        <v>45</v>
      </c>
      <c r="K17" s="319"/>
    </row>
    <row r="18" spans="1:11" ht="12" customHeight="1" x14ac:dyDescent="0.35">
      <c r="C18" s="1" t="s">
        <v>45</v>
      </c>
    </row>
    <row r="19" spans="1:11" ht="37.799999999999997" x14ac:dyDescent="0.35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5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5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5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5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5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5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5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5">
      <c r="A28" s="384" t="s">
        <v>110</v>
      </c>
      <c r="B28" s="384"/>
      <c r="C28" s="384"/>
      <c r="D28" s="384"/>
      <c r="E28" s="384"/>
    </row>
    <row r="29" spans="1:11" x14ac:dyDescent="0.35">
      <c r="A29" s="384" t="s">
        <v>111</v>
      </c>
      <c r="B29" s="384"/>
      <c r="C29" s="384"/>
      <c r="D29" s="384"/>
      <c r="E29" s="384"/>
    </row>
    <row r="30" spans="1:11" ht="12.75" customHeight="1" x14ac:dyDescent="0.35">
      <c r="A30" s="247"/>
      <c r="B30" s="247"/>
      <c r="C30" s="247"/>
      <c r="D30" s="247"/>
      <c r="E30" s="247"/>
    </row>
    <row r="31" spans="1:11" x14ac:dyDescent="0.35">
      <c r="A31" s="316" t="s">
        <v>88</v>
      </c>
      <c r="B31" s="316"/>
      <c r="C31" s="247"/>
      <c r="D31" s="247"/>
      <c r="E31" s="247"/>
    </row>
    <row r="32" spans="1:11" x14ac:dyDescent="0.35">
      <c r="A32" s="316"/>
      <c r="B32" s="316" t="s">
        <v>89</v>
      </c>
      <c r="C32" s="247"/>
      <c r="D32" s="247"/>
      <c r="E32" s="247"/>
    </row>
    <row r="33" spans="1:5" x14ac:dyDescent="0.35">
      <c r="A33" s="316"/>
      <c r="B33" s="316" t="s">
        <v>90</v>
      </c>
      <c r="C33" s="247"/>
      <c r="D33" s="247"/>
      <c r="E33" s="247"/>
    </row>
    <row r="34" spans="1:5" x14ac:dyDescent="0.35">
      <c r="A34" s="316"/>
      <c r="B34" s="316" t="s">
        <v>91</v>
      </c>
      <c r="C34" s="247"/>
      <c r="D34" s="247"/>
      <c r="E34" s="247"/>
    </row>
    <row r="35" spans="1:5" x14ac:dyDescent="0.35">
      <c r="A35" s="316"/>
      <c r="B35" s="316" t="s">
        <v>92</v>
      </c>
      <c r="C35" s="247"/>
      <c r="D35" s="247"/>
      <c r="E35" s="247"/>
    </row>
    <row r="36" spans="1:5" x14ac:dyDescent="0.35">
      <c r="A36" s="316"/>
      <c r="B36" s="316" t="s">
        <v>93</v>
      </c>
      <c r="C36" s="247"/>
      <c r="D36" s="247"/>
      <c r="E36" s="247"/>
    </row>
    <row r="38" spans="1:5" x14ac:dyDescent="0.35">
      <c r="B38" s="317" t="s">
        <v>103</v>
      </c>
      <c r="C38" s="318">
        <v>0.01</v>
      </c>
    </row>
    <row r="39" spans="1:5" x14ac:dyDescent="0.35">
      <c r="B39" s="341" t="s">
        <v>104</v>
      </c>
      <c r="C39" s="340">
        <v>0.01</v>
      </c>
    </row>
    <row r="40" spans="1:5" x14ac:dyDescent="0.35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0"/>
      <c r="N1" s="401"/>
      <c r="AA1" s="337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2"/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0"/>
      <c r="N3" s="401"/>
      <c r="AA3" s="337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37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/>
      <c r="J5" s="404"/>
      <c r="K5" s="404"/>
      <c r="L5" s="403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256" t="s">
        <v>21</v>
      </c>
      <c r="C8" s="387" t="s">
        <v>22</v>
      </c>
      <c r="D8" s="388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/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7" priority="5">
      <formula>$J$44&lt;0</formula>
    </cfRule>
  </conditionalFormatting>
  <conditionalFormatting sqref="K43">
    <cfRule type="expression" dxfId="6" priority="4">
      <formula>$J$43&lt;0</formula>
    </cfRule>
  </conditionalFormatting>
  <conditionalFormatting sqref="L16">
    <cfRule type="expression" dxfId="5" priority="3">
      <formula>$J$16&lt;0</formula>
    </cfRule>
  </conditionalFormatting>
  <conditionalFormatting sqref="K45">
    <cfRule type="expression" dxfId="4" priority="2">
      <formula>$J$44&lt;0</formula>
    </cfRule>
  </conditionalFormatting>
  <conditionalFormatting sqref="K43:N45">
    <cfRule type="containsText" dxfId="3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topLeftCell="A16" workbookViewId="0">
      <selection activeCell="A24" sqref="A24:L32"/>
    </sheetView>
  </sheetViews>
  <sheetFormatPr defaultRowHeight="14.4" x14ac:dyDescent="0.3"/>
  <cols>
    <col min="1" max="1" width="9" customWidth="1"/>
    <col min="2" max="2" width="39.33203125" customWidth="1"/>
    <col min="3" max="3" width="13" customWidth="1"/>
    <col min="4" max="4" width="12.33203125" customWidth="1"/>
    <col min="5" max="5" width="12.109375" customWidth="1"/>
    <col min="6" max="6" width="14.5546875" customWidth="1"/>
    <col min="7" max="7" width="19.5546875" customWidth="1"/>
    <col min="8" max="8" width="13.6640625" customWidth="1"/>
    <col min="9" max="9" width="0" hidden="1" customWidth="1"/>
    <col min="10" max="10" width="18.44140625" customWidth="1"/>
    <col min="11" max="11" width="16.44140625" customWidth="1"/>
    <col min="12" max="12" width="16.109375" customWidth="1"/>
  </cols>
  <sheetData>
    <row r="1" spans="1:12" x14ac:dyDescent="0.3">
      <c r="A1" s="470" t="s">
        <v>834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66.599999999999994" x14ac:dyDescent="0.3">
      <c r="A2" s="387" t="s">
        <v>22</v>
      </c>
      <c r="B2" s="388"/>
      <c r="C2" s="370" t="s">
        <v>23</v>
      </c>
      <c r="D2" s="49" t="s">
        <v>24</v>
      </c>
      <c r="E2" s="50" t="str">
        <f>"FY "&amp;'TEAB|0001-00'!FiscalYear-1&amp;" SALARY"</f>
        <v>FY 2022 SALARY</v>
      </c>
      <c r="F2" s="50" t="str">
        <f>"FY "&amp;'TEAB|0001-00'!FiscalYear-1&amp;" HEALTH BENEFITS"</f>
        <v>FY 2022 HEALTH BENEFITS</v>
      </c>
      <c r="G2" s="50" t="str">
        <f>"FY "&amp;'TEAB|0001-00'!FiscalYear-1&amp;" VAR BENEFITS"</f>
        <v>FY 2022 VAR BENEFITS</v>
      </c>
      <c r="H2" s="50" t="str">
        <f>"FY "&amp;'TEAB|0001-00'!FiscalYear-1&amp;" TOTAL"</f>
        <v>FY 2022 TOTAL</v>
      </c>
      <c r="I2" s="50" t="str">
        <f>"FY "&amp;'TEAB|0001-00'!FiscalYear&amp;" SALARY CHANGE"</f>
        <v>FY 2023 SALARY CHANGE</v>
      </c>
      <c r="J2" s="50" t="str">
        <f>"FY "&amp;'TEAB|0001-00'!FiscalYear&amp;" CHG HEALTH BENEFITS"</f>
        <v>FY 2023 CHG HEALTH BENEFITS</v>
      </c>
      <c r="K2" s="50" t="str">
        <f>"FY "&amp;'TEAB|0001-00'!FiscalYear&amp;" CHG VAR BENEFITS"</f>
        <v>FY 2023 CHG VAR BENEFITS</v>
      </c>
      <c r="L2" s="50" t="s">
        <v>25</v>
      </c>
    </row>
    <row r="3" spans="1:12" x14ac:dyDescent="0.3">
      <c r="A3" s="389" t="s">
        <v>26</v>
      </c>
      <c r="B3" s="390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3">
      <c r="A4" s="385" t="s">
        <v>27</v>
      </c>
      <c r="B4" s="391"/>
      <c r="C4" s="217">
        <v>1</v>
      </c>
      <c r="D4" s="288">
        <f>[0]!TEAB000100col_INC_FTI</f>
        <v>12</v>
      </c>
      <c r="E4" s="218">
        <f>[0]!TEAB000100col_FTI_SALARY_PERM</f>
        <v>809140.8</v>
      </c>
      <c r="F4" s="218">
        <f>[0]!TEAB000100col_HEALTH_PERM</f>
        <v>139800</v>
      </c>
      <c r="G4" s="218">
        <f>[0]!TEAB000100col_TOT_VB_PERM</f>
        <v>172424.33457599999</v>
      </c>
      <c r="H4" s="219">
        <f>SUM(E4:G4)</f>
        <v>1121365.134576</v>
      </c>
      <c r="I4" s="219">
        <f>[0]!TEAB000100col_1_27TH_PP</f>
        <v>0</v>
      </c>
      <c r="J4" s="218">
        <f>[0]!TEAB000100col_HEALTH_PERM_CHG</f>
        <v>0</v>
      </c>
      <c r="K4" s="218">
        <f>[0]!TEAB000100col_TOT_VB_PERM_CHG</f>
        <v>-3579.8068799999992</v>
      </c>
      <c r="L4" s="218">
        <f>SUM(J4:K4)</f>
        <v>-3579.8068799999992</v>
      </c>
    </row>
    <row r="5" spans="1:12" x14ac:dyDescent="0.3">
      <c r="A5" s="385" t="s">
        <v>28</v>
      </c>
      <c r="B5" s="391"/>
      <c r="C5" s="217">
        <v>2</v>
      </c>
      <c r="D5" s="288"/>
      <c r="E5" s="218">
        <f>[0]!TEAB000100col_Group_Salary</f>
        <v>0</v>
      </c>
      <c r="F5" s="218">
        <v>0</v>
      </c>
      <c r="G5" s="218">
        <f>[0]!TEAB000100col_Group_Ben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3">
      <c r="A6" s="385" t="s">
        <v>29</v>
      </c>
      <c r="B6" s="386"/>
      <c r="C6" s="217">
        <v>3</v>
      </c>
      <c r="D6" s="288">
        <f>[0]!TEAB000100col_TOTAL_ELECT_PCN_FTI</f>
        <v>0</v>
      </c>
      <c r="E6" s="218">
        <f>[0]!TEAB000100col_FTI_SALARY_ELECT</f>
        <v>0</v>
      </c>
      <c r="F6" s="218">
        <f>[0]!TEAB000100col_HEALTH_ELECT</f>
        <v>0</v>
      </c>
      <c r="G6" s="218">
        <f>[0]!TEAB000100col_TOT_VB_ELECT</f>
        <v>0</v>
      </c>
      <c r="H6" s="219">
        <f>SUM(E6:G6)</f>
        <v>0</v>
      </c>
      <c r="I6" s="268"/>
      <c r="J6" s="218">
        <f>[0]!TEAB000100col_HEALTH_ELECT_CHG</f>
        <v>0</v>
      </c>
      <c r="K6" s="218">
        <f>[0]!TEAB000100col_TOT_VB_ELECT_CHG</f>
        <v>0</v>
      </c>
      <c r="L6" s="219">
        <f>SUM(J6:K6)</f>
        <v>0</v>
      </c>
    </row>
    <row r="7" spans="1:12" x14ac:dyDescent="0.3">
      <c r="A7" s="385" t="s">
        <v>30</v>
      </c>
      <c r="B7" s="391"/>
      <c r="C7" s="217"/>
      <c r="D7" s="220">
        <f>SUM(D4:D6)</f>
        <v>12</v>
      </c>
      <c r="E7" s="221">
        <f>SUM(E4:E6)</f>
        <v>809140.8</v>
      </c>
      <c r="F7" s="221">
        <f>SUM(F4:F6)</f>
        <v>139800</v>
      </c>
      <c r="G7" s="221">
        <f>SUM(G4:G6)</f>
        <v>172424.33457599999</v>
      </c>
      <c r="H7" s="219">
        <f>SUM(E7:G7)</f>
        <v>1121365.134576</v>
      </c>
      <c r="I7" s="268"/>
      <c r="J7" s="219">
        <f>SUM(J4:J6)</f>
        <v>0</v>
      </c>
      <c r="K7" s="219">
        <f>SUM(K4:K6)</f>
        <v>-3579.8068799999992</v>
      </c>
      <c r="L7" s="219">
        <f>SUM(L4:L6)</f>
        <v>-3579.8068799999992</v>
      </c>
    </row>
    <row r="8" spans="1:12" x14ac:dyDescent="0.3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3">
      <c r="A9" s="157" t="str">
        <f>"FY "&amp;'TEAB|0001-00'!FiscalYear-1</f>
        <v>FY 2022</v>
      </c>
      <c r="B9" s="158" t="s">
        <v>31</v>
      </c>
      <c r="C9" s="355">
        <v>1082500</v>
      </c>
      <c r="D9" s="55">
        <v>16.649999999999999</v>
      </c>
      <c r="E9" s="223">
        <f>IF('TEAB|0001-00'!OrigApprop=0,0,(E7/H7)*'TEAB|0001-00'!OrigApprop)</f>
        <v>781096.97634855146</v>
      </c>
      <c r="F9" s="223">
        <f>IF('TEAB|0001-00'!OrigApprop=0,0,(F7/H7)*'TEAB|0001-00'!OrigApprop)</f>
        <v>134954.70416709609</v>
      </c>
      <c r="G9" s="223">
        <f>IF(E9=0,0,(G7/H7)*'TEAB|0001-00'!OrigApprop)</f>
        <v>166448.31948435251</v>
      </c>
      <c r="H9" s="223">
        <f>SUM(E9:G9)</f>
        <v>1082500</v>
      </c>
      <c r="I9" s="268"/>
      <c r="J9" s="224"/>
      <c r="K9" s="224"/>
      <c r="L9" s="224"/>
    </row>
    <row r="10" spans="1:12" x14ac:dyDescent="0.3">
      <c r="A10" s="392" t="s">
        <v>32</v>
      </c>
      <c r="B10" s="393"/>
      <c r="C10" s="160" t="s">
        <v>33</v>
      </c>
      <c r="D10" s="161">
        <f>D9-D7</f>
        <v>4.6499999999999986</v>
      </c>
      <c r="E10" s="162">
        <f>E9-E7</f>
        <v>-28043.823651448591</v>
      </c>
      <c r="F10" s="162">
        <f>F9-F7</f>
        <v>-4845.2958329039102</v>
      </c>
      <c r="G10" s="162">
        <f>G9-G7</f>
        <v>-5976.0150916474813</v>
      </c>
      <c r="H10" s="162">
        <f>H9-H7</f>
        <v>-38865.13457600004</v>
      </c>
      <c r="I10" s="269"/>
      <c r="J10" s="56" t="str">
        <f>IF('TEAB|0001-00'!OrigApprop=0,"ERROR! Enter Original Appropriation amount in DU 3.00!","Calculated "&amp;IF('TEAB|0001-00'!AdjustedTotal&gt;0,"overfunding ","underfunding ")&amp;"is "&amp;TEXT('TEAB|0001-00'!AdjustedTotal/'TEAB|0001-00'!AppropTotal,"#.0%;(#.0% );0% ;")&amp;" of Original Appropriation")</f>
        <v>Calculated underfunding is (3.6% ) of Original Appropriation</v>
      </c>
      <c r="K10" s="163"/>
      <c r="L10" s="164"/>
    </row>
    <row r="12" spans="1:12" x14ac:dyDescent="0.3">
      <c r="A12" s="470" t="s">
        <v>844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</row>
    <row r="13" spans="1:12" ht="40.200000000000003" x14ac:dyDescent="0.3">
      <c r="A13" s="387" t="s">
        <v>22</v>
      </c>
      <c r="B13" s="388"/>
      <c r="C13" s="370" t="s">
        <v>23</v>
      </c>
      <c r="D13" s="49" t="s">
        <v>24</v>
      </c>
      <c r="E13" s="50" t="str">
        <f>"FY "&amp;'TEAB|0450-00'!FiscalYear-1&amp;" SALARY"</f>
        <v>FY 2022 SALARY</v>
      </c>
      <c r="F13" s="50" t="str">
        <f>"FY "&amp;'TEAB|0450-00'!FiscalYear-1&amp;" HEALTH BENEFITS"</f>
        <v>FY 2022 HEALTH BENEFITS</v>
      </c>
      <c r="G13" s="50" t="str">
        <f>"FY "&amp;'TEAB|0450-00'!FiscalYear-1&amp;" VAR BENEFITS"</f>
        <v>FY 2022 VAR BENEFITS</v>
      </c>
      <c r="H13" s="50" t="str">
        <f>"FY "&amp;'TEAB|0450-00'!FiscalYear-1&amp;" TOTAL"</f>
        <v>FY 2022 TOTAL</v>
      </c>
      <c r="I13" s="50" t="str">
        <f>"FY "&amp;'TEAB|0450-00'!FiscalYear&amp;" SALARY CHANGE"</f>
        <v>FY 2023 SALARY CHANGE</v>
      </c>
      <c r="J13" s="50" t="str">
        <f>"FY "&amp;'TEAB|0450-00'!FiscalYear&amp;" CHG HEALTH BENEFITS"</f>
        <v>FY 2023 CHG HEALTH BENEFITS</v>
      </c>
      <c r="K13" s="50" t="str">
        <f>"FY "&amp;'TEAB|0450-00'!FiscalYear&amp;" CHG VAR BENEFITS"</f>
        <v>FY 2023 CHG VAR BENEFITS</v>
      </c>
      <c r="L13" s="50" t="s">
        <v>25</v>
      </c>
    </row>
    <row r="14" spans="1:12" x14ac:dyDescent="0.3">
      <c r="A14" s="389" t="s">
        <v>26</v>
      </c>
      <c r="B14" s="390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3">
      <c r="A15" s="385" t="s">
        <v>27</v>
      </c>
      <c r="B15" s="391"/>
      <c r="C15" s="217">
        <v>1</v>
      </c>
      <c r="D15" s="288">
        <f>[0]!TEAB045000col_INC_FTI</f>
        <v>119</v>
      </c>
      <c r="E15" s="218">
        <f>[0]!TEAB045000col_FTI_SALARY_PERM</f>
        <v>8478683.1999999974</v>
      </c>
      <c r="F15" s="218">
        <f>[0]!TEAB045000col_HEALTH_PERM</f>
        <v>1386350</v>
      </c>
      <c r="G15" s="218">
        <f>[0]!TEAB045000col_TOT_VB_PERM</f>
        <v>1827580.1637600008</v>
      </c>
      <c r="H15" s="219">
        <f>SUM(E15:G15)</f>
        <v>11692613.363759998</v>
      </c>
      <c r="I15" s="219">
        <f>[0]!TEAB045000col_1_27TH_PP</f>
        <v>0</v>
      </c>
      <c r="J15" s="218">
        <f>[0]!TEAB045000col_HEALTH_PERM_CHG</f>
        <v>0</v>
      </c>
      <c r="K15" s="218">
        <f>[0]!TEAB045000col_TOT_VB_PERM_CHG</f>
        <v>-44089.152640000015</v>
      </c>
      <c r="L15" s="218">
        <f>SUM(J15:K15)</f>
        <v>-44089.152640000015</v>
      </c>
    </row>
    <row r="16" spans="1:12" x14ac:dyDescent="0.3">
      <c r="A16" s="385" t="s">
        <v>28</v>
      </c>
      <c r="B16" s="391"/>
      <c r="C16" s="217">
        <v>2</v>
      </c>
      <c r="D16" s="288"/>
      <c r="E16" s="218">
        <f>[0]!TEAB045000col_Group_Salary</f>
        <v>13981.5</v>
      </c>
      <c r="F16" s="218">
        <v>0</v>
      </c>
      <c r="G16" s="218">
        <f>[0]!TEAB045000col_Group_Ben</f>
        <v>4762.54</v>
      </c>
      <c r="H16" s="219">
        <f>SUM(E16:G16)</f>
        <v>18744.04</v>
      </c>
      <c r="I16" s="268"/>
      <c r="J16" s="218"/>
      <c r="K16" s="218"/>
      <c r="L16" s="218"/>
    </row>
    <row r="17" spans="1:12" x14ac:dyDescent="0.3">
      <c r="A17" s="385" t="s">
        <v>29</v>
      </c>
      <c r="B17" s="386"/>
      <c r="C17" s="217">
        <v>3</v>
      </c>
      <c r="D17" s="288">
        <f>[0]!TEAB045000col_TOTAL_ELECT_PCN_FTI</f>
        <v>0</v>
      </c>
      <c r="E17" s="218">
        <f>[0]!TEAB045000col_FTI_SALARY_ELECT</f>
        <v>0</v>
      </c>
      <c r="F17" s="218">
        <f>[0]!TEAB045000col_HEALTH_ELECT</f>
        <v>0</v>
      </c>
      <c r="G17" s="218">
        <f>[0]!TEAB045000col_TOT_VB_ELECT</f>
        <v>0</v>
      </c>
      <c r="H17" s="219">
        <f>SUM(E17:G17)</f>
        <v>0</v>
      </c>
      <c r="I17" s="268"/>
      <c r="J17" s="218">
        <f>[0]!TEAB045000col_HEALTH_ELECT_CHG</f>
        <v>0</v>
      </c>
      <c r="K17" s="218">
        <f>[0]!TEAB045000col_TOT_VB_ELECT_CHG</f>
        <v>0</v>
      </c>
      <c r="L17" s="219">
        <f>SUM(J17:K17)</f>
        <v>0</v>
      </c>
    </row>
    <row r="18" spans="1:12" x14ac:dyDescent="0.3">
      <c r="A18" s="385" t="s">
        <v>30</v>
      </c>
      <c r="B18" s="391"/>
      <c r="C18" s="217"/>
      <c r="D18" s="220">
        <f>SUM(D15:D17)</f>
        <v>119</v>
      </c>
      <c r="E18" s="221">
        <f>SUM(E15:E17)</f>
        <v>8492664.6999999974</v>
      </c>
      <c r="F18" s="221">
        <f>SUM(F15:F17)</f>
        <v>1386350</v>
      </c>
      <c r="G18" s="221">
        <f>SUM(G15:G17)</f>
        <v>1832342.7037600009</v>
      </c>
      <c r="H18" s="219">
        <f>SUM(E18:G18)</f>
        <v>11711357.403759997</v>
      </c>
      <c r="I18" s="268"/>
      <c r="J18" s="219">
        <f>SUM(J15:J17)</f>
        <v>0</v>
      </c>
      <c r="K18" s="219">
        <f>SUM(K15:K17)</f>
        <v>-44089.152640000015</v>
      </c>
      <c r="L18" s="219">
        <f>SUM(L15:L17)</f>
        <v>-44089.152640000015</v>
      </c>
    </row>
    <row r="19" spans="1:12" x14ac:dyDescent="0.3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3">
      <c r="A20" s="157" t="str">
        <f>"FY "&amp;'TEAB|0450-00'!FiscalYear-1</f>
        <v>FY 2022</v>
      </c>
      <c r="B20" s="158" t="s">
        <v>31</v>
      </c>
      <c r="C20" s="355">
        <v>12196300</v>
      </c>
      <c r="D20" s="55">
        <v>118.35</v>
      </c>
      <c r="E20" s="223">
        <f>IF('TEAB|0450-00'!OrigApprop=0,0,(E18/H18)*'TEAB|0450-00'!OrigApprop)</f>
        <v>8844328.0236119609</v>
      </c>
      <c r="F20" s="223">
        <f>IF('TEAB|0450-00'!OrigApprop=0,0,(F18/H18)*'TEAB|0450-00'!OrigApprop)</f>
        <v>1443755.8279599154</v>
      </c>
      <c r="G20" s="223">
        <f>IF(E20=0,0,(G18/H18)*'TEAB|0450-00'!OrigApprop)</f>
        <v>1908216.1484281244</v>
      </c>
      <c r="H20" s="223">
        <f>SUM(E20:G20)</f>
        <v>12196300</v>
      </c>
      <c r="I20" s="268"/>
      <c r="J20" s="224"/>
      <c r="K20" s="224"/>
      <c r="L20" s="224"/>
    </row>
    <row r="21" spans="1:12" x14ac:dyDescent="0.3">
      <c r="A21" s="392" t="s">
        <v>32</v>
      </c>
      <c r="B21" s="393"/>
      <c r="C21" s="160" t="s">
        <v>33</v>
      </c>
      <c r="D21" s="161">
        <f>D20-D18</f>
        <v>-0.65000000000000568</v>
      </c>
      <c r="E21" s="162">
        <f>E20-E18</f>
        <v>351663.32361196354</v>
      </c>
      <c r="F21" s="162">
        <f>F20-F18</f>
        <v>57405.82795991539</v>
      </c>
      <c r="G21" s="162">
        <f>G20-G18</f>
        <v>75873.444668123499</v>
      </c>
      <c r="H21" s="162">
        <f>H20-H18</f>
        <v>484942.59624000266</v>
      </c>
      <c r="I21" s="269"/>
      <c r="J21" s="56" t="str">
        <f>IF('TEAB|0450-00'!OrigApprop=0,"ERROR! Enter Original Appropriation amount in DU 3.00!","Calculated "&amp;IF('TEAB|0450-00'!AdjustedTotal&gt;0,"overfunding ","underfunding ")&amp;"is "&amp;TEXT('TEAB|0450-00'!AdjustedTotal/'TEAB|0450-00'!AppropTotal,"#.0%;(#.0% );0% ;")&amp;" of Original Appropriation")</f>
        <v>Calculated overfunding is 4.0% of Original Appropriation</v>
      </c>
      <c r="K21" s="163"/>
      <c r="L21" s="164"/>
    </row>
    <row r="23" spans="1:12" x14ac:dyDescent="0.3">
      <c r="A23" s="470" t="s">
        <v>848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</row>
    <row r="24" spans="1:12" ht="40.200000000000003" x14ac:dyDescent="0.3">
      <c r="A24" s="387" t="s">
        <v>22</v>
      </c>
      <c r="B24" s="388"/>
      <c r="C24" s="370" t="s">
        <v>23</v>
      </c>
      <c r="D24" s="49" t="s">
        <v>24</v>
      </c>
      <c r="E24" s="50" t="str">
        <f>"FY "&amp;'TEAC|0450-00'!FiscalYear-1&amp;" SALARY"</f>
        <v>FY 2022 SALARY</v>
      </c>
      <c r="F24" s="50" t="str">
        <f>"FY "&amp;'TEAC|0450-00'!FiscalYear-1&amp;" HEALTH BENEFITS"</f>
        <v>FY 2022 HEALTH BENEFITS</v>
      </c>
      <c r="G24" s="50" t="str">
        <f>"FY "&amp;'TEAC|0450-00'!FiscalYear-1&amp;" VAR BENEFITS"</f>
        <v>FY 2022 VAR BENEFITS</v>
      </c>
      <c r="H24" s="50" t="str">
        <f>"FY "&amp;'TEAC|0450-00'!FiscalYear-1&amp;" TOTAL"</f>
        <v>FY 2022 TOTAL</v>
      </c>
      <c r="I24" s="50" t="str">
        <f>"FY "&amp;'TEAC|0450-00'!FiscalYear&amp;" SALARY CHANGE"</f>
        <v>FY 2023 SALARY CHANGE</v>
      </c>
      <c r="J24" s="50" t="str">
        <f>"FY "&amp;'TEAC|0450-00'!FiscalYear&amp;" CHG HEALTH BENEFITS"</f>
        <v>FY 2023 CHG HEALTH BENEFITS</v>
      </c>
      <c r="K24" s="50" t="str">
        <f>"FY "&amp;'TEAC|0450-00'!FiscalYear&amp;" CHG VAR BENEFITS"</f>
        <v>FY 2023 CHG VAR BENEFITS</v>
      </c>
      <c r="L24" s="50" t="s">
        <v>25</v>
      </c>
    </row>
    <row r="25" spans="1:12" x14ac:dyDescent="0.3">
      <c r="A25" s="389" t="s">
        <v>26</v>
      </c>
      <c r="B25" s="390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3">
      <c r="A26" s="385" t="s">
        <v>27</v>
      </c>
      <c r="B26" s="391"/>
      <c r="C26" s="217">
        <v>1</v>
      </c>
      <c r="D26" s="288">
        <f>[0]!TEAC045000col_INC_FTI</f>
        <v>0</v>
      </c>
      <c r="E26" s="218">
        <f>[0]!TEAC045000col_FTI_SALARY_PERM</f>
        <v>0</v>
      </c>
      <c r="F26" s="218">
        <f>[0]!TEAC045000col_HEALTH_PERM</f>
        <v>0</v>
      </c>
      <c r="G26" s="218">
        <f>[0]!TEAC045000col_TOT_VB_PERM</f>
        <v>0</v>
      </c>
      <c r="H26" s="219">
        <f>SUM(E26:G26)</f>
        <v>0</v>
      </c>
      <c r="I26" s="219">
        <f>[0]!TEAC045000col_1_27TH_PP</f>
        <v>0</v>
      </c>
      <c r="J26" s="218">
        <f>[0]!TEAC045000col_HEALTH_PERM_CHG</f>
        <v>0</v>
      </c>
      <c r="K26" s="218">
        <f>[0]!TEAC045000col_TOT_VB_PERM_CHG</f>
        <v>0</v>
      </c>
      <c r="L26" s="218">
        <f>SUM(J26:K26)</f>
        <v>0</v>
      </c>
    </row>
    <row r="27" spans="1:12" x14ac:dyDescent="0.3">
      <c r="A27" s="385" t="s">
        <v>28</v>
      </c>
      <c r="B27" s="391"/>
      <c r="C27" s="217">
        <v>2</v>
      </c>
      <c r="D27" s="288"/>
      <c r="E27" s="218">
        <f>[0]!TEAC045000col_Group_Salary</f>
        <v>0</v>
      </c>
      <c r="F27" s="218">
        <v>0</v>
      </c>
      <c r="G27" s="218">
        <f>[0]!TEAC045000col_Group_Ben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3">
      <c r="A28" s="385" t="s">
        <v>29</v>
      </c>
      <c r="B28" s="386"/>
      <c r="C28" s="217">
        <v>3</v>
      </c>
      <c r="D28" s="288">
        <f>[0]!TEAC045000col_TOTAL_ELECT_PCN_FTI</f>
        <v>0</v>
      </c>
      <c r="E28" s="218">
        <f>[0]!TEAC045000col_FTI_SALARY_ELECT</f>
        <v>0</v>
      </c>
      <c r="F28" s="218">
        <f>[0]!TEAC045000col_HEALTH_ELECT</f>
        <v>0</v>
      </c>
      <c r="G28" s="218">
        <f>[0]!TEAC045000col_TOT_VB_ELECT</f>
        <v>0</v>
      </c>
      <c r="H28" s="219">
        <f>SUM(E28:G28)</f>
        <v>0</v>
      </c>
      <c r="I28" s="268"/>
      <c r="J28" s="218">
        <f>[0]!TEAC045000col_HEALTH_ELECT_CHG</f>
        <v>0</v>
      </c>
      <c r="K28" s="218">
        <f>[0]!TEAC045000col_TOT_VB_ELECT_CHG</f>
        <v>0</v>
      </c>
      <c r="L28" s="219">
        <f>SUM(J28:K28)</f>
        <v>0</v>
      </c>
    </row>
    <row r="29" spans="1:12" x14ac:dyDescent="0.3">
      <c r="A29" s="385" t="s">
        <v>30</v>
      </c>
      <c r="B29" s="391"/>
      <c r="C29" s="217"/>
      <c r="D29" s="220">
        <f>SUM(D26:D28)</f>
        <v>0</v>
      </c>
      <c r="E29" s="221">
        <f>SUM(E26:E28)</f>
        <v>0</v>
      </c>
      <c r="F29" s="221">
        <f>SUM(F26:F28)</f>
        <v>0</v>
      </c>
      <c r="G29" s="221">
        <f>SUM(G26:G28)</f>
        <v>0</v>
      </c>
      <c r="H29" s="219">
        <f>SUM(E29:G29)</f>
        <v>0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 x14ac:dyDescent="0.3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3">
      <c r="A31" s="157" t="str">
        <f>"FY "&amp;'TEAC|0450-00'!FiscalYear-1</f>
        <v>FY 2022</v>
      </c>
      <c r="B31" s="158" t="s">
        <v>31</v>
      </c>
      <c r="C31" s="355">
        <v>12196300</v>
      </c>
      <c r="D31" s="55">
        <v>118.35</v>
      </c>
      <c r="E31" s="223" t="e">
        <f>IF('TEAC|0450-00'!OrigApprop=0,0,(E29/H29)*'TEAC|0450-00'!OrigApprop)</f>
        <v>#DIV/0!</v>
      </c>
      <c r="F31" s="223" t="e">
        <f>IF('TEAC|0450-00'!OrigApprop=0,0,(F29/H29)*'TEAC|0450-00'!OrigApprop)</f>
        <v>#DIV/0!</v>
      </c>
      <c r="G31" s="223" t="e">
        <f>IF(E31=0,0,(G29/H29)*'TEAC|0450-00'!OrigApprop)</f>
        <v>#DIV/0!</v>
      </c>
      <c r="H31" s="223" t="e">
        <f>SUM(E31:G31)</f>
        <v>#DIV/0!</v>
      </c>
      <c r="I31" s="268"/>
      <c r="J31" s="224"/>
      <c r="K31" s="224"/>
      <c r="L31" s="224"/>
    </row>
    <row r="32" spans="1:12" x14ac:dyDescent="0.3">
      <c r="A32" s="392" t="s">
        <v>32</v>
      </c>
      <c r="B32" s="393"/>
      <c r="C32" s="160" t="s">
        <v>33</v>
      </c>
      <c r="D32" s="161">
        <f>D31-D29</f>
        <v>118.35</v>
      </c>
      <c r="E32" s="162" t="e">
        <f>E31-E29</f>
        <v>#DIV/0!</v>
      </c>
      <c r="F32" s="162" t="e">
        <f>F31-F29</f>
        <v>#DIV/0!</v>
      </c>
      <c r="G32" s="162" t="e">
        <f>G31-G29</f>
        <v>#DIV/0!</v>
      </c>
      <c r="H32" s="162" t="e">
        <f>H31-H29</f>
        <v>#DIV/0!</v>
      </c>
      <c r="I32" s="269"/>
      <c r="J32" s="56" t="e">
        <f>IF('TEAC|0450-00'!OrigApprop=0,"ERROR! Enter Original Appropriation amount in DU 3.00!","Calculated "&amp;IF('TEAC|0450-00'!AdjustedTotal&gt;0,"overfunding ","underfunding ")&amp;"is "&amp;TEXT('TEAC|0450-00'!AdjustedTotal/'TEAC|0450-00'!AppropTotal,"#.0%;(#.0% );0% ;")&amp;" of Original Appropriation")</f>
        <v>#DIV/0!</v>
      </c>
      <c r="K32" s="163"/>
      <c r="L32" s="164"/>
    </row>
  </sheetData>
  <mergeCells count="21"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  <mergeCell ref="A10:B10"/>
    <mergeCell ref="A13:B13"/>
    <mergeCell ref="A14:B14"/>
    <mergeCell ref="A15:B15"/>
    <mergeCell ref="A16:B16"/>
    <mergeCell ref="A17:B17"/>
    <mergeCell ref="A2:B2"/>
    <mergeCell ref="A3:B3"/>
    <mergeCell ref="A4:B4"/>
    <mergeCell ref="A5:B5"/>
    <mergeCell ref="A6:B6"/>
    <mergeCell ref="A7:B7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Office of the Governor&amp;R&amp;"Arial"&amp;10 Agency 177</oddHeader>
    <oddFooter>&amp;L&amp;"Arial"&amp;10 B6:Summary by Program, by Fund&amp;R&amp;"Arial"&amp;10 FY 2022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4"/>
  <sheetViews>
    <sheetView workbookViewId="0">
      <selection activeCell="E8" sqref="E8:M24"/>
    </sheetView>
  </sheetViews>
  <sheetFormatPr defaultRowHeight="14.4" x14ac:dyDescent="0.3"/>
  <cols>
    <col min="1" max="1" width="2.77734375" customWidth="1"/>
    <col min="2" max="2" width="9.5546875" bestFit="1" customWidth="1"/>
    <col min="3" max="3" width="7.6640625" bestFit="1" customWidth="1"/>
    <col min="4" max="4" width="5.6640625" customWidth="1"/>
    <col min="5" max="5" width="7.6640625" bestFit="1" customWidth="1"/>
    <col min="6" max="6" width="13.44140625" bestFit="1" customWidth="1"/>
    <col min="7" max="7" width="14" bestFit="1" customWidth="1"/>
    <col min="8" max="8" width="13.44140625" bestFit="1" customWidth="1"/>
    <col min="9" max="9" width="15.44140625" bestFit="1" customWidth="1"/>
    <col min="10" max="10" width="17" bestFit="1" customWidth="1"/>
    <col min="11" max="11" width="13.44140625" bestFit="1" customWidth="1"/>
    <col min="12" max="12" width="15.44140625" bestFit="1" customWidth="1"/>
    <col min="13" max="13" width="17" bestFit="1" customWidth="1"/>
  </cols>
  <sheetData>
    <row r="2" spans="1:13" ht="21" x14ac:dyDescent="0.4">
      <c r="A2" s="251" t="s">
        <v>97</v>
      </c>
      <c r="B2" s="251"/>
      <c r="C2" s="251"/>
    </row>
    <row r="4" spans="1:13" ht="21" x14ac:dyDescent="0.4">
      <c r="A4" s="252"/>
      <c r="B4" s="252"/>
      <c r="C4" s="252"/>
    </row>
    <row r="5" spans="1:13" ht="15.75" customHeight="1" x14ac:dyDescent="0.3">
      <c r="E5" s="255" t="s">
        <v>83</v>
      </c>
      <c r="F5" s="455" t="s">
        <v>852</v>
      </c>
      <c r="G5" s="455"/>
      <c r="H5" s="456" t="s">
        <v>850</v>
      </c>
      <c r="I5" s="455" t="s">
        <v>853</v>
      </c>
      <c r="J5" s="455"/>
      <c r="K5" s="456" t="s">
        <v>851</v>
      </c>
      <c r="L5" s="455" t="s">
        <v>854</v>
      </c>
      <c r="M5" s="455"/>
    </row>
    <row r="6" spans="1:13" ht="15.6" x14ac:dyDescent="0.3">
      <c r="E6" s="249"/>
      <c r="F6" s="253" t="s">
        <v>94</v>
      </c>
      <c r="G6" s="254" t="s">
        <v>96</v>
      </c>
      <c r="H6" s="457"/>
      <c r="I6" s="253" t="s">
        <v>98</v>
      </c>
      <c r="J6" s="254" t="s">
        <v>95</v>
      </c>
      <c r="K6" s="457"/>
      <c r="L6" s="278" t="s">
        <v>98</v>
      </c>
      <c r="M6" s="254" t="s">
        <v>95</v>
      </c>
    </row>
    <row r="7" spans="1:13" x14ac:dyDescent="0.3">
      <c r="A7" s="467" t="s">
        <v>855</v>
      </c>
      <c r="D7" s="250"/>
    </row>
    <row r="8" spans="1:13" x14ac:dyDescent="0.3">
      <c r="C8" t="s">
        <v>832</v>
      </c>
      <c r="D8" s="250"/>
      <c r="E8" s="477">
        <f>Data!AS190</f>
        <v>12</v>
      </c>
      <c r="F8" s="477">
        <f>Data!AT190</f>
        <v>1281294.3400000001</v>
      </c>
      <c r="G8" s="477">
        <f>Data!AU190</f>
        <v>463902.98</v>
      </c>
      <c r="H8" s="477">
        <f>Data!AV190</f>
        <v>809140.8</v>
      </c>
      <c r="I8" s="477">
        <f>Data!AW190</f>
        <v>139800</v>
      </c>
      <c r="J8" s="477">
        <f>Data!AX190</f>
        <v>172424.33457599999</v>
      </c>
      <c r="K8" s="477">
        <f>Data!AY190</f>
        <v>809140.8</v>
      </c>
      <c r="L8" s="477">
        <f>Data!AZ190</f>
        <v>139800</v>
      </c>
      <c r="M8" s="477">
        <f>Data!BA190</f>
        <v>168844.527696</v>
      </c>
    </row>
    <row r="9" spans="1:13" x14ac:dyDescent="0.3">
      <c r="B9" t="s">
        <v>856</v>
      </c>
      <c r="D9" s="250"/>
      <c r="E9" s="478">
        <f>Data!AS191</f>
        <v>12</v>
      </c>
      <c r="F9" s="478">
        <f>Data!AT191</f>
        <v>1281294.3400000001</v>
      </c>
      <c r="G9" s="478">
        <f>Data!AU191</f>
        <v>463902.98</v>
      </c>
      <c r="H9" s="478">
        <f>Data!AV191</f>
        <v>809140.8</v>
      </c>
      <c r="I9" s="478">
        <f>Data!AW191</f>
        <v>139800</v>
      </c>
      <c r="J9" s="478">
        <f>Data!AX191</f>
        <v>172424.33457599999</v>
      </c>
      <c r="K9" s="478">
        <f>Data!AY191</f>
        <v>809140.8</v>
      </c>
      <c r="L9" s="478">
        <f>Data!AZ191</f>
        <v>139800</v>
      </c>
      <c r="M9" s="478">
        <f>Data!BA191</f>
        <v>168844.527696</v>
      </c>
    </row>
    <row r="10" spans="1:13" x14ac:dyDescent="0.3">
      <c r="C10" t="s">
        <v>857</v>
      </c>
      <c r="D10" s="250"/>
      <c r="E10" s="477">
        <f>Data!AS192</f>
        <v>3</v>
      </c>
      <c r="F10" s="477">
        <f>Data!AT192</f>
        <v>198557.09</v>
      </c>
      <c r="G10" s="477">
        <f>Data!AU192</f>
        <v>75810.099999999991</v>
      </c>
      <c r="H10" s="477">
        <f>Data!AV192</f>
        <v>233521.59999999998</v>
      </c>
      <c r="I10" s="477">
        <f>Data!AW192</f>
        <v>34950</v>
      </c>
      <c r="J10" s="477">
        <f>Data!AX192</f>
        <v>50335.580879999994</v>
      </c>
      <c r="K10" s="477">
        <f>Data!AY192</f>
        <v>233521.59999999998</v>
      </c>
      <c r="L10" s="477">
        <f>Data!AZ192</f>
        <v>34950</v>
      </c>
      <c r="M10" s="477">
        <f>Data!BA192</f>
        <v>49121.268559999997</v>
      </c>
    </row>
    <row r="11" spans="1:13" x14ac:dyDescent="0.3">
      <c r="C11" t="s">
        <v>858</v>
      </c>
      <c r="D11" s="250"/>
      <c r="E11" s="477">
        <f>Data!AS193</f>
        <v>4</v>
      </c>
      <c r="F11" s="477">
        <f>Data!AT193</f>
        <v>112087.45</v>
      </c>
      <c r="G11" s="477">
        <f>Data!AU193</f>
        <v>46608.270000000004</v>
      </c>
      <c r="H11" s="477">
        <f>Data!AV193</f>
        <v>267529.59999999998</v>
      </c>
      <c r="I11" s="477">
        <f>Data!AW193</f>
        <v>46600</v>
      </c>
      <c r="J11" s="477">
        <f>Data!AX193</f>
        <v>57666.005280000012</v>
      </c>
      <c r="K11" s="477">
        <f>Data!AY193</f>
        <v>267529.59999999998</v>
      </c>
      <c r="L11" s="477">
        <f>Data!AZ193</f>
        <v>46600</v>
      </c>
      <c r="M11" s="477">
        <f>Data!BA193</f>
        <v>56274.851360000008</v>
      </c>
    </row>
    <row r="12" spans="1:13" x14ac:dyDescent="0.3">
      <c r="C12" t="s">
        <v>859</v>
      </c>
      <c r="D12" s="250"/>
      <c r="E12" s="477">
        <f>Data!AS194</f>
        <v>2</v>
      </c>
      <c r="F12" s="477">
        <f>Data!AT194</f>
        <v>344255.4599999999</v>
      </c>
      <c r="G12" s="477">
        <f>Data!AU194</f>
        <v>125629.65000000002</v>
      </c>
      <c r="H12" s="477">
        <f>Data!AV194</f>
        <v>153441.60000000001</v>
      </c>
      <c r="I12" s="477">
        <f>Data!AW194</f>
        <v>23300</v>
      </c>
      <c r="J12" s="477">
        <f>Data!AX194</f>
        <v>33074.336880000003</v>
      </c>
      <c r="K12" s="477">
        <f>Data!AY194</f>
        <v>153441.60000000001</v>
      </c>
      <c r="L12" s="477">
        <f>Data!AZ194</f>
        <v>23300</v>
      </c>
      <c r="M12" s="477">
        <f>Data!BA194</f>
        <v>32276.440559999999</v>
      </c>
    </row>
    <row r="13" spans="1:13" x14ac:dyDescent="0.3">
      <c r="C13" t="s">
        <v>860</v>
      </c>
      <c r="D13" s="250"/>
      <c r="E13" s="477">
        <f>Data!AS195</f>
        <v>110</v>
      </c>
      <c r="F13" s="477">
        <f>Data!AT195</f>
        <v>6845551.0899999989</v>
      </c>
      <c r="G13" s="477">
        <f>Data!AU195</f>
        <v>2624502.6799999992</v>
      </c>
      <c r="H13" s="477">
        <f>Data!AV195</f>
        <v>7824190.3999999966</v>
      </c>
      <c r="I13" s="477">
        <f>Data!AW195</f>
        <v>1281500</v>
      </c>
      <c r="J13" s="477">
        <f>Data!AX195</f>
        <v>1686504.2407200008</v>
      </c>
      <c r="K13" s="477">
        <f>Data!AY195</f>
        <v>7824190.3999999966</v>
      </c>
      <c r="L13" s="477">
        <f>Data!AZ195</f>
        <v>1281500</v>
      </c>
      <c r="M13" s="477">
        <f>Data!BA195</f>
        <v>1645818.4506400013</v>
      </c>
    </row>
    <row r="14" spans="1:13" x14ac:dyDescent="0.3">
      <c r="B14" t="s">
        <v>861</v>
      </c>
      <c r="E14" s="478">
        <f>Data!AS196</f>
        <v>119</v>
      </c>
      <c r="F14" s="478">
        <f>Data!AT196</f>
        <v>7500451.0899999989</v>
      </c>
      <c r="G14" s="478">
        <f>Data!AU196</f>
        <v>2872550.6999999993</v>
      </c>
      <c r="H14" s="478">
        <f>Data!AV196</f>
        <v>8478683.1999999974</v>
      </c>
      <c r="I14" s="478">
        <f>Data!AW196</f>
        <v>1386350</v>
      </c>
      <c r="J14" s="478">
        <f>Data!AX196</f>
        <v>1827580.1637600008</v>
      </c>
      <c r="K14" s="478">
        <f>Data!AY196</f>
        <v>8478683.1999999974</v>
      </c>
      <c r="L14" s="478">
        <f>Data!AZ196</f>
        <v>1386350</v>
      </c>
      <c r="M14" s="478">
        <f>Data!BA196</f>
        <v>1783491.0111200013</v>
      </c>
    </row>
    <row r="15" spans="1:13" x14ac:dyDescent="0.3">
      <c r="E15" s="477">
        <f>Data!AS197</f>
        <v>0</v>
      </c>
      <c r="F15" s="477">
        <f>Data!AT197</f>
        <v>0</v>
      </c>
      <c r="G15" s="477">
        <f>Data!AU197</f>
        <v>0</v>
      </c>
      <c r="H15" s="477">
        <f>Data!AV197</f>
        <v>0</v>
      </c>
      <c r="I15" s="477">
        <f>Data!AW197</f>
        <v>0</v>
      </c>
      <c r="J15" s="477">
        <f>Data!AX197</f>
        <v>0</v>
      </c>
      <c r="K15" s="477">
        <f>Data!AY197</f>
        <v>0</v>
      </c>
      <c r="L15" s="477">
        <f>Data!AZ197</f>
        <v>0</v>
      </c>
      <c r="M15" s="477">
        <f>Data!BA197</f>
        <v>0</v>
      </c>
    </row>
    <row r="16" spans="1:13" x14ac:dyDescent="0.3">
      <c r="A16" s="471" t="s">
        <v>862</v>
      </c>
      <c r="E16" s="479">
        <f>Data!AS198</f>
        <v>131</v>
      </c>
      <c r="F16" s="479">
        <f>Data!AT198</f>
        <v>8781745.4299999997</v>
      </c>
      <c r="G16" s="479">
        <f>Data!AU198</f>
        <v>3336453.6799999992</v>
      </c>
      <c r="H16" s="479">
        <f>Data!AV198</f>
        <v>9287823.9999999981</v>
      </c>
      <c r="I16" s="479">
        <f>Data!AW198</f>
        <v>1526150</v>
      </c>
      <c r="J16" s="479">
        <f>Data!AX198</f>
        <v>2000004.4983360008</v>
      </c>
      <c r="K16" s="479">
        <f>Data!AY198</f>
        <v>9287823.9999999981</v>
      </c>
      <c r="L16" s="479">
        <f>Data!AZ198</f>
        <v>1526150</v>
      </c>
      <c r="M16" s="479">
        <f>Data!BA198</f>
        <v>1952335.5388160013</v>
      </c>
    </row>
    <row r="17" spans="1:13" x14ac:dyDescent="0.3">
      <c r="E17" s="477">
        <f>Data!AS199</f>
        <v>0</v>
      </c>
      <c r="F17" s="477">
        <f>Data!AT199</f>
        <v>0</v>
      </c>
      <c r="G17" s="477">
        <f>Data!AU199</f>
        <v>0</v>
      </c>
      <c r="H17" s="477">
        <f>Data!AV199</f>
        <v>0</v>
      </c>
      <c r="I17" s="477">
        <f>Data!AW199</f>
        <v>0</v>
      </c>
      <c r="J17" s="477">
        <f>Data!AX199</f>
        <v>0</v>
      </c>
      <c r="K17" s="477">
        <f>Data!AY199</f>
        <v>0</v>
      </c>
      <c r="L17" s="477">
        <f>Data!AZ199</f>
        <v>0</v>
      </c>
      <c r="M17" s="477">
        <f>Data!BA199</f>
        <v>0</v>
      </c>
    </row>
    <row r="18" spans="1:13" x14ac:dyDescent="0.3">
      <c r="A18" s="467" t="s">
        <v>863</v>
      </c>
      <c r="E18" s="477">
        <f>Data!AS200</f>
        <v>0</v>
      </c>
      <c r="F18" s="477">
        <f>Data!AT200</f>
        <v>0</v>
      </c>
      <c r="G18" s="477">
        <f>Data!AU200</f>
        <v>0</v>
      </c>
      <c r="H18" s="477">
        <f>Data!AV200</f>
        <v>0</v>
      </c>
      <c r="I18" s="477">
        <f>Data!AW200</f>
        <v>0</v>
      </c>
      <c r="J18" s="477">
        <f>Data!AX200</f>
        <v>0</v>
      </c>
      <c r="K18" s="477">
        <f>Data!AY200</f>
        <v>0</v>
      </c>
      <c r="L18" s="477">
        <f>Data!AZ200</f>
        <v>0</v>
      </c>
      <c r="M18" s="477">
        <f>Data!BA200</f>
        <v>0</v>
      </c>
    </row>
    <row r="19" spans="1:13" x14ac:dyDescent="0.3">
      <c r="C19" t="s">
        <v>860</v>
      </c>
      <c r="E19" s="477">
        <f>Data!AS201</f>
        <v>0</v>
      </c>
      <c r="F19" s="477">
        <f>Data!AT201</f>
        <v>13981.5</v>
      </c>
      <c r="G19" s="477">
        <f>Data!AU201</f>
        <v>4762.54</v>
      </c>
      <c r="H19" s="477">
        <f>Data!AV201</f>
        <v>13981.5</v>
      </c>
      <c r="I19" s="477">
        <f>Data!AW201</f>
        <v>0</v>
      </c>
      <c r="J19" s="477">
        <f>Data!AX201</f>
        <v>4762.54</v>
      </c>
      <c r="K19" s="477">
        <f>Data!AY201</f>
        <v>13981.5</v>
      </c>
      <c r="L19" s="477">
        <f>Data!AZ201</f>
        <v>0</v>
      </c>
      <c r="M19" s="477">
        <f>Data!BA201</f>
        <v>4762.54</v>
      </c>
    </row>
    <row r="20" spans="1:13" x14ac:dyDescent="0.3">
      <c r="B20" t="s">
        <v>861</v>
      </c>
      <c r="E20" s="478">
        <f>Data!AS202</f>
        <v>0</v>
      </c>
      <c r="F20" s="478">
        <f>Data!AT202</f>
        <v>13981.5</v>
      </c>
      <c r="G20" s="478">
        <f>Data!AU202</f>
        <v>4762.54</v>
      </c>
      <c r="H20" s="478">
        <f>Data!AV202</f>
        <v>13981.5</v>
      </c>
      <c r="I20" s="478">
        <f>Data!AW202</f>
        <v>0</v>
      </c>
      <c r="J20" s="478">
        <f>Data!AX202</f>
        <v>4762.54</v>
      </c>
      <c r="K20" s="478">
        <f>Data!AY202</f>
        <v>13981.5</v>
      </c>
      <c r="L20" s="478">
        <f>Data!AZ202</f>
        <v>0</v>
      </c>
      <c r="M20" s="478">
        <f>Data!BA202</f>
        <v>4762.54</v>
      </c>
    </row>
    <row r="21" spans="1:13" x14ac:dyDescent="0.3">
      <c r="E21" s="477">
        <f>Data!AS203</f>
        <v>0</v>
      </c>
      <c r="F21" s="477">
        <f>Data!AT203</f>
        <v>0</v>
      </c>
      <c r="G21" s="477">
        <f>Data!AU203</f>
        <v>0</v>
      </c>
      <c r="H21" s="477">
        <f>Data!AV203</f>
        <v>0</v>
      </c>
      <c r="I21" s="477">
        <f>Data!AW203</f>
        <v>0</v>
      </c>
      <c r="J21" s="477">
        <f>Data!AX203</f>
        <v>0</v>
      </c>
      <c r="K21" s="477">
        <f>Data!AY203</f>
        <v>0</v>
      </c>
      <c r="L21" s="477">
        <f>Data!AZ203</f>
        <v>0</v>
      </c>
      <c r="M21" s="477">
        <f>Data!BA203</f>
        <v>0</v>
      </c>
    </row>
    <row r="22" spans="1:13" x14ac:dyDescent="0.3">
      <c r="A22" s="471" t="s">
        <v>864</v>
      </c>
      <c r="E22" s="479">
        <f>Data!AS204</f>
        <v>0</v>
      </c>
      <c r="F22" s="479">
        <f>Data!AT204</f>
        <v>13981.5</v>
      </c>
      <c r="G22" s="479">
        <f>Data!AU204</f>
        <v>4762.54</v>
      </c>
      <c r="H22" s="479">
        <f>Data!AV204</f>
        <v>13981.5</v>
      </c>
      <c r="I22" s="479">
        <f>Data!AW204</f>
        <v>0</v>
      </c>
      <c r="J22" s="479">
        <f>Data!AX204</f>
        <v>4762.54</v>
      </c>
      <c r="K22" s="479">
        <f>Data!AY204</f>
        <v>13981.5</v>
      </c>
      <c r="L22" s="479">
        <f>Data!AZ204</f>
        <v>0</v>
      </c>
      <c r="M22" s="479">
        <f>Data!BA204</f>
        <v>4762.54</v>
      </c>
    </row>
    <row r="23" spans="1:13" x14ac:dyDescent="0.3">
      <c r="E23" s="477">
        <f>Data!AS205</f>
        <v>0</v>
      </c>
      <c r="F23" s="477">
        <f>Data!AT205</f>
        <v>0</v>
      </c>
      <c r="G23" s="477">
        <f>Data!AU205</f>
        <v>0</v>
      </c>
      <c r="H23" s="477">
        <f>Data!AV205</f>
        <v>0</v>
      </c>
      <c r="I23" s="477">
        <f>Data!AW205</f>
        <v>0</v>
      </c>
      <c r="J23" s="477">
        <f>Data!AX205</f>
        <v>0</v>
      </c>
      <c r="K23" s="477">
        <f>Data!AY205</f>
        <v>0</v>
      </c>
      <c r="L23" s="477">
        <f>Data!AZ205</f>
        <v>0</v>
      </c>
      <c r="M23" s="477">
        <f>Data!BA205</f>
        <v>0</v>
      </c>
    </row>
    <row r="24" spans="1:13" x14ac:dyDescent="0.3">
      <c r="A24" s="472" t="s">
        <v>865</v>
      </c>
      <c r="E24" s="475">
        <f>Data!AS206</f>
        <v>131</v>
      </c>
      <c r="F24" s="476">
        <f>Data!AT206</f>
        <v>8795726.9299999997</v>
      </c>
      <c r="G24" s="476">
        <f>Data!AU206</f>
        <v>3341216.2199999993</v>
      </c>
      <c r="H24" s="476">
        <f>Data!AV206</f>
        <v>9301805.4999999981</v>
      </c>
      <c r="I24" s="476">
        <f>Data!AW206</f>
        <v>1526150</v>
      </c>
      <c r="J24" s="476">
        <f>Data!AX206</f>
        <v>2004767.0383360009</v>
      </c>
      <c r="K24" s="476">
        <f>Data!AY206</f>
        <v>9301805.4999999981</v>
      </c>
      <c r="L24" s="476">
        <f>Data!AZ206</f>
        <v>1526150</v>
      </c>
      <c r="M24" s="476">
        <f>Data!BA206</f>
        <v>1957098.0788160013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Office of the Governor&amp;R&amp;"Arial"&amp;10 Agency 177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TEAB|0001-00</vt:lpstr>
      <vt:lpstr>TEAB|0450-00</vt:lpstr>
      <vt:lpstr>TEAC|0450-00</vt:lpstr>
      <vt:lpstr>Data</vt:lpstr>
      <vt:lpstr>Benefits</vt:lpstr>
      <vt:lpstr>B6</vt:lpstr>
      <vt:lpstr>Summary</vt:lpstr>
      <vt:lpstr>FundSummary</vt:lpstr>
      <vt:lpstr>'TEAB|0001-00'!AdjGroupHlth</vt:lpstr>
      <vt:lpstr>'TEAB|0450-00'!AdjGroupHlth</vt:lpstr>
      <vt:lpstr>'TEAC|0450-00'!AdjGroupHlth</vt:lpstr>
      <vt:lpstr>AdjGroupHlth</vt:lpstr>
      <vt:lpstr>'TEAB|0001-00'!AdjGroupSalary</vt:lpstr>
      <vt:lpstr>'TEAB|0450-00'!AdjGroupSalary</vt:lpstr>
      <vt:lpstr>'TEAC|0450-00'!AdjGroupSalary</vt:lpstr>
      <vt:lpstr>AdjGroupSalary</vt:lpstr>
      <vt:lpstr>'TEAB|0001-00'!AdjGroupVB</vt:lpstr>
      <vt:lpstr>'TEAB|0450-00'!AdjGroupVB</vt:lpstr>
      <vt:lpstr>'TEAC|0450-00'!AdjGroupVB</vt:lpstr>
      <vt:lpstr>AdjGroupVB</vt:lpstr>
      <vt:lpstr>'TEAB|0001-00'!AdjGroupVBBY</vt:lpstr>
      <vt:lpstr>'TEAB|0450-00'!AdjGroupVBBY</vt:lpstr>
      <vt:lpstr>'TEAC|0450-00'!AdjGroupVBBY</vt:lpstr>
      <vt:lpstr>AdjGroupVBBY</vt:lpstr>
      <vt:lpstr>'TEAB|0001-00'!AdjPermHlth</vt:lpstr>
      <vt:lpstr>'TEAB|0450-00'!AdjPermHlth</vt:lpstr>
      <vt:lpstr>'TEAC|0450-00'!AdjPermHlth</vt:lpstr>
      <vt:lpstr>AdjPermHlth</vt:lpstr>
      <vt:lpstr>'TEAB|0001-00'!AdjPermHlthBY</vt:lpstr>
      <vt:lpstr>'TEAB|0450-00'!AdjPermHlthBY</vt:lpstr>
      <vt:lpstr>'TEAC|0450-00'!AdjPermHlthBY</vt:lpstr>
      <vt:lpstr>AdjPermHlthBY</vt:lpstr>
      <vt:lpstr>'TEAB|0001-00'!AdjPermSalary</vt:lpstr>
      <vt:lpstr>'TEAB|0450-00'!AdjPermSalary</vt:lpstr>
      <vt:lpstr>'TEAC|0450-00'!AdjPermSalary</vt:lpstr>
      <vt:lpstr>AdjPermSalary</vt:lpstr>
      <vt:lpstr>'TEAB|0001-00'!AdjPermVB</vt:lpstr>
      <vt:lpstr>'TEAB|0450-00'!AdjPermVB</vt:lpstr>
      <vt:lpstr>'TEAC|0450-00'!AdjPermVB</vt:lpstr>
      <vt:lpstr>AdjPermVB</vt:lpstr>
      <vt:lpstr>'TEAB|0001-00'!AdjPermVBBY</vt:lpstr>
      <vt:lpstr>'TEAB|0450-00'!AdjPermVBBY</vt:lpstr>
      <vt:lpstr>'TEAC|0450-00'!AdjPermVBBY</vt:lpstr>
      <vt:lpstr>AdjPermVBBY</vt:lpstr>
      <vt:lpstr>'TEAB|0001-00'!AdjustedTotal</vt:lpstr>
      <vt:lpstr>'TEAB|0450-00'!AdjustedTotal</vt:lpstr>
      <vt:lpstr>'TEAC|0450-00'!AdjustedTotal</vt:lpstr>
      <vt:lpstr>AdjustedTotal</vt:lpstr>
      <vt:lpstr>'TEAB|0001-00'!AgencyNum</vt:lpstr>
      <vt:lpstr>'TEAB|0450-00'!AgencyNum</vt:lpstr>
      <vt:lpstr>'TEAC|0450-00'!AgencyNum</vt:lpstr>
      <vt:lpstr>AgencyNum</vt:lpstr>
      <vt:lpstr>'TEAB|0001-00'!AppropFTP</vt:lpstr>
      <vt:lpstr>'TEAB|0450-00'!AppropFTP</vt:lpstr>
      <vt:lpstr>'TEAC|0450-00'!AppropFTP</vt:lpstr>
      <vt:lpstr>AppropFTP</vt:lpstr>
      <vt:lpstr>'TEAB|0001-00'!AppropTotal</vt:lpstr>
      <vt:lpstr>'TEAB|0450-00'!AppropTotal</vt:lpstr>
      <vt:lpstr>'TEAC|0450-00'!AppropTotal</vt:lpstr>
      <vt:lpstr>AppropTotal</vt:lpstr>
      <vt:lpstr>'TEAB|0001-00'!AtZHealth</vt:lpstr>
      <vt:lpstr>'TEAB|0450-00'!AtZHealth</vt:lpstr>
      <vt:lpstr>'TEAC|0450-00'!AtZHealth</vt:lpstr>
      <vt:lpstr>AtZHealth</vt:lpstr>
      <vt:lpstr>'TEAB|0001-00'!AtZSalary</vt:lpstr>
      <vt:lpstr>'TEAB|0450-00'!AtZSalary</vt:lpstr>
      <vt:lpstr>'TEAC|0450-00'!AtZSalary</vt:lpstr>
      <vt:lpstr>AtZSalary</vt:lpstr>
      <vt:lpstr>'TEAB|0001-00'!AtZTotal</vt:lpstr>
      <vt:lpstr>'TEAB|0450-00'!AtZTotal</vt:lpstr>
      <vt:lpstr>'TEAC|0450-00'!AtZTotal</vt:lpstr>
      <vt:lpstr>AtZTotal</vt:lpstr>
      <vt:lpstr>'TEAB|0001-00'!AtZVarBen</vt:lpstr>
      <vt:lpstr>'TEAB|0450-00'!AtZVarBen</vt:lpstr>
      <vt:lpstr>'TEAC|0450-00'!AtZVarBen</vt:lpstr>
      <vt:lpstr>AtZVarBen</vt:lpstr>
      <vt:lpstr>'TEAB|0001-00'!BudgetUnit</vt:lpstr>
      <vt:lpstr>'TEAB|0450-00'!BudgetUnit</vt:lpstr>
      <vt:lpstr>'TEAC|0450-00'!BudgetUnit</vt:lpstr>
      <vt:lpstr>BudgetUnit</vt:lpstr>
      <vt:lpstr>BudgetYear</vt:lpstr>
      <vt:lpstr>CECGroup</vt:lpstr>
      <vt:lpstr>'TEAB|0001-00'!CECOrigElectSalary</vt:lpstr>
      <vt:lpstr>'TEAB|0450-00'!CECOrigElectSalary</vt:lpstr>
      <vt:lpstr>'TEAC|0450-00'!CECOrigElectSalary</vt:lpstr>
      <vt:lpstr>CECOrigElectSalary</vt:lpstr>
      <vt:lpstr>'TEAB|0001-00'!CECOrigElectVB</vt:lpstr>
      <vt:lpstr>'TEAB|0450-00'!CECOrigElectVB</vt:lpstr>
      <vt:lpstr>'TEAC|0450-00'!CECOrigElectVB</vt:lpstr>
      <vt:lpstr>CECOrigElectVB</vt:lpstr>
      <vt:lpstr>'TEAB|0001-00'!CECOrigGroupSalary</vt:lpstr>
      <vt:lpstr>'TEAB|0450-00'!CECOrigGroupSalary</vt:lpstr>
      <vt:lpstr>'TEAC|0450-00'!CECOrigGroupSalary</vt:lpstr>
      <vt:lpstr>CECOrigGroupSalary</vt:lpstr>
      <vt:lpstr>'TEAB|0001-00'!CECOrigGroupVB</vt:lpstr>
      <vt:lpstr>'TEAB|0450-00'!CECOrigGroupVB</vt:lpstr>
      <vt:lpstr>'TEAC|0450-00'!CECOrigGroupVB</vt:lpstr>
      <vt:lpstr>CECOrigGroupVB</vt:lpstr>
      <vt:lpstr>'TEAB|0001-00'!CECOrigPermSalary</vt:lpstr>
      <vt:lpstr>'TEAB|0450-00'!CECOrigPermSalary</vt:lpstr>
      <vt:lpstr>'TEAC|0450-00'!CECOrigPermSalary</vt:lpstr>
      <vt:lpstr>CECOrigPermSalary</vt:lpstr>
      <vt:lpstr>'TEAB|0001-00'!CECOrigPermVB</vt:lpstr>
      <vt:lpstr>'TEAB|0450-00'!CECOrigPermVB</vt:lpstr>
      <vt:lpstr>'TEAC|0450-00'!CECOrigPermVB</vt:lpstr>
      <vt:lpstr>CECOrigPermVB</vt:lpstr>
      <vt:lpstr>CECPerm</vt:lpstr>
      <vt:lpstr>'TEAB|0001-00'!CECpermCalc</vt:lpstr>
      <vt:lpstr>'TEAB|0450-00'!CECpermCalc</vt:lpstr>
      <vt:lpstr>'TEAC|0450-00'!CECpermCalc</vt:lpstr>
      <vt:lpstr>CECpermCalc</vt:lpstr>
      <vt:lpstr>'TEAB|0001-00'!Department</vt:lpstr>
      <vt:lpstr>'TEAB|0450-00'!Department</vt:lpstr>
      <vt:lpstr>'TEAC|0450-00'!Department</vt:lpstr>
      <vt:lpstr>Department</vt:lpstr>
      <vt:lpstr>DHR</vt:lpstr>
      <vt:lpstr>DHRBY</vt:lpstr>
      <vt:lpstr>DHRCHG</vt:lpstr>
      <vt:lpstr>'TEAB|0001-00'!Division</vt:lpstr>
      <vt:lpstr>'TEAB|0450-00'!Division</vt:lpstr>
      <vt:lpstr>'TEAC|0450-00'!Division</vt:lpstr>
      <vt:lpstr>Division</vt:lpstr>
      <vt:lpstr>'TEAB|0001-00'!DUCECElect</vt:lpstr>
      <vt:lpstr>'TEAB|0450-00'!DUCECElect</vt:lpstr>
      <vt:lpstr>'TEAC|0450-00'!DUCECElect</vt:lpstr>
      <vt:lpstr>DUCECElect</vt:lpstr>
      <vt:lpstr>'TEAB|0001-00'!DUCECGroup</vt:lpstr>
      <vt:lpstr>'TEAB|0450-00'!DUCECGroup</vt:lpstr>
      <vt:lpstr>'TEAC|0450-00'!DUCECGroup</vt:lpstr>
      <vt:lpstr>DUCECGroup</vt:lpstr>
      <vt:lpstr>'TEAB|0001-00'!DUCECPerm</vt:lpstr>
      <vt:lpstr>'TEAB|0450-00'!DUCECPerm</vt:lpstr>
      <vt:lpstr>'TEAC|0450-00'!DUCECPerm</vt:lpstr>
      <vt:lpstr>DUCECPerm</vt:lpstr>
      <vt:lpstr>'TEAB|0001-00'!DUEleven</vt:lpstr>
      <vt:lpstr>'TEAB|0450-00'!DUEleven</vt:lpstr>
      <vt:lpstr>'TEAC|0450-00'!DUEleven</vt:lpstr>
      <vt:lpstr>DUEleven</vt:lpstr>
      <vt:lpstr>'TEAB|0001-00'!DUHealthBen</vt:lpstr>
      <vt:lpstr>'TEAB|0450-00'!DUHealthBen</vt:lpstr>
      <vt:lpstr>'TEAC|0450-00'!DUHealthBen</vt:lpstr>
      <vt:lpstr>DUHealthBen</vt:lpstr>
      <vt:lpstr>'TEAB|0001-00'!DUNine</vt:lpstr>
      <vt:lpstr>'TEAB|0450-00'!DUNine</vt:lpstr>
      <vt:lpstr>'TEAC|0450-00'!DUNine</vt:lpstr>
      <vt:lpstr>DUNine</vt:lpstr>
      <vt:lpstr>'TEAB|0001-00'!DUThirteen</vt:lpstr>
      <vt:lpstr>'TEAB|0450-00'!DUThirteen</vt:lpstr>
      <vt:lpstr>'TEAC|0450-00'!DUThirteen</vt:lpstr>
      <vt:lpstr>DUThirteen</vt:lpstr>
      <vt:lpstr>'TEAB|0001-00'!DUVariableBen</vt:lpstr>
      <vt:lpstr>'TEAB|0450-00'!DUVariableBen</vt:lpstr>
      <vt:lpstr>'TEAC|0450-00'!DUVariableBen</vt:lpstr>
      <vt:lpstr>DUVariableBen</vt:lpstr>
      <vt:lpstr>'TEAB|0001-00'!Elect_chg_health</vt:lpstr>
      <vt:lpstr>'TEAB|0450-00'!Elect_chg_health</vt:lpstr>
      <vt:lpstr>'TEAC|0450-00'!Elect_chg_health</vt:lpstr>
      <vt:lpstr>Elect_chg_health</vt:lpstr>
      <vt:lpstr>'TEAB|0001-00'!Elect_chg_Var</vt:lpstr>
      <vt:lpstr>'TEAB|0450-00'!Elect_chg_Var</vt:lpstr>
      <vt:lpstr>'TEAC|0450-00'!Elect_chg_Var</vt:lpstr>
      <vt:lpstr>Elect_chg_Var</vt:lpstr>
      <vt:lpstr>'TEAB|0001-00'!elect_FTP</vt:lpstr>
      <vt:lpstr>'TEAB|0450-00'!elect_FTP</vt:lpstr>
      <vt:lpstr>'TEAC|0450-00'!elect_FTP</vt:lpstr>
      <vt:lpstr>elect_FTP</vt:lpstr>
      <vt:lpstr>'TEAB|0001-00'!Elect_health</vt:lpstr>
      <vt:lpstr>'TEAB|0450-00'!Elect_health</vt:lpstr>
      <vt:lpstr>'TEAC|0450-00'!Elect_health</vt:lpstr>
      <vt:lpstr>Elect_health</vt:lpstr>
      <vt:lpstr>'TEAB|0001-00'!Elect_name</vt:lpstr>
      <vt:lpstr>'TEAB|0450-00'!Elect_name</vt:lpstr>
      <vt:lpstr>'TEAC|0450-00'!Elect_name</vt:lpstr>
      <vt:lpstr>Elect_name</vt:lpstr>
      <vt:lpstr>'TEAB|0001-00'!Elect_salary</vt:lpstr>
      <vt:lpstr>'TEAB|0450-00'!Elect_salary</vt:lpstr>
      <vt:lpstr>'TEAC|0450-00'!Elect_salary</vt:lpstr>
      <vt:lpstr>Elect_salary</vt:lpstr>
      <vt:lpstr>'TEAB|0001-00'!Elect_Var</vt:lpstr>
      <vt:lpstr>'TEAB|0450-00'!Elect_Var</vt:lpstr>
      <vt:lpstr>'TEAC|0450-00'!Elect_Var</vt:lpstr>
      <vt:lpstr>Elect_Var</vt:lpstr>
      <vt:lpstr>'TEAB|0001-00'!Elect_VarBen</vt:lpstr>
      <vt:lpstr>'TEAB|0450-00'!Elect_VarBen</vt:lpstr>
      <vt:lpstr>'TEAC|0450-00'!Elect_VarBen</vt:lpstr>
      <vt:lpstr>Elect_VarBen</vt:lpstr>
      <vt:lpstr>ElectVB</vt:lpstr>
      <vt:lpstr>ElectVBBY</vt:lpstr>
      <vt:lpstr>ElectVBCHG</vt:lpstr>
      <vt:lpstr>FillRate_Avg</vt:lpstr>
      <vt:lpstr>'TEAB|0001-00'!FiscalYear</vt:lpstr>
      <vt:lpstr>'TEAB|0450-00'!FiscalYear</vt:lpstr>
      <vt:lpstr>'TEAC|0450-00'!FiscalYear</vt:lpstr>
      <vt:lpstr>FiscalYear</vt:lpstr>
      <vt:lpstr>'TEAB|0001-00'!FundName</vt:lpstr>
      <vt:lpstr>'TEAB|0450-00'!FundName</vt:lpstr>
      <vt:lpstr>'TEAC|0450-00'!FundName</vt:lpstr>
      <vt:lpstr>FundName</vt:lpstr>
      <vt:lpstr>'TEAB|0001-00'!FundNum</vt:lpstr>
      <vt:lpstr>'TEAB|0450-00'!FundNum</vt:lpstr>
      <vt:lpstr>'TEAC|0450-00'!FundNum</vt:lpstr>
      <vt:lpstr>FundNum</vt:lpstr>
      <vt:lpstr>'TEAB|0001-00'!FundNumber</vt:lpstr>
      <vt:lpstr>'TEAB|0450-00'!FundNumber</vt:lpstr>
      <vt:lpstr>'TEAC|0450-00'!FundNumber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'TEAB|0001-00'!Group_name</vt:lpstr>
      <vt:lpstr>'TEAB|0450-00'!Group_name</vt:lpstr>
      <vt:lpstr>'TEAC|0450-00'!Group_name</vt:lpstr>
      <vt:lpstr>Group_name</vt:lpstr>
      <vt:lpstr>'TEAB|0001-00'!GroupFxdBen</vt:lpstr>
      <vt:lpstr>'TEAB|0450-00'!GroupFxdBen</vt:lpstr>
      <vt:lpstr>'TEAC|0450-00'!GroupFxdBen</vt:lpstr>
      <vt:lpstr>GroupFxdBen</vt:lpstr>
      <vt:lpstr>'TEAB|0001-00'!GroupSalary</vt:lpstr>
      <vt:lpstr>'TEAB|0450-00'!GroupSalary</vt:lpstr>
      <vt:lpstr>'TEAC|0450-00'!GroupSalary</vt:lpstr>
      <vt:lpstr>GroupSalary</vt:lpstr>
      <vt:lpstr>'TEAB|0001-00'!GroupVarBen</vt:lpstr>
      <vt:lpstr>'TEAB|0450-00'!GroupVarBen</vt:lpstr>
      <vt:lpstr>'TEAC|0450-00'!GroupVarBen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'TEAB|0001-00'!LUMAFund</vt:lpstr>
      <vt:lpstr>'TEAB|0450-00'!LUMAFund</vt:lpstr>
      <vt:lpstr>'TEAC|0450-00'!LUMAFund</vt:lpstr>
      <vt:lpstr>LUMAFund</vt:lpstr>
      <vt:lpstr>MAXSSDI</vt:lpstr>
      <vt:lpstr>MAXSSDIBY</vt:lpstr>
      <vt:lpstr>'TEAB|0001-00'!NEW_AdjGroup</vt:lpstr>
      <vt:lpstr>'TEAB|0450-00'!NEW_AdjGroup</vt:lpstr>
      <vt:lpstr>'TEAC|0450-00'!NEW_AdjGroup</vt:lpstr>
      <vt:lpstr>NEW_AdjGroup</vt:lpstr>
      <vt:lpstr>'TEAB|0001-00'!NEW_AdjGroupSalary</vt:lpstr>
      <vt:lpstr>'TEAB|0450-00'!NEW_AdjGroupSalary</vt:lpstr>
      <vt:lpstr>'TEAC|0450-00'!NEW_AdjGroupSalary</vt:lpstr>
      <vt:lpstr>NEW_AdjGroupSalary</vt:lpstr>
      <vt:lpstr>'TEAB|0001-00'!NEW_AdjGroupVB</vt:lpstr>
      <vt:lpstr>'TEAB|0450-00'!NEW_AdjGroupVB</vt:lpstr>
      <vt:lpstr>'TEAC|0450-00'!NEW_AdjGroupVB</vt:lpstr>
      <vt:lpstr>NEW_AdjGroupVB</vt:lpstr>
      <vt:lpstr>'TEAB|0001-00'!NEW_AdjONLYGroup</vt:lpstr>
      <vt:lpstr>'TEAB|0450-00'!NEW_AdjONLYGroup</vt:lpstr>
      <vt:lpstr>'TEAC|0450-00'!NEW_AdjONLYGroup</vt:lpstr>
      <vt:lpstr>NEW_AdjONLYGroup</vt:lpstr>
      <vt:lpstr>'TEAB|0001-00'!NEW_AdjONLYGroupSalary</vt:lpstr>
      <vt:lpstr>'TEAB|0450-00'!NEW_AdjONLYGroupSalary</vt:lpstr>
      <vt:lpstr>'TEAC|0450-00'!NEW_AdjONLYGroupSalary</vt:lpstr>
      <vt:lpstr>NEW_AdjONLYGroupSalary</vt:lpstr>
      <vt:lpstr>'TEAB|0001-00'!NEW_AdjONLYGroupVB</vt:lpstr>
      <vt:lpstr>'TEAB|0450-00'!NEW_AdjONLYGroupVB</vt:lpstr>
      <vt:lpstr>'TEAC|0450-00'!NEW_AdjONLYGroupVB</vt:lpstr>
      <vt:lpstr>NEW_AdjONLYGroupVB</vt:lpstr>
      <vt:lpstr>'TEAB|0001-00'!NEW_AdjONLYPerm</vt:lpstr>
      <vt:lpstr>'TEAB|0450-00'!NEW_AdjONLYPerm</vt:lpstr>
      <vt:lpstr>'TEAC|0450-00'!NEW_AdjONLYPerm</vt:lpstr>
      <vt:lpstr>NEW_AdjONLYPerm</vt:lpstr>
      <vt:lpstr>'TEAB|0001-00'!NEW_AdjONLYPermSalary</vt:lpstr>
      <vt:lpstr>'TEAB|0450-00'!NEW_AdjONLYPermSalary</vt:lpstr>
      <vt:lpstr>'TEAC|0450-00'!NEW_AdjONLYPermSalary</vt:lpstr>
      <vt:lpstr>NEW_AdjONLYPermSalary</vt:lpstr>
      <vt:lpstr>'TEAB|0001-00'!NEW_AdjONLYPermVB</vt:lpstr>
      <vt:lpstr>'TEAB|0450-00'!NEW_AdjONLYPermVB</vt:lpstr>
      <vt:lpstr>'TEAC|0450-00'!NEW_AdjONLYPermVB</vt:lpstr>
      <vt:lpstr>NEW_AdjONLYPermVB</vt:lpstr>
      <vt:lpstr>'TEAB|0001-00'!NEW_AdjPerm</vt:lpstr>
      <vt:lpstr>'TEAB|0450-00'!NEW_AdjPerm</vt:lpstr>
      <vt:lpstr>'TEAC|0450-00'!NEW_AdjPerm</vt:lpstr>
      <vt:lpstr>NEW_AdjPerm</vt:lpstr>
      <vt:lpstr>'TEAB|0001-00'!NEW_AdjPermSalary</vt:lpstr>
      <vt:lpstr>'TEAB|0450-00'!NEW_AdjPermSalary</vt:lpstr>
      <vt:lpstr>'TEAC|0450-00'!NEW_AdjPermSalary</vt:lpstr>
      <vt:lpstr>NEW_AdjPermSalary</vt:lpstr>
      <vt:lpstr>'TEAB|0001-00'!NEW_AdjPermVB</vt:lpstr>
      <vt:lpstr>'TEAB|0450-00'!NEW_AdjPermVB</vt:lpstr>
      <vt:lpstr>'TEAC|0450-00'!NEW_AdjPermVB</vt:lpstr>
      <vt:lpstr>NEW_AdjPermVB</vt:lpstr>
      <vt:lpstr>'TEAB|0001-00'!NEW_GroupFilled</vt:lpstr>
      <vt:lpstr>'TEAB|0450-00'!NEW_GroupFilled</vt:lpstr>
      <vt:lpstr>'TEAC|0450-00'!NEW_GroupFilled</vt:lpstr>
      <vt:lpstr>NEW_GroupFilled</vt:lpstr>
      <vt:lpstr>'TEAB|0001-00'!NEW_GroupSalaryFilled</vt:lpstr>
      <vt:lpstr>'TEAB|0450-00'!NEW_GroupSalaryFilled</vt:lpstr>
      <vt:lpstr>'TEAC|0450-00'!NEW_GroupSalaryFilled</vt:lpstr>
      <vt:lpstr>NEW_GroupSalaryFilled</vt:lpstr>
      <vt:lpstr>'TEAB|0001-00'!NEW_GroupVBFilled</vt:lpstr>
      <vt:lpstr>'TEAB|0450-00'!NEW_GroupVBFilled</vt:lpstr>
      <vt:lpstr>'TEAC|0450-00'!NEW_GroupVBFilled</vt:lpstr>
      <vt:lpstr>NEW_GroupVBFilled</vt:lpstr>
      <vt:lpstr>'TEAB|0001-00'!NEW_PermFilled</vt:lpstr>
      <vt:lpstr>'TEAB|0450-00'!NEW_PermFilled</vt:lpstr>
      <vt:lpstr>'TEAC|0450-00'!NEW_PermFilled</vt:lpstr>
      <vt:lpstr>NEW_PermFilled</vt:lpstr>
      <vt:lpstr>'TEAB|0001-00'!NEW_PermSalaryFilled</vt:lpstr>
      <vt:lpstr>'TEAB|0450-00'!NEW_PermSalaryFilled</vt:lpstr>
      <vt:lpstr>'TEAC|0450-00'!NEW_PermSalaryFilled</vt:lpstr>
      <vt:lpstr>NEW_PermSalaryFilled</vt:lpstr>
      <vt:lpstr>'TEAB|0001-00'!NEW_PermVBFilled</vt:lpstr>
      <vt:lpstr>'TEAB|0450-00'!NEW_PermVBFilled</vt:lpstr>
      <vt:lpstr>'TEAC|0450-00'!NEW_PermVBFilled</vt:lpstr>
      <vt:lpstr>NEW_PermVBFilled</vt:lpstr>
      <vt:lpstr>'TEAB|0001-00'!OneTimePC_Total</vt:lpstr>
      <vt:lpstr>'TEAB|0450-00'!OneTimePC_Total</vt:lpstr>
      <vt:lpstr>'TEAC|0450-00'!OneTimePC_Total</vt:lpstr>
      <vt:lpstr>OneTimePC_Total</vt:lpstr>
      <vt:lpstr>'TEAB|0001-00'!OrigApprop</vt:lpstr>
      <vt:lpstr>'TEAB|0450-00'!OrigApprop</vt:lpstr>
      <vt:lpstr>'TEAC|0450-00'!OrigApprop</vt:lpstr>
      <vt:lpstr>OrigApprop</vt:lpstr>
      <vt:lpstr>'TEAB|0001-00'!perm_name</vt:lpstr>
      <vt:lpstr>'TEAB|0450-00'!perm_name</vt:lpstr>
      <vt:lpstr>'TEAC|0450-00'!perm_name</vt:lpstr>
      <vt:lpstr>perm_name</vt:lpstr>
      <vt:lpstr>'TEAB|0001-00'!PermFTP</vt:lpstr>
      <vt:lpstr>'TEAB|0450-00'!PermFTP</vt:lpstr>
      <vt:lpstr>'TEAC|0450-00'!PermFTP</vt:lpstr>
      <vt:lpstr>PermFTP</vt:lpstr>
      <vt:lpstr>'TEAB|0001-00'!PermFxdBen</vt:lpstr>
      <vt:lpstr>'TEAB|0450-00'!PermFxdBen</vt:lpstr>
      <vt:lpstr>'TEAC|0450-00'!PermFxdBen</vt:lpstr>
      <vt:lpstr>PermFxdBen</vt:lpstr>
      <vt:lpstr>'TEAB|0001-00'!PermFxdBenChg</vt:lpstr>
      <vt:lpstr>'TEAB|0450-00'!PermFxdBenChg</vt:lpstr>
      <vt:lpstr>'TEAC|0450-00'!PermFxdBenChg</vt:lpstr>
      <vt:lpstr>PermFxdBenChg</vt:lpstr>
      <vt:lpstr>'TEAB|0001-00'!PermFxdChg</vt:lpstr>
      <vt:lpstr>'TEAB|0450-00'!PermFxdChg</vt:lpstr>
      <vt:lpstr>'TEAC|0450-00'!PermFxdChg</vt:lpstr>
      <vt:lpstr>PermFxdChg</vt:lpstr>
      <vt:lpstr>'TEAB|0001-00'!PermSalary</vt:lpstr>
      <vt:lpstr>'TEAB|0450-00'!PermSalary</vt:lpstr>
      <vt:lpstr>'TEAC|0450-00'!PermSalary</vt:lpstr>
      <vt:lpstr>PermSalary</vt:lpstr>
      <vt:lpstr>'TEAB|0001-00'!PermVarBen</vt:lpstr>
      <vt:lpstr>'TEAB|0450-00'!PermVarBen</vt:lpstr>
      <vt:lpstr>'TEAC|0450-00'!PermVarBen</vt:lpstr>
      <vt:lpstr>PermVarBen</vt:lpstr>
      <vt:lpstr>'TEAB|0001-00'!PermVarBenChg</vt:lpstr>
      <vt:lpstr>'TEAB|0450-00'!PermVarBenChg</vt:lpstr>
      <vt:lpstr>'TEAC|0450-00'!PermVarBenChg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'TEAB|0001-00'!Print_Area</vt:lpstr>
      <vt:lpstr>'TEAB|0450-00'!Print_Area</vt:lpstr>
      <vt:lpstr>'TEAC|0450-00'!Print_Area</vt:lpstr>
      <vt:lpstr>'TEAB|0001-00'!Prog_Unadjusted_Total</vt:lpstr>
      <vt:lpstr>'TEAB|0450-00'!Prog_Unadjusted_Total</vt:lpstr>
      <vt:lpstr>'TEAC|0450-00'!Prog_Unadjusted_Total</vt:lpstr>
      <vt:lpstr>Prog_Unadjusted_Total</vt:lpstr>
      <vt:lpstr>'TEAB|0001-00'!Program</vt:lpstr>
      <vt:lpstr>'TEAB|0450-00'!Program</vt:lpstr>
      <vt:lpstr>'TEAC|0450-00'!Program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'TEAB|0001-00'!RoundedAppropSalary</vt:lpstr>
      <vt:lpstr>'TEAB|0450-00'!RoundedAppropSalary</vt:lpstr>
      <vt:lpstr>'TEAC|0450-00'!RoundedAppropSalary</vt:lpstr>
      <vt:lpstr>RoundedAppropSalary</vt:lpstr>
      <vt:lpstr>'TEAB|0001-00'!SalaryChg</vt:lpstr>
      <vt:lpstr>'TEAB|0450-00'!SalaryChg</vt:lpstr>
      <vt:lpstr>'TEAC|0450-00'!SalaryChg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TEAB000100col_1_27TH_PP</vt:lpstr>
      <vt:lpstr>TEAB000100col_DHR</vt:lpstr>
      <vt:lpstr>TEAB000100col_DHR_BY</vt:lpstr>
      <vt:lpstr>TEAB000100col_DHR_CHG</vt:lpstr>
      <vt:lpstr>TEAB000100col_FTI_SALARY_ELECT</vt:lpstr>
      <vt:lpstr>TEAB000100col_FTI_SALARY_PERM</vt:lpstr>
      <vt:lpstr>TEAB000100col_FTI_SALARY_SSDI</vt:lpstr>
      <vt:lpstr>TEAB000100col_Group_Ben</vt:lpstr>
      <vt:lpstr>TEAB000100col_Group_Salary</vt:lpstr>
      <vt:lpstr>TEAB000100col_HEALTH_ELECT</vt:lpstr>
      <vt:lpstr>TEAB000100col_HEALTH_ELECT_BY</vt:lpstr>
      <vt:lpstr>TEAB000100col_HEALTH_ELECT_CHG</vt:lpstr>
      <vt:lpstr>TEAB000100col_HEALTH_PERM</vt:lpstr>
      <vt:lpstr>TEAB000100col_HEALTH_PERM_BY</vt:lpstr>
      <vt:lpstr>TEAB000100col_HEALTH_PERM_CHG</vt:lpstr>
      <vt:lpstr>TEAB000100col_INC_FTI</vt:lpstr>
      <vt:lpstr>TEAB000100col_LIFE_INS</vt:lpstr>
      <vt:lpstr>TEAB000100col_LIFE_INS_BY</vt:lpstr>
      <vt:lpstr>TEAB000100col_LIFE_INS_CHG</vt:lpstr>
      <vt:lpstr>TEAB000100col_RETIREMENT</vt:lpstr>
      <vt:lpstr>TEAB000100col_RETIREMENT_BY</vt:lpstr>
      <vt:lpstr>TEAB000100col_RETIREMENT_CHG</vt:lpstr>
      <vt:lpstr>TEAB000100col_ROWS_PER_PCN</vt:lpstr>
      <vt:lpstr>TEAB000100col_SICK</vt:lpstr>
      <vt:lpstr>TEAB000100col_SICK_BY</vt:lpstr>
      <vt:lpstr>TEAB000100col_SICK_CHG</vt:lpstr>
      <vt:lpstr>TEAB000100col_SSDI</vt:lpstr>
      <vt:lpstr>TEAB000100col_SSDI_BY</vt:lpstr>
      <vt:lpstr>TEAB000100col_SSDI_CHG</vt:lpstr>
      <vt:lpstr>TEAB000100col_SSHI</vt:lpstr>
      <vt:lpstr>TEAB000100col_SSHI_BY</vt:lpstr>
      <vt:lpstr>TEAB000100col_SSHI_CHGv</vt:lpstr>
      <vt:lpstr>TEAB000100col_TOT_VB_ELECT</vt:lpstr>
      <vt:lpstr>TEAB000100col_TOT_VB_ELECT_BY</vt:lpstr>
      <vt:lpstr>TEAB000100col_TOT_VB_ELECT_CHG</vt:lpstr>
      <vt:lpstr>TEAB000100col_TOT_VB_PERM</vt:lpstr>
      <vt:lpstr>TEAB000100col_TOT_VB_PERM_BY</vt:lpstr>
      <vt:lpstr>TEAB000100col_TOT_VB_PERM_CHG</vt:lpstr>
      <vt:lpstr>TEAB000100col_TOTAL_ELECT_PCN_FTI</vt:lpstr>
      <vt:lpstr>TEAB000100col_TOTAL_ELECT_PCN_FTI_ALT</vt:lpstr>
      <vt:lpstr>TEAB000100col_TOTAL_PERM_PCN_FTI</vt:lpstr>
      <vt:lpstr>TEAB000100col_UNEMP_INS</vt:lpstr>
      <vt:lpstr>TEAB000100col_UNEMP_INS_BY</vt:lpstr>
      <vt:lpstr>TEAB000100col_UNEMP_INS_CHG</vt:lpstr>
      <vt:lpstr>TEAB000100col_WORKERS_COMP</vt:lpstr>
      <vt:lpstr>TEAB000100col_WORKERS_COMP_BY</vt:lpstr>
      <vt:lpstr>TEAB000100col_WORKERS_COMP_CHG</vt:lpstr>
      <vt:lpstr>TEAB045000col_1_27TH_PP</vt:lpstr>
      <vt:lpstr>TEAB045000col_DHR</vt:lpstr>
      <vt:lpstr>TEAB045000col_DHR_BY</vt:lpstr>
      <vt:lpstr>TEAB045000col_DHR_CHG</vt:lpstr>
      <vt:lpstr>TEAB045000col_FTI_SALARY_ELECT</vt:lpstr>
      <vt:lpstr>TEAB045000col_FTI_SALARY_PERM</vt:lpstr>
      <vt:lpstr>TEAB045000col_FTI_SALARY_SSDI</vt:lpstr>
      <vt:lpstr>TEAB045000col_Group_Ben</vt:lpstr>
      <vt:lpstr>TEAB045000col_Group_Salary</vt:lpstr>
      <vt:lpstr>TEAB045000col_HEALTH_ELECT</vt:lpstr>
      <vt:lpstr>TEAB045000col_HEALTH_ELECT_BY</vt:lpstr>
      <vt:lpstr>TEAB045000col_HEALTH_ELECT_CHG</vt:lpstr>
      <vt:lpstr>TEAB045000col_HEALTH_PERM</vt:lpstr>
      <vt:lpstr>TEAB045000col_HEALTH_PERM_BY</vt:lpstr>
      <vt:lpstr>TEAB045000col_HEALTH_PERM_CHG</vt:lpstr>
      <vt:lpstr>TEAB045000col_INC_FTI</vt:lpstr>
      <vt:lpstr>TEAB045000col_LIFE_INS</vt:lpstr>
      <vt:lpstr>TEAB045000col_LIFE_INS_BY</vt:lpstr>
      <vt:lpstr>TEAB045000col_LIFE_INS_CHG</vt:lpstr>
      <vt:lpstr>TEAB045000col_RETIREMENT</vt:lpstr>
      <vt:lpstr>TEAB045000col_RETIREMENT_BY</vt:lpstr>
      <vt:lpstr>TEAB045000col_RETIREMENT_CHG</vt:lpstr>
      <vt:lpstr>TEAB045000col_ROWS_PER_PCN</vt:lpstr>
      <vt:lpstr>TEAB045000col_SICK</vt:lpstr>
      <vt:lpstr>TEAB045000col_SICK_BY</vt:lpstr>
      <vt:lpstr>TEAB045000col_SICK_CHG</vt:lpstr>
      <vt:lpstr>TEAB045000col_SSDI</vt:lpstr>
      <vt:lpstr>TEAB045000col_SSDI_BY</vt:lpstr>
      <vt:lpstr>TEAB045000col_SSDI_CHG</vt:lpstr>
      <vt:lpstr>TEAB045000col_SSHI</vt:lpstr>
      <vt:lpstr>TEAB045000col_SSHI_BY</vt:lpstr>
      <vt:lpstr>TEAB045000col_SSHI_CHGv</vt:lpstr>
      <vt:lpstr>TEAB045000col_TOT_VB_ELECT</vt:lpstr>
      <vt:lpstr>TEAB045000col_TOT_VB_ELECT_BY</vt:lpstr>
      <vt:lpstr>TEAB045000col_TOT_VB_ELECT_CHG</vt:lpstr>
      <vt:lpstr>TEAB045000col_TOT_VB_PERM</vt:lpstr>
      <vt:lpstr>TEAB045000col_TOT_VB_PERM_BY</vt:lpstr>
      <vt:lpstr>TEAB045000col_TOT_VB_PERM_CHG</vt:lpstr>
      <vt:lpstr>TEAB045000col_TOTAL_ELECT_PCN_FTI</vt:lpstr>
      <vt:lpstr>TEAB045000col_TOTAL_ELECT_PCN_FTI_ALT</vt:lpstr>
      <vt:lpstr>TEAB045000col_TOTAL_PERM_PCN_FTI</vt:lpstr>
      <vt:lpstr>TEAB045000col_UNEMP_INS</vt:lpstr>
      <vt:lpstr>TEAB045000col_UNEMP_INS_BY</vt:lpstr>
      <vt:lpstr>TEAB045000col_UNEMP_INS_CHG</vt:lpstr>
      <vt:lpstr>TEAB045000col_WORKERS_COMP</vt:lpstr>
      <vt:lpstr>TEAB045000col_WORKERS_COMP_BY</vt:lpstr>
      <vt:lpstr>TEAB045000col_WORKERS_COMP_CHG</vt:lpstr>
      <vt:lpstr>TEAC045000col_1_27TH_PP</vt:lpstr>
      <vt:lpstr>TEAC045000col_DHR</vt:lpstr>
      <vt:lpstr>TEAC045000col_DHR_BY</vt:lpstr>
      <vt:lpstr>TEAC045000col_DHR_CHG</vt:lpstr>
      <vt:lpstr>TEAC045000col_FTI_SALARY_ELECT</vt:lpstr>
      <vt:lpstr>TEAC045000col_FTI_SALARY_PERM</vt:lpstr>
      <vt:lpstr>TEAC045000col_FTI_SALARY_SSDI</vt:lpstr>
      <vt:lpstr>TEAC045000col_Group_Ben</vt:lpstr>
      <vt:lpstr>TEAC045000col_Group_Salary</vt:lpstr>
      <vt:lpstr>TEAC045000col_HEALTH_ELECT</vt:lpstr>
      <vt:lpstr>TEAC045000col_HEALTH_ELECT_BY</vt:lpstr>
      <vt:lpstr>TEAC045000col_HEALTH_ELECT_CHG</vt:lpstr>
      <vt:lpstr>TEAC045000col_HEALTH_PERM</vt:lpstr>
      <vt:lpstr>TEAC045000col_HEALTH_PERM_BY</vt:lpstr>
      <vt:lpstr>TEAC045000col_HEALTH_PERM_CHG</vt:lpstr>
      <vt:lpstr>TEAC045000col_INC_FTI</vt:lpstr>
      <vt:lpstr>TEAC045000col_LIFE_INS</vt:lpstr>
      <vt:lpstr>TEAC045000col_LIFE_INS_BY</vt:lpstr>
      <vt:lpstr>TEAC045000col_LIFE_INS_CHG</vt:lpstr>
      <vt:lpstr>TEAC045000col_RETIREMENT</vt:lpstr>
      <vt:lpstr>TEAC045000col_RETIREMENT_BY</vt:lpstr>
      <vt:lpstr>TEAC045000col_RETIREMENT_CHG</vt:lpstr>
      <vt:lpstr>TEAC045000col_ROWS_PER_PCN</vt:lpstr>
      <vt:lpstr>TEAC045000col_SICK</vt:lpstr>
      <vt:lpstr>TEAC045000col_SICK_BY</vt:lpstr>
      <vt:lpstr>TEAC045000col_SICK_CHG</vt:lpstr>
      <vt:lpstr>TEAC045000col_SSDI</vt:lpstr>
      <vt:lpstr>TEAC045000col_SSDI_BY</vt:lpstr>
      <vt:lpstr>TEAC045000col_SSDI_CHG</vt:lpstr>
      <vt:lpstr>TEAC045000col_SSHI</vt:lpstr>
      <vt:lpstr>TEAC045000col_SSHI_BY</vt:lpstr>
      <vt:lpstr>TEAC045000col_SSHI_CHGv</vt:lpstr>
      <vt:lpstr>TEAC045000col_TOT_VB_ELECT</vt:lpstr>
      <vt:lpstr>TEAC045000col_TOT_VB_ELECT_BY</vt:lpstr>
      <vt:lpstr>TEAC045000col_TOT_VB_ELECT_CHG</vt:lpstr>
      <vt:lpstr>TEAC045000col_TOT_VB_PERM</vt:lpstr>
      <vt:lpstr>TEAC045000col_TOT_VB_PERM_BY</vt:lpstr>
      <vt:lpstr>TEAC045000col_TOT_VB_PERM_CHG</vt:lpstr>
      <vt:lpstr>TEAC045000col_TOTAL_ELECT_PCN_FTI</vt:lpstr>
      <vt:lpstr>TEAC045000col_TOTAL_ELECT_PCN_FTI_ALT</vt:lpstr>
      <vt:lpstr>TEAC045000col_TOTAL_PERM_PCN_FTI</vt:lpstr>
      <vt:lpstr>TEAC045000col_UNEMP_INS</vt:lpstr>
      <vt:lpstr>TEAC045000col_UNEMP_INS_BY</vt:lpstr>
      <vt:lpstr>TEAC045000col_UNEMP_INS_CHG</vt:lpstr>
      <vt:lpstr>TEAC045000col_WORKERS_COMP</vt:lpstr>
      <vt:lpstr>TEAC045000col_WORKERS_COMP_BY</vt:lpstr>
      <vt:lpstr>TEAC045000col_WORKERS_COMP_CHG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178 B6</dc:title>
  <dc:subject>B6</dc:subject>
  <dc:creator>Shane Winslow</dc:creator>
  <cp:lastModifiedBy>Shane Winslow</cp:lastModifiedBy>
  <cp:lastPrinted>2019-06-21T15:46:35Z</cp:lastPrinted>
  <dcterms:created xsi:type="dcterms:W3CDTF">2013-05-01T19:55:41Z</dcterms:created>
  <dcterms:modified xsi:type="dcterms:W3CDTF">2021-07-14T20:15:18Z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