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so-filesrv\BudgetandPolicyStaff\Projects\Budget Development\Agency B6 Folder_FY23\"/>
    </mc:Choice>
  </mc:AlternateContent>
  <xr:revisionPtr revIDLastSave="0" documentId="13_ncr:1_{76DDE488-65CE-4019-81F7-D919F5610638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GVAA|0001-00" sheetId="12" r:id="rId1"/>
    <sheet name="GVAM|0001-00" sheetId="13" r:id="rId2"/>
    <sheet name="Data" sheetId="5" r:id="rId3"/>
    <sheet name="Benefits" sheetId="7" r:id="rId4"/>
    <sheet name="B6" sheetId="9" r:id="rId5"/>
    <sheet name="Summary" sheetId="10" r:id="rId6"/>
    <sheet name="FundSummary" sheetId="11" r:id="rId7"/>
  </sheets>
  <definedNames>
    <definedName name="AdjGroupHlth" localSheetId="0">'GVAA|0001-00'!$H$39</definedName>
    <definedName name="AdjGroupHlth" localSheetId="1">'GVAM|0001-00'!$H$39</definedName>
    <definedName name="AdjGroupHlth">'B6'!$H$39</definedName>
    <definedName name="AdjGroupSalary" localSheetId="0">'GVAA|0001-00'!$G$39</definedName>
    <definedName name="AdjGroupSalary" localSheetId="1">'GVAM|0001-00'!$G$39</definedName>
    <definedName name="AdjGroupSalary">'B6'!$G$39</definedName>
    <definedName name="AdjGroupVB" localSheetId="0">'GVAA|0001-00'!$I$39</definedName>
    <definedName name="AdjGroupVB" localSheetId="1">'GVAM|0001-00'!$I$39</definedName>
    <definedName name="AdjGroupVB">'B6'!$I$39</definedName>
    <definedName name="AdjGroupVBBY" localSheetId="0">'GVAA|0001-00'!$M$39</definedName>
    <definedName name="AdjGroupVBBY" localSheetId="1">'GVAM|0001-00'!$M$39</definedName>
    <definedName name="AdjGroupVBBY">'B6'!$M$39</definedName>
    <definedName name="AdjPermHlth" localSheetId="0">'GVAA|0001-00'!$H$38</definedName>
    <definedName name="AdjPermHlth" localSheetId="1">'GVAM|0001-00'!$H$38</definedName>
    <definedName name="AdjPermHlth">'B6'!$H$38</definedName>
    <definedName name="AdjPermHlthBY" localSheetId="0">'GVAA|0001-00'!$L$38</definedName>
    <definedName name="AdjPermHlthBY" localSheetId="1">'GVAM|0001-00'!$L$38</definedName>
    <definedName name="AdjPermHlthBY">'B6'!$L$38</definedName>
    <definedName name="AdjPermSalary" localSheetId="0">'GVAA|0001-00'!$G$38</definedName>
    <definedName name="AdjPermSalary" localSheetId="1">'GVAM|0001-00'!$G$38</definedName>
    <definedName name="AdjPermSalary">'B6'!$G$38</definedName>
    <definedName name="AdjPermVB" localSheetId="0">'GVAA|0001-00'!$I$38</definedName>
    <definedName name="AdjPermVB" localSheetId="1">'GVAM|0001-00'!$I$38</definedName>
    <definedName name="AdjPermVB">'B6'!$I$38</definedName>
    <definedName name="AdjPermVBBY" localSheetId="0">'GVAA|0001-00'!$M$38</definedName>
    <definedName name="AdjPermVBBY" localSheetId="1">'GVAM|0001-00'!$M$38</definedName>
    <definedName name="AdjPermVBBY">'B6'!$M$38</definedName>
    <definedName name="AdjustedTotal" localSheetId="0">'GVAA|0001-00'!$J$16</definedName>
    <definedName name="AdjustedTotal" localSheetId="1">'GVAM|0001-00'!$J$16</definedName>
    <definedName name="AdjustedTotal">'B6'!$J$16</definedName>
    <definedName name="AgencyNum" localSheetId="0">'GVAA|0001-00'!$M$1</definedName>
    <definedName name="AgencyNum" localSheetId="1">'GVAM|0001-00'!$M$1</definedName>
    <definedName name="AgencyNum">'B6'!$M$1</definedName>
    <definedName name="AppropFTP" localSheetId="0">'GVAA|0001-00'!$F$15</definedName>
    <definedName name="AppropFTP" localSheetId="1">'GVAM|0001-00'!$F$15</definedName>
    <definedName name="AppropFTP">'B6'!$F$15</definedName>
    <definedName name="AppropTotal" localSheetId="0">'GVAA|0001-00'!$J$15</definedName>
    <definedName name="AppropTotal" localSheetId="1">'GVAM|0001-00'!$J$15</definedName>
    <definedName name="AppropTotal">'B6'!$J$15</definedName>
    <definedName name="AtZHealth" localSheetId="0">'GVAA|0001-00'!$H$45</definedName>
    <definedName name="AtZHealth" localSheetId="1">'GVAM|0001-00'!$H$45</definedName>
    <definedName name="AtZHealth">'B6'!$H$45</definedName>
    <definedName name="AtZSalary" localSheetId="0">'GVAA|0001-00'!$G$45</definedName>
    <definedName name="AtZSalary" localSheetId="1">'GVAM|0001-00'!$G$45</definedName>
    <definedName name="AtZSalary">'B6'!$G$45</definedName>
    <definedName name="AtZTotal" localSheetId="0">'GVAA|0001-00'!$J$45</definedName>
    <definedName name="AtZTotal" localSheetId="1">'GVAM|0001-00'!$J$45</definedName>
    <definedName name="AtZTotal">'B6'!$J$45</definedName>
    <definedName name="AtZVarBen" localSheetId="0">'GVAA|0001-00'!$I$45</definedName>
    <definedName name="AtZVarBen" localSheetId="1">'GVAM|0001-00'!$I$45</definedName>
    <definedName name="AtZVarBen">'B6'!$I$45</definedName>
    <definedName name="BudgetUnit" localSheetId="0">'GVAA|0001-00'!$M$3</definedName>
    <definedName name="BudgetUnit" localSheetId="1">'GVAM|0001-00'!$M$3</definedName>
    <definedName name="BudgetUnit">'B6'!$M$3</definedName>
    <definedName name="BudgetYear">Benefits!$D$4</definedName>
    <definedName name="CECGroup">Benefits!$C$39</definedName>
    <definedName name="CECOrigElectSalary" localSheetId="0">'GVAA|0001-00'!$G$74</definedName>
    <definedName name="CECOrigElectSalary" localSheetId="1">'GVAM|0001-00'!$G$74</definedName>
    <definedName name="CECOrigElectSalary">'B6'!$G$74</definedName>
    <definedName name="CECOrigElectVB" localSheetId="0">'GVAA|0001-00'!$I$74</definedName>
    <definedName name="CECOrigElectVB" localSheetId="1">'GVAM|0001-00'!$I$74</definedName>
    <definedName name="CECOrigElectVB">'B6'!$I$74</definedName>
    <definedName name="CECOrigGroupSalary" localSheetId="0">'GVAA|0001-00'!$G$73</definedName>
    <definedName name="CECOrigGroupSalary" localSheetId="1">'GVAM|0001-00'!$G$73</definedName>
    <definedName name="CECOrigGroupSalary">'B6'!$G$73</definedName>
    <definedName name="CECOrigGroupVB" localSheetId="0">'GVAA|0001-00'!$I$73</definedName>
    <definedName name="CECOrigGroupVB" localSheetId="1">'GVAM|0001-00'!$I$73</definedName>
    <definedName name="CECOrigGroupVB">'B6'!$I$73</definedName>
    <definedName name="CECOrigPermSalary" localSheetId="0">'GVAA|0001-00'!$G$72</definedName>
    <definedName name="CECOrigPermSalary" localSheetId="1">'GVAM|0001-00'!$G$72</definedName>
    <definedName name="CECOrigPermSalary">'B6'!$G$72</definedName>
    <definedName name="CECOrigPermVB" localSheetId="0">'GVAA|0001-00'!$I$72</definedName>
    <definedName name="CECOrigPermVB" localSheetId="1">'GVAM|0001-00'!$I$72</definedName>
    <definedName name="CECOrigPermVB">'B6'!$I$72</definedName>
    <definedName name="CECPerm">Benefits!$C$38</definedName>
    <definedName name="CECpermCalc" localSheetId="0">'GVAA|0001-00'!$E$72</definedName>
    <definedName name="CECpermCalc" localSheetId="1">'GVAM|0001-00'!$E$72</definedName>
    <definedName name="CECpermCalc">'B6'!$E$72</definedName>
    <definedName name="Department" localSheetId="0">'GVAA|0001-00'!$D$1</definedName>
    <definedName name="Department" localSheetId="1">'GVAM|0001-00'!$D$1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'GVAA|0001-00'!$D$2</definedName>
    <definedName name="Division" localSheetId="1">'GVAM|0001-00'!$D$2</definedName>
    <definedName name="Division">'B6'!$D$2</definedName>
    <definedName name="DUCECElect" localSheetId="0">'GVAA|0001-00'!$J$74</definedName>
    <definedName name="DUCECElect" localSheetId="1">'GVAM|0001-00'!$J$74</definedName>
    <definedName name="DUCECElect">'B6'!$J$74</definedName>
    <definedName name="DUCECGroup" localSheetId="0">'GVAA|0001-00'!$J$73</definedName>
    <definedName name="DUCECGroup" localSheetId="1">'GVAM|0001-00'!$J$73</definedName>
    <definedName name="DUCECGroup">'B6'!$J$73</definedName>
    <definedName name="DUCECPerm" localSheetId="0">'GVAA|0001-00'!$J$72</definedName>
    <definedName name="DUCECPerm" localSheetId="1">'GVAM|0001-00'!$J$72</definedName>
    <definedName name="DUCECPerm">'B6'!$J$72</definedName>
    <definedName name="DUEleven" localSheetId="0">'GVAA|0001-00'!$J$75</definedName>
    <definedName name="DUEleven" localSheetId="1">'GVAM|0001-00'!$J$75</definedName>
    <definedName name="DUEleven">'B6'!$J$75</definedName>
    <definedName name="DUHealthBen" localSheetId="0">'GVAA|0001-00'!$J$68</definedName>
    <definedName name="DUHealthBen" localSheetId="1">'GVAM|0001-00'!$J$68</definedName>
    <definedName name="DUHealthBen">'B6'!$J$68</definedName>
    <definedName name="DUNine" localSheetId="0">'GVAA|0001-00'!$J$67</definedName>
    <definedName name="DUNine" localSheetId="1">'GVAM|0001-00'!$J$67</definedName>
    <definedName name="DUNine">'B6'!$J$67</definedName>
    <definedName name="DUThirteen" localSheetId="0">'GVAA|0001-00'!$J$80</definedName>
    <definedName name="DUThirteen" localSheetId="1">'GVAM|0001-00'!$J$80</definedName>
    <definedName name="DUThirteen">'B6'!$J$80</definedName>
    <definedName name="DUVariableBen" localSheetId="0">'GVAA|0001-00'!$J$69</definedName>
    <definedName name="DUVariableBen" localSheetId="1">'GVAM|0001-00'!$J$69</definedName>
    <definedName name="DUVariableBen">'B6'!$J$69</definedName>
    <definedName name="Elect_chg_health" localSheetId="0">'GVAA|0001-00'!$L$12</definedName>
    <definedName name="Elect_chg_health" localSheetId="1">'GVAM|0001-00'!$L$12</definedName>
    <definedName name="Elect_chg_health">'B6'!$L$12</definedName>
    <definedName name="Elect_chg_Var" localSheetId="0">'GVAA|0001-00'!$M$12</definedName>
    <definedName name="Elect_chg_Var" localSheetId="1">'GVAM|0001-00'!$M$12</definedName>
    <definedName name="Elect_chg_Var">'B6'!$M$12</definedName>
    <definedName name="elect_FTP" localSheetId="0">'GVAA|0001-00'!$F$12</definedName>
    <definedName name="elect_FTP" localSheetId="1">'GVAM|0001-00'!$F$12</definedName>
    <definedName name="elect_FTP">'B6'!$F$12</definedName>
    <definedName name="Elect_health" localSheetId="0">'GVAA|0001-00'!$H$12</definedName>
    <definedName name="Elect_health" localSheetId="1">'GVAM|0001-00'!$H$12</definedName>
    <definedName name="Elect_health">'B6'!$H$12</definedName>
    <definedName name="Elect_name" localSheetId="0">'GVAA|0001-00'!$C$12</definedName>
    <definedName name="Elect_name" localSheetId="1">'GVAM|0001-00'!$C$12</definedName>
    <definedName name="Elect_name">'B6'!$C$12</definedName>
    <definedName name="Elect_salary" localSheetId="0">'GVAA|0001-00'!$G$12</definedName>
    <definedName name="Elect_salary" localSheetId="1">'GVAM|0001-00'!$G$12</definedName>
    <definedName name="Elect_salary">'B6'!$G$12</definedName>
    <definedName name="Elect_Var" localSheetId="0">'GVAA|0001-00'!$I$12</definedName>
    <definedName name="Elect_Var" localSheetId="1">'GVAM|0001-00'!$I$12</definedName>
    <definedName name="Elect_Var">'B6'!$I$12</definedName>
    <definedName name="Elect_VarBen" localSheetId="0">'GVAA|0001-00'!$I$12</definedName>
    <definedName name="Elect_VarBen" localSheetId="1">'GVAM|0001-00'!$I$12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'GVAA|0001-00'!#REF!</definedName>
    <definedName name="FillRateAvg_B6" localSheetId="1">'GVAM|0001-00'!#REF!</definedName>
    <definedName name="FillRateAvg_B6">'B6'!#REF!</definedName>
    <definedName name="FiscalYear" localSheetId="0">'GVAA|0001-00'!$M$4</definedName>
    <definedName name="FiscalYear" localSheetId="1">'GVAM|0001-00'!$M$4</definedName>
    <definedName name="FiscalYear">'B6'!$M$4</definedName>
    <definedName name="FundName" localSheetId="0">'GVAA|0001-00'!$I$5</definedName>
    <definedName name="FundName" localSheetId="1">'GVAM|0001-00'!$I$5</definedName>
    <definedName name="FundName">'B6'!$I$5</definedName>
    <definedName name="FundNum" localSheetId="0">'GVAA|0001-00'!$N$5</definedName>
    <definedName name="FundNum" localSheetId="1">'GVAM|0001-00'!$N$5</definedName>
    <definedName name="FundNum">'B6'!$N$5</definedName>
    <definedName name="FundNumber" localSheetId="0">'GVAA|0001-00'!$N$5</definedName>
    <definedName name="FundNumber" localSheetId="1">'GVAM|0001-00'!$N$5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'GVAA|0001-00'!$C$11</definedName>
    <definedName name="Group_name" localSheetId="1">'GVAM|0001-00'!$C$11</definedName>
    <definedName name="Group_name">'B6'!$C$11</definedName>
    <definedName name="GroupFxdBen" localSheetId="0">'GVAA|0001-00'!$H$11</definedName>
    <definedName name="GroupFxdBen" localSheetId="1">'GVAM|0001-00'!$H$11</definedName>
    <definedName name="GroupFxdBen">'B6'!$H$11</definedName>
    <definedName name="GroupSalary" localSheetId="0">'GVAA|0001-00'!$G$11</definedName>
    <definedName name="GroupSalary" localSheetId="1">'GVAM|0001-00'!$G$11</definedName>
    <definedName name="GroupSalary">'B6'!$G$11</definedName>
    <definedName name="GroupVarBen" localSheetId="0">'GVAA|0001-00'!$I$11</definedName>
    <definedName name="GroupVarBen" localSheetId="1">'GVAM|0001-00'!$I$11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GVAA000100col_1_27TH_PP">Data!$BA$30</definedName>
    <definedName name="GVAA000100col_DHR">Data!$BI$30</definedName>
    <definedName name="GVAA000100col_DHR_BY">Data!$BU$30</definedName>
    <definedName name="GVAA000100col_DHR_CHG">Data!$CG$30</definedName>
    <definedName name="GVAA000100col_FTI_SALARY_ELECT">Data!$AZ$30</definedName>
    <definedName name="GVAA000100col_FTI_SALARY_PERM">Data!$AY$30</definedName>
    <definedName name="GVAA000100col_FTI_SALARY_SSDI">Data!$AX$30</definedName>
    <definedName name="GVAA000100col_Group_Ben">Data!$CM$30</definedName>
    <definedName name="GVAA000100col_Group_Salary">Data!$CL$30</definedName>
    <definedName name="GVAA000100col_HEALTH_ELECT">Data!$BC$30</definedName>
    <definedName name="GVAA000100col_HEALTH_ELECT_BY">Data!$BO$30</definedName>
    <definedName name="GVAA000100col_HEALTH_ELECT_CHG">Data!$CA$30</definedName>
    <definedName name="GVAA000100col_HEALTH_PERM">Data!$BB$30</definedName>
    <definedName name="GVAA000100col_HEALTH_PERM_BY">Data!$BN$30</definedName>
    <definedName name="GVAA000100col_HEALTH_PERM_CHG">Data!$BZ$30</definedName>
    <definedName name="GVAA000100col_INC_FTI">Data!$AS$30</definedName>
    <definedName name="GVAA000100col_LIFE_INS">Data!$BG$30</definedName>
    <definedName name="GVAA000100col_LIFE_INS_BY">Data!$BS$30</definedName>
    <definedName name="GVAA000100col_LIFE_INS_CHG">Data!$CE$30</definedName>
    <definedName name="GVAA000100col_RETIREMENT">Data!$BF$30</definedName>
    <definedName name="GVAA000100col_RETIREMENT_BY">Data!$BR$30</definedName>
    <definedName name="GVAA000100col_RETIREMENT_CHG">Data!$CD$30</definedName>
    <definedName name="GVAA000100col_ROWS_PER_PCN">Data!$AW$30</definedName>
    <definedName name="GVAA000100col_SICK">Data!$BK$30</definedName>
    <definedName name="GVAA000100col_SICK_BY">Data!$BW$30</definedName>
    <definedName name="GVAA000100col_SICK_CHG">Data!$CI$30</definedName>
    <definedName name="GVAA000100col_SSDI">Data!$BD$30</definedName>
    <definedName name="GVAA000100col_SSDI_BY">Data!$BP$30</definedName>
    <definedName name="GVAA000100col_SSDI_CHG">Data!$CB$30</definedName>
    <definedName name="GVAA000100col_SSHI">Data!$BE$30</definedName>
    <definedName name="GVAA000100col_SSHI_BY">Data!$BQ$30</definedName>
    <definedName name="GVAA000100col_SSHI_CHGv">Data!$CC$30</definedName>
    <definedName name="GVAA000100col_TOT_VB_ELECT">Data!$BM$30</definedName>
    <definedName name="GVAA000100col_TOT_VB_ELECT_BY">Data!$BY$30</definedName>
    <definedName name="GVAA000100col_TOT_VB_ELECT_CHG">Data!$CK$30</definedName>
    <definedName name="GVAA000100col_TOT_VB_PERM">Data!$BL$30</definedName>
    <definedName name="GVAA000100col_TOT_VB_PERM_BY">Data!$BX$30</definedName>
    <definedName name="GVAA000100col_TOT_VB_PERM_CHG">Data!$CJ$30</definedName>
    <definedName name="GVAA000100col_TOTAL_ELECT_PCN_FTI">Data!$AT$30</definedName>
    <definedName name="GVAA000100col_TOTAL_ELECT_PCN_FTI_ALT">Data!$AV$30</definedName>
    <definedName name="GVAA000100col_TOTAL_PERM_PCN_FTI">Data!$AU$30</definedName>
    <definedName name="GVAA000100col_UNEMP_INS">Data!$BH$30</definedName>
    <definedName name="GVAA000100col_UNEMP_INS_BY">Data!$BT$30</definedName>
    <definedName name="GVAA000100col_UNEMP_INS_CHG">Data!$CF$30</definedName>
    <definedName name="GVAA000100col_WORKERS_COMP">Data!$BJ$30</definedName>
    <definedName name="GVAA000100col_WORKERS_COMP_BY">Data!$BV$30</definedName>
    <definedName name="GVAA000100col_WORKERS_COMP_CHG">Data!$CH$30</definedName>
    <definedName name="GVAM000100col_1_27TH_PP">Data!$BA$32</definedName>
    <definedName name="GVAM000100col_DHR">Data!$BI$32</definedName>
    <definedName name="GVAM000100col_DHR_BY">Data!$BU$32</definedName>
    <definedName name="GVAM000100col_DHR_CHG">Data!$CG$32</definedName>
    <definedName name="GVAM000100col_FTI_SALARY_ELECT">Data!$AZ$32</definedName>
    <definedName name="GVAM000100col_FTI_SALARY_PERM">Data!$AY$32</definedName>
    <definedName name="GVAM000100col_FTI_SALARY_SSDI">Data!$AX$32</definedName>
    <definedName name="GVAM000100col_Group_Ben">Data!$CM$32</definedName>
    <definedName name="GVAM000100col_Group_Salary">Data!$CL$32</definedName>
    <definedName name="GVAM000100col_HEALTH_ELECT">Data!$BC$32</definedName>
    <definedName name="GVAM000100col_HEALTH_ELECT_BY">Data!$BO$32</definedName>
    <definedName name="GVAM000100col_HEALTH_ELECT_CHG">Data!$CA$32</definedName>
    <definedName name="GVAM000100col_HEALTH_PERM">Data!$BB$32</definedName>
    <definedName name="GVAM000100col_HEALTH_PERM_BY">Data!$BN$32</definedName>
    <definedName name="GVAM000100col_HEALTH_PERM_CHG">Data!$BZ$32</definedName>
    <definedName name="GVAM000100col_INC_FTI">Data!$AS$32</definedName>
    <definedName name="GVAM000100col_LIFE_INS">Data!$BG$32</definedName>
    <definedName name="GVAM000100col_LIFE_INS_BY">Data!$BS$32</definedName>
    <definedName name="GVAM000100col_LIFE_INS_CHG">Data!$CE$32</definedName>
    <definedName name="GVAM000100col_RETIREMENT">Data!$BF$32</definedName>
    <definedName name="GVAM000100col_RETIREMENT_BY">Data!$BR$32</definedName>
    <definedName name="GVAM000100col_RETIREMENT_CHG">Data!$CD$32</definedName>
    <definedName name="GVAM000100col_ROWS_PER_PCN">Data!$AW$32</definedName>
    <definedName name="GVAM000100col_SICK">Data!$BK$32</definedName>
    <definedName name="GVAM000100col_SICK_BY">Data!$BW$32</definedName>
    <definedName name="GVAM000100col_SICK_CHG">Data!$CI$32</definedName>
    <definedName name="GVAM000100col_SSDI">Data!$BD$32</definedName>
    <definedName name="GVAM000100col_SSDI_BY">Data!$BP$32</definedName>
    <definedName name="GVAM000100col_SSDI_CHG">Data!$CB$32</definedName>
    <definedName name="GVAM000100col_SSHI">Data!$BE$32</definedName>
    <definedName name="GVAM000100col_SSHI_BY">Data!$BQ$32</definedName>
    <definedName name="GVAM000100col_SSHI_CHGv">Data!$CC$32</definedName>
    <definedName name="GVAM000100col_TOT_VB_ELECT">Data!$BM$32</definedName>
    <definedName name="GVAM000100col_TOT_VB_ELECT_BY">Data!$BY$32</definedName>
    <definedName name="GVAM000100col_TOT_VB_ELECT_CHG">Data!$CK$32</definedName>
    <definedName name="GVAM000100col_TOT_VB_PERM">Data!$BL$32</definedName>
    <definedName name="GVAM000100col_TOT_VB_PERM_BY">Data!$BX$32</definedName>
    <definedName name="GVAM000100col_TOT_VB_PERM_CHG">Data!$CJ$32</definedName>
    <definedName name="GVAM000100col_TOTAL_ELECT_PCN_FTI">Data!$AT$32</definedName>
    <definedName name="GVAM000100col_TOTAL_ELECT_PCN_FTI_ALT">Data!$AV$32</definedName>
    <definedName name="GVAM000100col_TOTAL_PERM_PCN_FTI">Data!$AU$32</definedName>
    <definedName name="GVAM000100col_UNEMP_INS">Data!$BH$32</definedName>
    <definedName name="GVAM000100col_UNEMP_INS_BY">Data!$BT$32</definedName>
    <definedName name="GVAM000100col_UNEMP_INS_CHG">Data!$CF$32</definedName>
    <definedName name="GVAM000100col_WORKERS_COMP">Data!$BJ$32</definedName>
    <definedName name="GVAM000100col_WORKERS_COMP_BY">Data!$BV$32</definedName>
    <definedName name="GVAM000100col_WORKERS_COMP_CHG">Data!$CH$32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'GVAA|0001-00'!$M$2</definedName>
    <definedName name="LUMAFund" localSheetId="1">'GVAM|0001-00'!$M$2</definedName>
    <definedName name="LUMAFund">'B6'!$M$2</definedName>
    <definedName name="MAXSSDI">Benefits!$F$5</definedName>
    <definedName name="MAXSSDIBY">Benefits!$G$5</definedName>
    <definedName name="NEW_AdjGroup" localSheetId="0">'GVAA|0001-00'!$AC$39</definedName>
    <definedName name="NEW_AdjGroup" localSheetId="1">'GVAM|0001-00'!$AC$39</definedName>
    <definedName name="NEW_AdjGroup">'B6'!$AC$39</definedName>
    <definedName name="NEW_AdjGroupSalary" localSheetId="0">'GVAA|0001-00'!$AA$39</definedName>
    <definedName name="NEW_AdjGroupSalary" localSheetId="1">'GVAM|0001-00'!$AA$39</definedName>
    <definedName name="NEW_AdjGroupSalary">'B6'!$AA$39</definedName>
    <definedName name="NEW_AdjGroupVB" localSheetId="0">'GVAA|0001-00'!$AB$39</definedName>
    <definedName name="NEW_AdjGroupVB" localSheetId="1">'GVAM|0001-00'!$AB$39</definedName>
    <definedName name="NEW_AdjGroupVB">'B6'!$AB$39</definedName>
    <definedName name="NEW_AdjONLYGroup" localSheetId="0">'GVAA|0001-00'!$AC$45</definedName>
    <definedName name="NEW_AdjONLYGroup" localSheetId="1">'GVAM|0001-00'!$AC$45</definedName>
    <definedName name="NEW_AdjONLYGroup">'B6'!$AC$45</definedName>
    <definedName name="NEW_AdjONLYGroupSalary" localSheetId="0">'GVAA|0001-00'!$AA$45</definedName>
    <definedName name="NEW_AdjONLYGroupSalary" localSheetId="1">'GVAM|0001-00'!$AA$45</definedName>
    <definedName name="NEW_AdjONLYGroupSalary">'B6'!$AA$45</definedName>
    <definedName name="NEW_AdjONLYGroupVB" localSheetId="0">'GVAA|0001-00'!$AB$45</definedName>
    <definedName name="NEW_AdjONLYGroupVB" localSheetId="1">'GVAM|0001-00'!$AB$45</definedName>
    <definedName name="NEW_AdjONLYGroupVB">'B6'!$AB$45</definedName>
    <definedName name="NEW_AdjONLYPerm" localSheetId="0">'GVAA|0001-00'!$AC$44</definedName>
    <definedName name="NEW_AdjONLYPerm" localSheetId="1">'GVAM|0001-00'!$AC$44</definedName>
    <definedName name="NEW_AdjONLYPerm">'B6'!$AC$44</definedName>
    <definedName name="NEW_AdjONLYPermSalary" localSheetId="0">'GVAA|0001-00'!$AA$44</definedName>
    <definedName name="NEW_AdjONLYPermSalary" localSheetId="1">'GVAM|0001-00'!$AA$44</definedName>
    <definedName name="NEW_AdjONLYPermSalary">'B6'!$AA$44</definedName>
    <definedName name="NEW_AdjONLYPermVB" localSheetId="0">'GVAA|0001-00'!$AB$44</definedName>
    <definedName name="NEW_AdjONLYPermVB" localSheetId="1">'GVAM|0001-00'!$AB$44</definedName>
    <definedName name="NEW_AdjONLYPermVB">'B6'!$AB$44</definedName>
    <definedName name="NEW_AdjPerm" localSheetId="0">'GVAA|0001-00'!$AC$38</definedName>
    <definedName name="NEW_AdjPerm" localSheetId="1">'GVAM|0001-00'!$AC$38</definedName>
    <definedName name="NEW_AdjPerm">'B6'!$AC$38</definedName>
    <definedName name="NEW_AdjPermSalary" localSheetId="0">'GVAA|0001-00'!$AA$38</definedName>
    <definedName name="NEW_AdjPermSalary" localSheetId="1">'GVAM|0001-00'!$AA$38</definedName>
    <definedName name="NEW_AdjPermSalary">'B6'!$AA$38</definedName>
    <definedName name="NEW_AdjPermVB" localSheetId="0">'GVAA|0001-00'!$AB$38</definedName>
    <definedName name="NEW_AdjPermVB" localSheetId="1">'GVAM|0001-00'!$AB$38</definedName>
    <definedName name="NEW_AdjPermVB">'B6'!$AB$38</definedName>
    <definedName name="NEW_GroupFilled" localSheetId="0">'GVAA|0001-00'!$AC$11</definedName>
    <definedName name="NEW_GroupFilled" localSheetId="1">'GVAM|0001-00'!$AC$11</definedName>
    <definedName name="NEW_GroupFilled">'B6'!$AC$11</definedName>
    <definedName name="NEW_GroupSalaryFilled" localSheetId="0">'GVAA|0001-00'!$AA$11</definedName>
    <definedName name="NEW_GroupSalaryFilled" localSheetId="1">'GVAM|0001-00'!$AA$11</definedName>
    <definedName name="NEW_GroupSalaryFilled">'B6'!$AA$11</definedName>
    <definedName name="NEW_GroupVBFilled" localSheetId="0">'GVAA|0001-00'!$AB$11</definedName>
    <definedName name="NEW_GroupVBFilled" localSheetId="1">'GVAM|0001-00'!$AB$11</definedName>
    <definedName name="NEW_GroupVBFilled">'B6'!$AB$11</definedName>
    <definedName name="NEW_PermFilled" localSheetId="0">'GVAA|0001-00'!$AC$10</definedName>
    <definedName name="NEW_PermFilled" localSheetId="1">'GVAM|0001-00'!$AC$10</definedName>
    <definedName name="NEW_PermFilled">'B6'!$AC$10</definedName>
    <definedName name="NEW_PermSalaryFilled" localSheetId="0">'GVAA|0001-00'!$AA$10</definedName>
    <definedName name="NEW_PermSalaryFilled" localSheetId="1">'GVAM|0001-00'!$AA$10</definedName>
    <definedName name="NEW_PermSalaryFilled">'B6'!$AA$10</definedName>
    <definedName name="NEW_PermVBFilled" localSheetId="0">'GVAA|0001-00'!$AB$10</definedName>
    <definedName name="NEW_PermVBFilled" localSheetId="1">'GVAM|0001-00'!$AB$10</definedName>
    <definedName name="NEW_PermVBFilled">'B6'!$AB$10</definedName>
    <definedName name="OneTimePC_Total" localSheetId="0">'GVAA|0001-00'!$J$63</definedName>
    <definedName name="OneTimePC_Total" localSheetId="1">'GVAM|0001-00'!$J$63</definedName>
    <definedName name="OneTimePC_Total">'B6'!$J$63</definedName>
    <definedName name="OrigApprop" localSheetId="0">'GVAA|0001-00'!$E$15</definedName>
    <definedName name="OrigApprop" localSheetId="1">'GVAM|0001-00'!$E$15</definedName>
    <definedName name="OrigApprop">'B6'!$E$15</definedName>
    <definedName name="perm_name" localSheetId="0">'GVAA|0001-00'!$C$10</definedName>
    <definedName name="perm_name" localSheetId="1">'GVAM|0001-00'!$C$10</definedName>
    <definedName name="perm_name">'B6'!$C$10</definedName>
    <definedName name="PermFTP" localSheetId="0">'GVAA|0001-00'!$F$10</definedName>
    <definedName name="PermFTP" localSheetId="1">'GVAM|0001-00'!$F$10</definedName>
    <definedName name="PermFTP">'B6'!$F$10</definedName>
    <definedName name="PermFxdBen" localSheetId="0">'GVAA|0001-00'!$H$10</definedName>
    <definedName name="PermFxdBen" localSheetId="1">'GVAM|0001-00'!$H$10</definedName>
    <definedName name="PermFxdBen">'B6'!$H$10</definedName>
    <definedName name="PermFxdBenChg" localSheetId="0">'GVAA|0001-00'!$L$10</definedName>
    <definedName name="PermFxdBenChg" localSheetId="1">'GVAM|0001-00'!$L$10</definedName>
    <definedName name="PermFxdBenChg">'B6'!$L$10</definedName>
    <definedName name="PermFxdChg" localSheetId="0">'GVAA|0001-00'!$L$10</definedName>
    <definedName name="PermFxdChg" localSheetId="1">'GVAM|0001-00'!$L$10</definedName>
    <definedName name="PermFxdChg">'B6'!$L$10</definedName>
    <definedName name="PermSalary" localSheetId="0">'GVAA|0001-00'!$G$10</definedName>
    <definedName name="PermSalary" localSheetId="1">'GVAM|0001-00'!$G$10</definedName>
    <definedName name="PermSalary">'B6'!$G$10</definedName>
    <definedName name="PermVarBen" localSheetId="0">'GVAA|0001-00'!$I$10</definedName>
    <definedName name="PermVarBen" localSheetId="1">'GVAM|0001-00'!$I$10</definedName>
    <definedName name="PermVarBen">'B6'!$I$10</definedName>
    <definedName name="PermVarBenChg" localSheetId="0">'GVAA|0001-00'!$M$10</definedName>
    <definedName name="PermVarBenChg" localSheetId="1">'GVAM|0001-00'!$M$10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4">'B6'!$A$1:$N$81</definedName>
    <definedName name="_xlnm.Print_Area" localSheetId="3">Benefits!$A$1:$G$36</definedName>
    <definedName name="_xlnm.Print_Area" localSheetId="0">'GVAA|0001-00'!$A$1:$N$81</definedName>
    <definedName name="_xlnm.Print_Area" localSheetId="1">'GVAM|0001-00'!$A$1:$N$81</definedName>
    <definedName name="Prog_Unadjusted_Total" localSheetId="0">'GVAA|0001-00'!$C$8:$N$16</definedName>
    <definedName name="Prog_Unadjusted_Total" localSheetId="1">'GVAM|0001-00'!$C$8:$N$16</definedName>
    <definedName name="Prog_Unadjusted_Total">'B6'!$C$8:$N$16</definedName>
    <definedName name="Program" localSheetId="0">'GVAA|0001-00'!$D$3</definedName>
    <definedName name="Program" localSheetId="1">'GVAM|0001-00'!$D$3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'GVAA|0001-00'!$G$52</definedName>
    <definedName name="RoundedAppropSalary" localSheetId="1">'GVAM|0001-00'!$G$52</definedName>
    <definedName name="RoundedAppropSalary">'B6'!$G$52</definedName>
    <definedName name="SalaryChg" localSheetId="0">'GVAA|0001-00'!$K$10</definedName>
    <definedName name="SalaryChg" localSheetId="1">'GVAM|0001-00'!$K$10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'GVAA|0001-00'!#REF!</definedName>
    <definedName name="SubCECBase" localSheetId="1">'GVAM|0001-00'!#REF!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J10" i="11"/>
  <c r="K10" i="11"/>
  <c r="L10" i="11"/>
  <c r="M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J13" i="11"/>
  <c r="K13" i="11"/>
  <c r="L13" i="11"/>
  <c r="M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K19" i="11"/>
  <c r="L19" i="11"/>
  <c r="AZ51" i="5"/>
  <c r="AY51" i="5"/>
  <c r="AW51" i="5"/>
  <c r="AV51" i="5"/>
  <c r="AU51" i="5"/>
  <c r="AT51" i="5"/>
  <c r="AS51" i="5"/>
  <c r="BA49" i="5"/>
  <c r="AZ49" i="5"/>
  <c r="AY49" i="5"/>
  <c r="AX49" i="5"/>
  <c r="AW49" i="5"/>
  <c r="AV49" i="5"/>
  <c r="AU49" i="5"/>
  <c r="AT49" i="5"/>
  <c r="AS49" i="5"/>
  <c r="AZ43" i="5"/>
  <c r="AY43" i="5"/>
  <c r="AW43" i="5"/>
  <c r="AV43" i="5"/>
  <c r="AU43" i="5"/>
  <c r="AT43" i="5"/>
  <c r="AS43" i="5"/>
  <c r="AZ47" i="5"/>
  <c r="AW47" i="5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J74" i="13"/>
  <c r="I74" i="13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N62" i="13"/>
  <c r="J62" i="13"/>
  <c r="C60" i="13"/>
  <c r="N59" i="13"/>
  <c r="J59" i="13"/>
  <c r="N58" i="13"/>
  <c r="J58" i="13"/>
  <c r="C56" i="13"/>
  <c r="N55" i="13"/>
  <c r="J55" i="13"/>
  <c r="J54" i="13"/>
  <c r="F51" i="13"/>
  <c r="F52" i="13" s="1"/>
  <c r="F56" i="13" s="1"/>
  <c r="F60" i="13" s="1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J35" i="13"/>
  <c r="I35" i="13"/>
  <c r="H35" i="13"/>
  <c r="M34" i="13"/>
  <c r="L34" i="13"/>
  <c r="N34" i="13" s="1"/>
  <c r="J34" i="13"/>
  <c r="I34" i="13"/>
  <c r="H34" i="13"/>
  <c r="M33" i="13"/>
  <c r="L33" i="13"/>
  <c r="N33" i="13" s="1"/>
  <c r="J33" i="13"/>
  <c r="I33" i="13"/>
  <c r="H33" i="13"/>
  <c r="M32" i="13"/>
  <c r="N32" i="13" s="1"/>
  <c r="L32" i="13"/>
  <c r="J32" i="13"/>
  <c r="I32" i="13"/>
  <c r="H32" i="13"/>
  <c r="M30" i="13"/>
  <c r="L30" i="13"/>
  <c r="J30" i="13"/>
  <c r="I30" i="13"/>
  <c r="H30" i="13"/>
  <c r="M29" i="13"/>
  <c r="N29" i="13" s="1"/>
  <c r="L29" i="13"/>
  <c r="J29" i="13"/>
  <c r="I29" i="13"/>
  <c r="H29" i="13"/>
  <c r="M28" i="13"/>
  <c r="L28" i="13"/>
  <c r="N28" i="13" s="1"/>
  <c r="J28" i="13"/>
  <c r="I28" i="13"/>
  <c r="H28" i="13"/>
  <c r="M27" i="13"/>
  <c r="N27" i="13" s="1"/>
  <c r="L27" i="13"/>
  <c r="J27" i="13"/>
  <c r="I27" i="13"/>
  <c r="H27" i="13"/>
  <c r="M26" i="13"/>
  <c r="L26" i="13"/>
  <c r="J26" i="13"/>
  <c r="I26" i="13"/>
  <c r="H26" i="13"/>
  <c r="M25" i="13"/>
  <c r="N25" i="13" s="1"/>
  <c r="L25" i="13"/>
  <c r="J25" i="13"/>
  <c r="I25" i="13"/>
  <c r="H25" i="13"/>
  <c r="M24" i="13"/>
  <c r="L24" i="13"/>
  <c r="N24" i="13" s="1"/>
  <c r="J24" i="13"/>
  <c r="I24" i="13"/>
  <c r="H24" i="13"/>
  <c r="M23" i="13"/>
  <c r="N23" i="13" s="1"/>
  <c r="L23" i="13"/>
  <c r="J23" i="13"/>
  <c r="I23" i="13"/>
  <c r="H23" i="13"/>
  <c r="M22" i="13"/>
  <c r="L22" i="13"/>
  <c r="J22" i="13"/>
  <c r="I22" i="13"/>
  <c r="H22" i="13"/>
  <c r="M21" i="13"/>
  <c r="N21" i="13" s="1"/>
  <c r="L21" i="13"/>
  <c r="J21" i="13"/>
  <c r="I21" i="13"/>
  <c r="H21" i="13"/>
  <c r="M20" i="13"/>
  <c r="L20" i="13"/>
  <c r="N20" i="13" s="1"/>
  <c r="J20" i="13"/>
  <c r="I20" i="13"/>
  <c r="H20" i="13"/>
  <c r="C15" i="13"/>
  <c r="AC11" i="13"/>
  <c r="M8" i="13"/>
  <c r="L8" i="13"/>
  <c r="K8" i="13"/>
  <c r="J8" i="13"/>
  <c r="I8" i="13"/>
  <c r="H8" i="13"/>
  <c r="G8" i="13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F52" i="12" s="1"/>
  <c r="F56" i="12" s="1"/>
  <c r="F60" i="12" s="1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L33" i="12"/>
  <c r="N33" i="12" s="1"/>
  <c r="J33" i="12"/>
  <c r="I33" i="12"/>
  <c r="H33" i="12"/>
  <c r="M32" i="12"/>
  <c r="L32" i="12"/>
  <c r="N32" i="12" s="1"/>
  <c r="J32" i="12"/>
  <c r="I32" i="12"/>
  <c r="H32" i="12"/>
  <c r="M30" i="12"/>
  <c r="L30" i="12"/>
  <c r="J30" i="12"/>
  <c r="I30" i="12"/>
  <c r="H30" i="12"/>
  <c r="M29" i="12"/>
  <c r="L29" i="12"/>
  <c r="J29" i="12"/>
  <c r="I29" i="12"/>
  <c r="H29" i="12"/>
  <c r="M28" i="12"/>
  <c r="L28" i="12"/>
  <c r="N28" i="12" s="1"/>
  <c r="J28" i="12"/>
  <c r="I28" i="12"/>
  <c r="H28" i="12"/>
  <c r="M27" i="12"/>
  <c r="N27" i="12" s="1"/>
  <c r="L27" i="12"/>
  <c r="J27" i="12"/>
  <c r="I27" i="12"/>
  <c r="H27" i="12"/>
  <c r="M26" i="12"/>
  <c r="L26" i="12"/>
  <c r="N26" i="12" s="1"/>
  <c r="J26" i="12"/>
  <c r="I26" i="12"/>
  <c r="H26" i="12"/>
  <c r="M25" i="12"/>
  <c r="N25" i="12" s="1"/>
  <c r="L25" i="12"/>
  <c r="J25" i="12"/>
  <c r="I25" i="12"/>
  <c r="H25" i="12"/>
  <c r="M24" i="12"/>
  <c r="L24" i="12"/>
  <c r="N24" i="12" s="1"/>
  <c r="J24" i="12"/>
  <c r="I24" i="12"/>
  <c r="H24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L20" i="12"/>
  <c r="N20" i="12" s="1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31" i="5" s="1"/>
  <c r="CM32" i="5" s="1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31" i="5" s="1"/>
  <c r="CL32" i="5" s="1"/>
  <c r="CL2" i="5"/>
  <c r="AW26" i="5"/>
  <c r="AW31" i="5" s="1"/>
  <c r="AW32" i="5" s="1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X3" i="5" s="1"/>
  <c r="AS4" i="5"/>
  <c r="AX4" i="5" s="1"/>
  <c r="AS5" i="5"/>
  <c r="AT5" i="5" s="1"/>
  <c r="AZ5" i="5" s="1"/>
  <c r="AS6" i="5"/>
  <c r="AX6" i="5" s="1"/>
  <c r="AS7" i="5"/>
  <c r="AX7" i="5" s="1"/>
  <c r="AS8" i="5"/>
  <c r="AT8" i="5" s="1"/>
  <c r="AS9" i="5"/>
  <c r="AT9" i="5" s="1"/>
  <c r="AU9" i="5" s="1"/>
  <c r="AS10" i="5"/>
  <c r="AT10" i="5" s="1"/>
  <c r="BA10" i="5" s="1"/>
  <c r="AS11" i="5"/>
  <c r="AX11" i="5" s="1"/>
  <c r="AS12" i="5"/>
  <c r="AX12" i="5" s="1"/>
  <c r="AS13" i="5"/>
  <c r="AT13" i="5" s="1"/>
  <c r="AS14" i="5"/>
  <c r="AX14" i="5" s="1"/>
  <c r="AS15" i="5"/>
  <c r="AX15" i="5" s="1"/>
  <c r="AS16" i="5"/>
  <c r="AX16" i="5" s="1"/>
  <c r="AS17" i="5"/>
  <c r="AX17" i="5" s="1"/>
  <c r="AS18" i="5"/>
  <c r="AT18" i="5" s="1"/>
  <c r="AS19" i="5"/>
  <c r="AX19" i="5" s="1"/>
  <c r="AS20" i="5"/>
  <c r="AX20" i="5" s="1"/>
  <c r="AS21" i="5"/>
  <c r="AT21" i="5" s="1"/>
  <c r="BT21" i="5" s="1"/>
  <c r="AS22" i="5"/>
  <c r="AX22" i="5" s="1"/>
  <c r="AS23" i="5"/>
  <c r="AX23" i="5" s="1"/>
  <c r="AS24" i="5"/>
  <c r="AT24" i="5" s="1"/>
  <c r="AS25" i="5"/>
  <c r="AX25" i="5" s="1"/>
  <c r="AS26" i="5"/>
  <c r="AT26" i="5" s="1"/>
  <c r="AT31" i="5" s="1"/>
  <c r="AT32" i="5" s="1"/>
  <c r="AS2" i="5"/>
  <c r="AX2" i="5" s="1"/>
  <c r="N21" i="12" l="1"/>
  <c r="N29" i="12"/>
  <c r="N23" i="12"/>
  <c r="N35" i="12"/>
  <c r="N22" i="13"/>
  <c r="N26" i="13"/>
  <c r="N30" i="13"/>
  <c r="N35" i="13"/>
  <c r="AY46" i="5"/>
  <c r="AY47" i="5" s="1"/>
  <c r="AT40" i="5"/>
  <c r="AT41" i="5" s="1"/>
  <c r="AU40" i="5"/>
  <c r="AU41" i="5" s="1"/>
  <c r="BA46" i="5"/>
  <c r="BA47" i="5" s="1"/>
  <c r="AT46" i="5"/>
  <c r="AU46" i="5"/>
  <c r="AU47" i="5" s="1"/>
  <c r="AV46" i="5"/>
  <c r="AV47" i="5" s="1"/>
  <c r="AX46" i="5"/>
  <c r="AX47" i="5" s="1"/>
  <c r="AT47" i="5"/>
  <c r="I11" i="13"/>
  <c r="I39" i="13" s="1"/>
  <c r="AB39" i="13" s="1"/>
  <c r="G16" i="10"/>
  <c r="G11" i="13"/>
  <c r="E16" i="10"/>
  <c r="F12" i="13"/>
  <c r="F40" i="13" s="1"/>
  <c r="D17" i="10"/>
  <c r="N39" i="13"/>
  <c r="F67" i="13"/>
  <c r="N22" i="12"/>
  <c r="N30" i="12"/>
  <c r="N34" i="12"/>
  <c r="AS31" i="5"/>
  <c r="AS32" i="5" s="1"/>
  <c r="AT2" i="5"/>
  <c r="BM2" i="5" s="1"/>
  <c r="AT19" i="5"/>
  <c r="CG19" i="5" s="1"/>
  <c r="AT17" i="5"/>
  <c r="BG17" i="5" s="1"/>
  <c r="AX9" i="5"/>
  <c r="BD9" i="5" s="1"/>
  <c r="AT16" i="5"/>
  <c r="AU16" i="5" s="1"/>
  <c r="BN16" i="5" s="1"/>
  <c r="AT12" i="5"/>
  <c r="AY12" i="5" s="1"/>
  <c r="AT11" i="5"/>
  <c r="AU11" i="5" s="1"/>
  <c r="BN11" i="5" s="1"/>
  <c r="AT4" i="5"/>
  <c r="BH4" i="5" s="1"/>
  <c r="AT3" i="5"/>
  <c r="BU3" i="5" s="1"/>
  <c r="AT25" i="5"/>
  <c r="CI25" i="5" s="1"/>
  <c r="AT20" i="5"/>
  <c r="AU20" i="5" s="1"/>
  <c r="AT6" i="5"/>
  <c r="BJ6" i="5" s="1"/>
  <c r="AU21" i="5"/>
  <c r="BN21" i="5" s="1"/>
  <c r="AV5" i="5"/>
  <c r="BO5" i="5" s="1"/>
  <c r="AT7" i="5"/>
  <c r="BJ7" i="5" s="1"/>
  <c r="AT15" i="5"/>
  <c r="BH15" i="5" s="1"/>
  <c r="AT14" i="5"/>
  <c r="BJ14" i="5" s="1"/>
  <c r="AW29" i="5"/>
  <c r="AW30" i="5" s="1"/>
  <c r="N39" i="12"/>
  <c r="F67" i="12"/>
  <c r="CD24" i="5"/>
  <c r="BV24" i="5"/>
  <c r="BM24" i="5"/>
  <c r="CJ24" i="5"/>
  <c r="CI24" i="5"/>
  <c r="CH24" i="5"/>
  <c r="CG24" i="5"/>
  <c r="BQ24" i="5"/>
  <c r="BZ24" i="5"/>
  <c r="BW24" i="5"/>
  <c r="BT24" i="5"/>
  <c r="BG24" i="5"/>
  <c r="CC24" i="5"/>
  <c r="BS24" i="5"/>
  <c r="BX24" i="5"/>
  <c r="CK24" i="5"/>
  <c r="BU24" i="5"/>
  <c r="BY24" i="5"/>
  <c r="CF24" i="5"/>
  <c r="CA24" i="5"/>
  <c r="BL24" i="5"/>
  <c r="BH24" i="5"/>
  <c r="BE24" i="5"/>
  <c r="AZ24" i="5"/>
  <c r="CE24" i="5"/>
  <c r="BR24" i="5"/>
  <c r="BJ24" i="5"/>
  <c r="AU24" i="5"/>
  <c r="BN24" i="5" s="1"/>
  <c r="BK24" i="5"/>
  <c r="BI24" i="5"/>
  <c r="BA24" i="5"/>
  <c r="AV24" i="5"/>
  <c r="BC24" i="5" s="1"/>
  <c r="AY24" i="5"/>
  <c r="BF24" i="5"/>
  <c r="CD8" i="5"/>
  <c r="BV8" i="5"/>
  <c r="CK8" i="5"/>
  <c r="CI8" i="5"/>
  <c r="CG8" i="5"/>
  <c r="BY8" i="5"/>
  <c r="BQ8" i="5"/>
  <c r="BW8" i="5"/>
  <c r="BT8" i="5"/>
  <c r="BG8" i="5"/>
  <c r="BK8" i="5"/>
  <c r="BH8" i="5"/>
  <c r="BE8" i="5"/>
  <c r="BU8" i="5"/>
  <c r="BS8" i="5"/>
  <c r="CA8" i="5"/>
  <c r="AZ8" i="5"/>
  <c r="CF8" i="5"/>
  <c r="CC8" i="5"/>
  <c r="BJ8" i="5"/>
  <c r="CE8" i="5"/>
  <c r="BR8" i="5"/>
  <c r="BM8" i="5"/>
  <c r="AY8" i="5"/>
  <c r="AV8" i="5"/>
  <c r="BC8" i="5" s="1"/>
  <c r="BA8" i="5"/>
  <c r="AU8" i="5"/>
  <c r="BB8" i="5" s="1"/>
  <c r="BI8" i="5"/>
  <c r="BF8" i="5"/>
  <c r="CF18" i="5"/>
  <c r="CE18" i="5"/>
  <c r="CA18" i="5"/>
  <c r="BS18" i="5"/>
  <c r="CG18" i="5"/>
  <c r="CD18" i="5"/>
  <c r="BT18" i="5"/>
  <c r="BQ18" i="5"/>
  <c r="BE18" i="5"/>
  <c r="CI18" i="5"/>
  <c r="BI18" i="5"/>
  <c r="CK18" i="5"/>
  <c r="BW18" i="5"/>
  <c r="BY18" i="5"/>
  <c r="BU18" i="5"/>
  <c r="CC18" i="5"/>
  <c r="BR18" i="5"/>
  <c r="BV18" i="5"/>
  <c r="BJ18" i="5"/>
  <c r="AU18" i="5"/>
  <c r="BN18" i="5" s="1"/>
  <c r="BK18" i="5"/>
  <c r="BH18" i="5"/>
  <c r="AY18" i="5"/>
  <c r="AT22" i="5"/>
  <c r="CI11" i="5"/>
  <c r="AV21" i="5"/>
  <c r="BO21" i="5" s="1"/>
  <c r="AY5" i="5"/>
  <c r="BW2" i="5"/>
  <c r="CF25" i="5"/>
  <c r="BR4" i="5"/>
  <c r="BM4" i="5"/>
  <c r="BQ4" i="5"/>
  <c r="CA4" i="5"/>
  <c r="CA21" i="5"/>
  <c r="BS21" i="5"/>
  <c r="CK21" i="5"/>
  <c r="CD21" i="5"/>
  <c r="BV21" i="5"/>
  <c r="BM21" i="5"/>
  <c r="BJ21" i="5"/>
  <c r="BH21" i="5"/>
  <c r="BY21" i="5"/>
  <c r="BU21" i="5"/>
  <c r="BR21" i="5"/>
  <c r="CG21" i="5"/>
  <c r="BQ21" i="5"/>
  <c r="BA21" i="5"/>
  <c r="CF21" i="5"/>
  <c r="BW21" i="5"/>
  <c r="CC21" i="5"/>
  <c r="CI21" i="5"/>
  <c r="CE21" i="5"/>
  <c r="BG21" i="5"/>
  <c r="BK21" i="5"/>
  <c r="BI21" i="5"/>
  <c r="BF21" i="5"/>
  <c r="CA13" i="5"/>
  <c r="BS13" i="5"/>
  <c r="CK13" i="5"/>
  <c r="CD13" i="5"/>
  <c r="BV13" i="5"/>
  <c r="BM13" i="5"/>
  <c r="CI13" i="5"/>
  <c r="BH13" i="5"/>
  <c r="CG13" i="5"/>
  <c r="CF13" i="5"/>
  <c r="CE13" i="5"/>
  <c r="BW13" i="5"/>
  <c r="BT13" i="5"/>
  <c r="BQ13" i="5"/>
  <c r="CC13" i="5"/>
  <c r="BZ13" i="5"/>
  <c r="BX13" i="5"/>
  <c r="BR13" i="5"/>
  <c r="CJ13" i="5"/>
  <c r="BE13" i="5"/>
  <c r="BY13" i="5"/>
  <c r="CH13" i="5"/>
  <c r="BA13" i="5"/>
  <c r="CA5" i="5"/>
  <c r="BS5" i="5"/>
  <c r="CD5" i="5"/>
  <c r="BV5" i="5"/>
  <c r="BH5" i="5"/>
  <c r="BY5" i="5"/>
  <c r="BJ5" i="5"/>
  <c r="CK5" i="5"/>
  <c r="CG5" i="5"/>
  <c r="CF5" i="5"/>
  <c r="CE5" i="5"/>
  <c r="BU5" i="5"/>
  <c r="CC5" i="5"/>
  <c r="BW5" i="5"/>
  <c r="CI5" i="5"/>
  <c r="BT5" i="5"/>
  <c r="BK5" i="5"/>
  <c r="BM5" i="5"/>
  <c r="BG5" i="5"/>
  <c r="CE9" i="5"/>
  <c r="BW9" i="5"/>
  <c r="BR9" i="5"/>
  <c r="CC9" i="5"/>
  <c r="BS9" i="5"/>
  <c r="BM9" i="5"/>
  <c r="BK9" i="5"/>
  <c r="BH9" i="5"/>
  <c r="BY9" i="5"/>
  <c r="CI9" i="5"/>
  <c r="BV9" i="5"/>
  <c r="CD9" i="5"/>
  <c r="BQ9" i="5"/>
  <c r="CK9" i="5"/>
  <c r="CG9" i="5"/>
  <c r="BU9" i="5"/>
  <c r="BA9" i="5"/>
  <c r="BP9" i="5" s="1"/>
  <c r="AV9" i="5"/>
  <c r="BC9" i="5" s="1"/>
  <c r="CA9" i="5"/>
  <c r="CF9" i="5"/>
  <c r="BI9" i="5"/>
  <c r="BT9" i="5"/>
  <c r="BJ9" i="5"/>
  <c r="AU5" i="5"/>
  <c r="BN5" i="5" s="1"/>
  <c r="AX8" i="5"/>
  <c r="AX18" i="5"/>
  <c r="BD18" i="5" s="1"/>
  <c r="AZ15" i="5"/>
  <c r="BB9" i="5"/>
  <c r="BF5" i="5"/>
  <c r="BG13" i="5"/>
  <c r="BI5" i="5"/>
  <c r="BL13" i="5"/>
  <c r="BQ5" i="5"/>
  <c r="CF26" i="5"/>
  <c r="CF31" i="5" s="1"/>
  <c r="CF32" i="5" s="1"/>
  <c r="CE26" i="5"/>
  <c r="CE31" i="5" s="1"/>
  <c r="CE32" i="5" s="1"/>
  <c r="CA26" i="5"/>
  <c r="CA31" i="5" s="1"/>
  <c r="CA32" i="5" s="1"/>
  <c r="BS26" i="5"/>
  <c r="BS31" i="5" s="1"/>
  <c r="BS32" i="5" s="1"/>
  <c r="BV26" i="5"/>
  <c r="BV31" i="5" s="1"/>
  <c r="BV32" i="5" s="1"/>
  <c r="BM26" i="5"/>
  <c r="BM31" i="5" s="1"/>
  <c r="BM32" i="5" s="1"/>
  <c r="BE26" i="5"/>
  <c r="BE31" i="5" s="1"/>
  <c r="BE32" i="5" s="1"/>
  <c r="CK26" i="5"/>
  <c r="CK31" i="5" s="1"/>
  <c r="CK32" i="5" s="1"/>
  <c r="BJ26" i="5"/>
  <c r="BJ31" i="5" s="1"/>
  <c r="BJ32" i="5" s="1"/>
  <c r="BI26" i="5"/>
  <c r="BI31" i="5" s="1"/>
  <c r="BI32" i="5" s="1"/>
  <c r="BL26" i="5"/>
  <c r="BL31" i="5" s="1"/>
  <c r="BL32" i="5" s="1"/>
  <c r="BZ26" i="5"/>
  <c r="BZ31" i="5" s="1"/>
  <c r="BZ32" i="5" s="1"/>
  <c r="BT26" i="5"/>
  <c r="BT31" i="5" s="1"/>
  <c r="BT32" i="5" s="1"/>
  <c r="BG26" i="5"/>
  <c r="BG31" i="5" s="1"/>
  <c r="BG32" i="5" s="1"/>
  <c r="CH26" i="5"/>
  <c r="CH31" i="5" s="1"/>
  <c r="CH32" i="5" s="1"/>
  <c r="CD26" i="5"/>
  <c r="CD31" i="5" s="1"/>
  <c r="CD32" i="5" s="1"/>
  <c r="CG26" i="5"/>
  <c r="CG31" i="5" s="1"/>
  <c r="CG32" i="5" s="1"/>
  <c r="BQ26" i="5"/>
  <c r="BQ31" i="5" s="1"/>
  <c r="BQ32" i="5" s="1"/>
  <c r="BY26" i="5"/>
  <c r="BY31" i="5" s="1"/>
  <c r="BY32" i="5" s="1"/>
  <c r="BW26" i="5"/>
  <c r="BW31" i="5" s="1"/>
  <c r="BW32" i="5" s="1"/>
  <c r="BU26" i="5"/>
  <c r="BU31" i="5" s="1"/>
  <c r="BU32" i="5" s="1"/>
  <c r="AU26" i="5"/>
  <c r="CJ26" i="5"/>
  <c r="CJ31" i="5" s="1"/>
  <c r="CJ32" i="5" s="1"/>
  <c r="CC26" i="5"/>
  <c r="CC31" i="5" s="1"/>
  <c r="CC32" i="5" s="1"/>
  <c r="CI26" i="5"/>
  <c r="CI31" i="5" s="1"/>
  <c r="CI32" i="5" s="1"/>
  <c r="BR26" i="5"/>
  <c r="BR31" i="5" s="1"/>
  <c r="BR32" i="5" s="1"/>
  <c r="AY26" i="5"/>
  <c r="AY31" i="5" s="1"/>
  <c r="AY32" i="5" s="1"/>
  <c r="CD16" i="5"/>
  <c r="BV16" i="5"/>
  <c r="BQ16" i="5"/>
  <c r="CK16" i="5"/>
  <c r="CE16" i="5"/>
  <c r="BT16" i="5"/>
  <c r="BK16" i="5"/>
  <c r="AZ16" i="5"/>
  <c r="BT6" i="5"/>
  <c r="CE6" i="5"/>
  <c r="BW6" i="5"/>
  <c r="CK6" i="5"/>
  <c r="CF6" i="5"/>
  <c r="BI6" i="5"/>
  <c r="BA6" i="5"/>
  <c r="BP6" i="5" s="1"/>
  <c r="BU6" i="5"/>
  <c r="BR6" i="5"/>
  <c r="BE6" i="5"/>
  <c r="CA6" i="5"/>
  <c r="BQ6" i="5"/>
  <c r="BM6" i="5"/>
  <c r="CC6" i="5"/>
  <c r="BF6" i="5"/>
  <c r="BV6" i="5"/>
  <c r="BK6" i="5"/>
  <c r="AV6" i="5"/>
  <c r="BO6" i="5" s="1"/>
  <c r="BQ19" i="5"/>
  <c r="CF19" i="5"/>
  <c r="BT19" i="5"/>
  <c r="BJ19" i="5"/>
  <c r="CK19" i="5"/>
  <c r="BW19" i="5"/>
  <c r="BF19" i="5"/>
  <c r="CE19" i="5"/>
  <c r="BS19" i="5"/>
  <c r="BH19" i="5"/>
  <c r="BE19" i="5"/>
  <c r="CA19" i="5"/>
  <c r="BY19" i="5"/>
  <c r="CD19" i="5"/>
  <c r="AZ19" i="5"/>
  <c r="AU6" i="5"/>
  <c r="BN6" i="5" s="1"/>
  <c r="AY13" i="5"/>
  <c r="AZ14" i="5"/>
  <c r="BA26" i="5"/>
  <c r="BA31" i="5" s="1"/>
  <c r="BA32" i="5" s="1"/>
  <c r="BD6" i="5"/>
  <c r="BI25" i="5"/>
  <c r="BK26" i="5"/>
  <c r="BK31" i="5" s="1"/>
  <c r="BK32" i="5" s="1"/>
  <c r="BL10" i="5"/>
  <c r="BW11" i="5"/>
  <c r="AV13" i="5"/>
  <c r="BO13" i="5" s="1"/>
  <c r="AZ26" i="5"/>
  <c r="AZ31" i="5" s="1"/>
  <c r="AZ32" i="5" s="1"/>
  <c r="BF4" i="5"/>
  <c r="BI4" i="5"/>
  <c r="BI17" i="5"/>
  <c r="BK7" i="5"/>
  <c r="CF7" i="5"/>
  <c r="CE7" i="5"/>
  <c r="CK7" i="5"/>
  <c r="CG7" i="5"/>
  <c r="AU7" i="5"/>
  <c r="BN7" i="5" s="1"/>
  <c r="AU19" i="5"/>
  <c r="BB19" i="5" s="1"/>
  <c r="AV4" i="5"/>
  <c r="BC4" i="5" s="1"/>
  <c r="AV15" i="5"/>
  <c r="BO15" i="5" s="1"/>
  <c r="AV26" i="5"/>
  <c r="AX10" i="5"/>
  <c r="BP10" i="5" s="1"/>
  <c r="AX21" i="5"/>
  <c r="BD21" i="5" s="1"/>
  <c r="AZ13" i="5"/>
  <c r="BA11" i="5"/>
  <c r="BP11" i="5" s="1"/>
  <c r="BD19" i="5"/>
  <c r="BF18" i="5"/>
  <c r="BG2" i="5"/>
  <c r="BG9" i="5"/>
  <c r="BI3" i="5"/>
  <c r="BR14" i="5"/>
  <c r="BX26" i="5"/>
  <c r="BX31" i="5" s="1"/>
  <c r="BX32" i="5" s="1"/>
  <c r="AY21" i="5"/>
  <c r="AY11" i="5"/>
  <c r="AZ10" i="5"/>
  <c r="BE25" i="5"/>
  <c r="BE9" i="5"/>
  <c r="BF16" i="5"/>
  <c r="BI19" i="5"/>
  <c r="BM18" i="5"/>
  <c r="BN9" i="5"/>
  <c r="BR5" i="5"/>
  <c r="BU13" i="5"/>
  <c r="CG2" i="5"/>
  <c r="CF2" i="5"/>
  <c r="BT2" i="5"/>
  <c r="BJ2" i="5"/>
  <c r="BF2" i="5"/>
  <c r="CE2" i="5"/>
  <c r="BU2" i="5"/>
  <c r="BR2" i="5"/>
  <c r="CA2" i="5"/>
  <c r="BV2" i="5"/>
  <c r="CK2" i="5"/>
  <c r="BS2" i="5"/>
  <c r="CC2" i="5"/>
  <c r="AZ2" i="5"/>
  <c r="AV18" i="5"/>
  <c r="BO18" i="5" s="1"/>
  <c r="AX13" i="5"/>
  <c r="AX24" i="5"/>
  <c r="BD24" i="5" s="1"/>
  <c r="AY9" i="5"/>
  <c r="AZ9" i="5"/>
  <c r="BD16" i="5"/>
  <c r="BE5" i="5"/>
  <c r="BF14" i="5"/>
  <c r="BG6" i="5"/>
  <c r="BK13" i="5"/>
  <c r="BM11" i="5"/>
  <c r="CC15" i="5"/>
  <c r="BU15" i="5"/>
  <c r="BL15" i="5"/>
  <c r="BK15" i="5"/>
  <c r="CF15" i="5"/>
  <c r="CJ15" i="5"/>
  <c r="BV15" i="5"/>
  <c r="BS15" i="5"/>
  <c r="BM15" i="5"/>
  <c r="CH15" i="5"/>
  <c r="BF15" i="5"/>
  <c r="BG15" i="5"/>
  <c r="BD15" i="5"/>
  <c r="CI15" i="5"/>
  <c r="CE15" i="5"/>
  <c r="BT15" i="5"/>
  <c r="BR15" i="5"/>
  <c r="BZ15" i="5"/>
  <c r="CD15" i="5"/>
  <c r="CK15" i="5"/>
  <c r="BQ15" i="5"/>
  <c r="CG15" i="5"/>
  <c r="BY15" i="5"/>
  <c r="BW15" i="5"/>
  <c r="AU15" i="5"/>
  <c r="BB15" i="5" s="1"/>
  <c r="AZ21" i="5"/>
  <c r="BG19" i="5"/>
  <c r="CJ10" i="5"/>
  <c r="CF10" i="5"/>
  <c r="CH10" i="5"/>
  <c r="CE10" i="5"/>
  <c r="CA10" i="5"/>
  <c r="BS10" i="5"/>
  <c r="BY10" i="5"/>
  <c r="BJ10" i="5"/>
  <c r="BE10" i="5"/>
  <c r="BV10" i="5"/>
  <c r="BI10" i="5"/>
  <c r="CI10" i="5"/>
  <c r="BU10" i="5"/>
  <c r="BR10" i="5"/>
  <c r="BT10" i="5"/>
  <c r="BZ10" i="5"/>
  <c r="CD10" i="5"/>
  <c r="BQ10" i="5"/>
  <c r="BW10" i="5"/>
  <c r="BG10" i="5"/>
  <c r="AU10" i="5"/>
  <c r="BN10" i="5" s="1"/>
  <c r="CK10" i="5"/>
  <c r="CG10" i="5"/>
  <c r="BX10" i="5"/>
  <c r="CC10" i="5"/>
  <c r="BF10" i="5"/>
  <c r="AY10" i="5"/>
  <c r="CI3" i="5"/>
  <c r="CG3" i="5"/>
  <c r="BY3" i="5"/>
  <c r="CF3" i="5"/>
  <c r="BT3" i="5"/>
  <c r="BJ3" i="5"/>
  <c r="BM3" i="5"/>
  <c r="BK3" i="5"/>
  <c r="BF3" i="5"/>
  <c r="BW3" i="5"/>
  <c r="BS3" i="5"/>
  <c r="CA3" i="5"/>
  <c r="BH3" i="5"/>
  <c r="BE3" i="5"/>
  <c r="CE3" i="5"/>
  <c r="CD3" i="5"/>
  <c r="BG3" i="5"/>
  <c r="BA3" i="5"/>
  <c r="BP3" i="5" s="1"/>
  <c r="AY3" i="5"/>
  <c r="AY19" i="5"/>
  <c r="BA19" i="5"/>
  <c r="BP19" i="5" s="1"/>
  <c r="BE21" i="5"/>
  <c r="BE4" i="5"/>
  <c r="BF13" i="5"/>
  <c r="BI15" i="5"/>
  <c r="BJ15" i="5"/>
  <c r="BK11" i="5"/>
  <c r="BM10" i="5"/>
  <c r="BV19" i="5"/>
  <c r="AT23" i="5"/>
  <c r="BZ12" i="5"/>
  <c r="CJ12" i="5"/>
  <c r="CI12" i="5"/>
  <c r="CG12" i="5"/>
  <c r="CC12" i="5"/>
  <c r="BU12" i="5"/>
  <c r="BL12" i="5"/>
  <c r="BK12" i="5"/>
  <c r="CD12" i="5"/>
  <c r="BJ12" i="5"/>
  <c r="BI12" i="5"/>
  <c r="BF12" i="5"/>
  <c r="CE12" i="5"/>
  <c r="BV12" i="5"/>
  <c r="BQ12" i="5"/>
  <c r="BW12" i="5"/>
  <c r="CF12" i="5"/>
  <c r="BA12" i="5"/>
  <c r="BP12" i="5" s="1"/>
  <c r="AZ12" i="5"/>
  <c r="AU3" i="5"/>
  <c r="BN3" i="5" s="1"/>
  <c r="AU13" i="5"/>
  <c r="BN13" i="5" s="1"/>
  <c r="AV10" i="5"/>
  <c r="BO10" i="5" s="1"/>
  <c r="AX5" i="5"/>
  <c r="AX26" i="5"/>
  <c r="AY6" i="5"/>
  <c r="AZ18" i="5"/>
  <c r="AZ6" i="5"/>
  <c r="BA18" i="5"/>
  <c r="BA5" i="5"/>
  <c r="BD11" i="5"/>
  <c r="BF26" i="5"/>
  <c r="BF31" i="5" s="1"/>
  <c r="BF32" i="5" s="1"/>
  <c r="BF9" i="5"/>
  <c r="BG18" i="5"/>
  <c r="BH26" i="5"/>
  <c r="BH31" i="5" s="1"/>
  <c r="BH32" i="5" s="1"/>
  <c r="BH10" i="5"/>
  <c r="BI13" i="5"/>
  <c r="BJ13" i="5"/>
  <c r="BK10" i="5"/>
  <c r="BS6" i="5"/>
  <c r="BV11" i="5"/>
  <c r="CL29" i="5"/>
  <c r="CL30" i="5" s="1"/>
  <c r="CM29" i="5"/>
  <c r="CM30" i="5" s="1"/>
  <c r="C12" i="7"/>
  <c r="G63" i="12" s="1"/>
  <c r="I63" i="12" s="1"/>
  <c r="C13" i="7"/>
  <c r="C14" i="7"/>
  <c r="E51" i="9"/>
  <c r="G63" i="13" l="1"/>
  <c r="I63" i="13" s="1"/>
  <c r="BH6" i="5"/>
  <c r="CD6" i="5"/>
  <c r="CG6" i="5"/>
  <c r="AY4" i="5"/>
  <c r="CK4" i="5"/>
  <c r="BY6" i="5"/>
  <c r="CI6" i="5"/>
  <c r="AS40" i="5"/>
  <c r="AS41" i="5" s="1"/>
  <c r="AY2" i="5"/>
  <c r="BG16" i="5"/>
  <c r="AY14" i="5"/>
  <c r="BI2" i="5"/>
  <c r="BD2" i="5"/>
  <c r="BE15" i="5"/>
  <c r="BR25" i="5"/>
  <c r="CF4" i="5"/>
  <c r="BZ25" i="5"/>
  <c r="BU14" i="5"/>
  <c r="BP8" i="5"/>
  <c r="CD4" i="5"/>
  <c r="CC4" i="5"/>
  <c r="CE4" i="5"/>
  <c r="CG4" i="5"/>
  <c r="BY4" i="5"/>
  <c r="AU4" i="5"/>
  <c r="BN4" i="5" s="1"/>
  <c r="BB21" i="5"/>
  <c r="BW25" i="5"/>
  <c r="BW7" i="5"/>
  <c r="AV25" i="5"/>
  <c r="BO25" i="5" s="1"/>
  <c r="BH2" i="5"/>
  <c r="BD3" i="5"/>
  <c r="BV3" i="5"/>
  <c r="BQ3" i="5"/>
  <c r="AY15" i="5"/>
  <c r="CA15" i="5"/>
  <c r="BX15" i="5"/>
  <c r="BI16" i="5"/>
  <c r="CD2" i="5"/>
  <c r="BQ2" i="5"/>
  <c r="BH16" i="5"/>
  <c r="AZ25" i="5"/>
  <c r="BH7" i="5"/>
  <c r="BM19" i="5"/>
  <c r="BK19" i="5"/>
  <c r="CI19" i="5"/>
  <c r="BJ16" i="5"/>
  <c r="BS4" i="5"/>
  <c r="BQ25" i="5"/>
  <c r="BL14" i="5"/>
  <c r="BY7" i="5"/>
  <c r="BT4" i="5"/>
  <c r="BS16" i="5"/>
  <c r="BR16" i="5"/>
  <c r="BA15" i="5"/>
  <c r="BP15" i="5" s="1"/>
  <c r="BA4" i="5"/>
  <c r="BP4" i="5" s="1"/>
  <c r="BV4" i="5"/>
  <c r="BH25" i="5"/>
  <c r="AY16" i="5"/>
  <c r="BK14" i="5"/>
  <c r="BE7" i="5"/>
  <c r="BS7" i="5"/>
  <c r="BU7" i="5"/>
  <c r="BW16" i="5"/>
  <c r="CG16" i="5"/>
  <c r="CD11" i="5"/>
  <c r="CI7" i="5"/>
  <c r="BF7" i="5"/>
  <c r="BH17" i="5"/>
  <c r="AV16" i="5"/>
  <c r="BO16" i="5" s="1"/>
  <c r="BB16" i="5"/>
  <c r="BZ16" i="5" s="1"/>
  <c r="BE11" i="5"/>
  <c r="BR7" i="5"/>
  <c r="CA7" i="5"/>
  <c r="CC16" i="5"/>
  <c r="CI16" i="5"/>
  <c r="BT12" i="5"/>
  <c r="BV20" i="5"/>
  <c r="BE16" i="5"/>
  <c r="BU11" i="5"/>
  <c r="BC5" i="5"/>
  <c r="AY7" i="5"/>
  <c r="CD7" i="5"/>
  <c r="BG11" i="5"/>
  <c r="BU16" i="5"/>
  <c r="CA16" i="5"/>
  <c r="BM16" i="5"/>
  <c r="CG11" i="5"/>
  <c r="AS29" i="5"/>
  <c r="AS30" i="5" s="1"/>
  <c r="D4" i="10" s="1"/>
  <c r="BT17" i="5"/>
  <c r="BA17" i="5"/>
  <c r="BP17" i="5" s="1"/>
  <c r="CD17" i="5"/>
  <c r="CK17" i="5"/>
  <c r="BT20" i="5"/>
  <c r="BP13" i="5"/>
  <c r="BF17" i="5"/>
  <c r="CF17" i="5"/>
  <c r="CE17" i="5"/>
  <c r="BM20" i="5"/>
  <c r="CD25" i="5"/>
  <c r="BL25" i="5"/>
  <c r="CC11" i="5"/>
  <c r="CE20" i="5"/>
  <c r="BV17" i="5"/>
  <c r="BB20" i="5"/>
  <c r="CI17" i="5"/>
  <c r="BD17" i="5"/>
  <c r="BH20" i="5"/>
  <c r="BW20" i="5"/>
  <c r="CC20" i="5"/>
  <c r="BK25" i="5"/>
  <c r="BJ11" i="5"/>
  <c r="CC17" i="5"/>
  <c r="CG20" i="5"/>
  <c r="H16" i="10"/>
  <c r="AY17" i="5"/>
  <c r="BS17" i="5"/>
  <c r="BQ17" i="5"/>
  <c r="BR17" i="5"/>
  <c r="BQ20" i="5"/>
  <c r="BY20" i="5"/>
  <c r="BN20" i="5"/>
  <c r="BI20" i="5"/>
  <c r="CK20" i="5"/>
  <c r="BU17" i="5"/>
  <c r="BE17" i="5"/>
  <c r="CA17" i="5"/>
  <c r="BF20" i="5"/>
  <c r="BE20" i="5"/>
  <c r="AY20" i="5"/>
  <c r="BJ20" i="5"/>
  <c r="AV17" i="5"/>
  <c r="BC17" i="5" s="1"/>
  <c r="BY17" i="5"/>
  <c r="M12" i="13"/>
  <c r="K17" i="10"/>
  <c r="M10" i="13"/>
  <c r="M38" i="13" s="1"/>
  <c r="K15" i="10"/>
  <c r="F10" i="13"/>
  <c r="D15" i="10"/>
  <c r="D18" i="10" s="1"/>
  <c r="D21" i="10" s="1"/>
  <c r="E17" i="10"/>
  <c r="G12" i="13"/>
  <c r="I12" i="13"/>
  <c r="I40" i="13" s="1"/>
  <c r="G17" i="10"/>
  <c r="I15" i="10"/>
  <c r="K10" i="13"/>
  <c r="AB11" i="13"/>
  <c r="AB45" i="13" s="1"/>
  <c r="AA11" i="13"/>
  <c r="J11" i="13"/>
  <c r="G39" i="13"/>
  <c r="L10" i="13"/>
  <c r="J15" i="10"/>
  <c r="G10" i="13"/>
  <c r="E15" i="10"/>
  <c r="G15" i="10"/>
  <c r="I10" i="13"/>
  <c r="L12" i="13"/>
  <c r="J17" i="10"/>
  <c r="CB6" i="5"/>
  <c r="F75" i="13"/>
  <c r="F80" i="13" s="1"/>
  <c r="BO26" i="5"/>
  <c r="BO31" i="5" s="1"/>
  <c r="BO32" i="5" s="1"/>
  <c r="AV31" i="5"/>
  <c r="AV32" i="5" s="1"/>
  <c r="BB4" i="5"/>
  <c r="BZ4" i="5" s="1"/>
  <c r="CD20" i="5"/>
  <c r="BU20" i="5"/>
  <c r="AZ4" i="5"/>
  <c r="BD4" i="5"/>
  <c r="CB4" i="5" s="1"/>
  <c r="BU4" i="5"/>
  <c r="CJ25" i="5"/>
  <c r="CC25" i="5"/>
  <c r="CD14" i="5"/>
  <c r="AY25" i="5"/>
  <c r="AZ20" i="5"/>
  <c r="BR20" i="5"/>
  <c r="BJ4" i="5"/>
  <c r="BG4" i="5"/>
  <c r="CI4" i="5"/>
  <c r="BJ25" i="5"/>
  <c r="CK25" i="5"/>
  <c r="BZ14" i="5"/>
  <c r="BD26" i="5"/>
  <c r="BD31" i="5" s="1"/>
  <c r="BD32" i="5" s="1"/>
  <c r="AX31" i="5"/>
  <c r="AX32" i="5" s="1"/>
  <c r="BB26" i="5"/>
  <c r="BB31" i="5" s="1"/>
  <c r="BB32" i="5" s="1"/>
  <c r="AU31" i="5"/>
  <c r="AU32" i="5" s="1"/>
  <c r="BG20" i="5"/>
  <c r="BW4" i="5"/>
  <c r="BK4" i="5"/>
  <c r="CA25" i="5"/>
  <c r="CG25" i="5"/>
  <c r="BQ14" i="5"/>
  <c r="AU25" i="5"/>
  <c r="BN25" i="5" s="1"/>
  <c r="BD12" i="5"/>
  <c r="CB12" i="5" s="1"/>
  <c r="BA16" i="5"/>
  <c r="BP16" i="5" s="1"/>
  <c r="CB16" i="5" s="1"/>
  <c r="CH14" i="5"/>
  <c r="BD20" i="5"/>
  <c r="CF20" i="5"/>
  <c r="BT25" i="5"/>
  <c r="BM25" i="5"/>
  <c r="BY25" i="5"/>
  <c r="BF25" i="5"/>
  <c r="AV11" i="5"/>
  <c r="BO11" i="5" s="1"/>
  <c r="BT11" i="5"/>
  <c r="BS14" i="5"/>
  <c r="AV20" i="5"/>
  <c r="BC20" i="5" s="1"/>
  <c r="BX12" i="5"/>
  <c r="BG12" i="5"/>
  <c r="BR12" i="5"/>
  <c r="BH11" i="5"/>
  <c r="AZ3" i="5"/>
  <c r="BR3" i="5"/>
  <c r="CC3" i="5"/>
  <c r="CK3" i="5"/>
  <c r="AV19" i="5"/>
  <c r="BO19" i="5" s="1"/>
  <c r="AU2" i="5"/>
  <c r="BB2" i="5" s="1"/>
  <c r="BY2" i="5"/>
  <c r="CI2" i="5"/>
  <c r="BU19" i="5"/>
  <c r="BE2" i="5"/>
  <c r="BV7" i="5"/>
  <c r="BT7" i="5"/>
  <c r="BM7" i="5"/>
  <c r="BM17" i="5"/>
  <c r="CG17" i="5"/>
  <c r="BW17" i="5"/>
  <c r="AV3" i="5"/>
  <c r="BC3" i="5" s="1"/>
  <c r="BA14" i="5"/>
  <c r="BP14" i="5" s="1"/>
  <c r="BR19" i="5"/>
  <c r="CC19" i="5"/>
  <c r="CF16" i="5"/>
  <c r="BY16" i="5"/>
  <c r="BK2" i="5"/>
  <c r="BA2" i="5"/>
  <c r="BP2" i="5" s="1"/>
  <c r="BA20" i="5"/>
  <c r="BP20" i="5" s="1"/>
  <c r="BS20" i="5"/>
  <c r="CI20" i="5"/>
  <c r="BU25" i="5"/>
  <c r="BD25" i="5"/>
  <c r="BX25" i="5"/>
  <c r="CA11" i="5"/>
  <c r="BD14" i="5"/>
  <c r="BT14" i="5"/>
  <c r="BF11" i="5"/>
  <c r="AV14" i="5"/>
  <c r="BI14" i="5"/>
  <c r="AX29" i="5"/>
  <c r="AX30" i="5" s="1"/>
  <c r="BI7" i="5"/>
  <c r="BQ7" i="5"/>
  <c r="CC7" i="5"/>
  <c r="BB5" i="5"/>
  <c r="BZ5" i="5" s="1"/>
  <c r="AV2" i="5"/>
  <c r="CA20" i="5"/>
  <c r="BK20" i="5"/>
  <c r="BG25" i="5"/>
  <c r="CH25" i="5"/>
  <c r="BS25" i="5"/>
  <c r="CE25" i="5"/>
  <c r="AZ17" i="5"/>
  <c r="BI11" i="5"/>
  <c r="BY11" i="5"/>
  <c r="CI14" i="5"/>
  <c r="BO24" i="5"/>
  <c r="BR11" i="5"/>
  <c r="CK11" i="5"/>
  <c r="BH14" i="5"/>
  <c r="BE14" i="5"/>
  <c r="CE14" i="5"/>
  <c r="BN26" i="5"/>
  <c r="BN31" i="5" s="1"/>
  <c r="BN32" i="5" s="1"/>
  <c r="BC26" i="5"/>
  <c r="BC31" i="5" s="1"/>
  <c r="BC32" i="5" s="1"/>
  <c r="BS11" i="5"/>
  <c r="CF11" i="5"/>
  <c r="CA14" i="5"/>
  <c r="BM14" i="5"/>
  <c r="BX14" i="5"/>
  <c r="BS12" i="5"/>
  <c r="BE12" i="5"/>
  <c r="BB11" i="5"/>
  <c r="BZ11" i="5" s="1"/>
  <c r="BY14" i="5"/>
  <c r="BV14" i="5"/>
  <c r="CC14" i="5"/>
  <c r="AU14" i="5"/>
  <c r="CG14" i="5"/>
  <c r="CJ14" i="5"/>
  <c r="BW14" i="5"/>
  <c r="BX6" i="5"/>
  <c r="BA25" i="5"/>
  <c r="BP25" i="5" s="1"/>
  <c r="BV25" i="5"/>
  <c r="AZ11" i="5"/>
  <c r="CE11" i="5"/>
  <c r="BQ11" i="5"/>
  <c r="BG14" i="5"/>
  <c r="CF14" i="5"/>
  <c r="CK14" i="5"/>
  <c r="BK17" i="5"/>
  <c r="AU17" i="5"/>
  <c r="BB24" i="5"/>
  <c r="BJ17" i="5"/>
  <c r="BD10" i="5"/>
  <c r="CB10" i="5" s="1"/>
  <c r="CB15" i="5"/>
  <c r="BO8" i="5"/>
  <c r="BC6" i="5"/>
  <c r="BC21" i="5"/>
  <c r="AU12" i="5"/>
  <c r="BC13" i="5"/>
  <c r="AV12" i="5"/>
  <c r="BH12" i="5"/>
  <c r="G11" i="12"/>
  <c r="E5" i="10"/>
  <c r="BC10" i="5"/>
  <c r="BB6" i="5"/>
  <c r="BZ6" i="5" s="1"/>
  <c r="BP18" i="5"/>
  <c r="CB18" i="5" s="1"/>
  <c r="AT29" i="5"/>
  <c r="AT30" i="5" s="1"/>
  <c r="BP26" i="5"/>
  <c r="BB3" i="5"/>
  <c r="BZ3" i="5" s="1"/>
  <c r="BB18" i="5"/>
  <c r="BZ18" i="5" s="1"/>
  <c r="BD7" i="5"/>
  <c r="BA7" i="5"/>
  <c r="BP7" i="5" s="1"/>
  <c r="AZ7" i="5"/>
  <c r="BG7" i="5"/>
  <c r="AV7" i="5"/>
  <c r="I11" i="12"/>
  <c r="I39" i="12" s="1"/>
  <c r="AB39" i="12" s="1"/>
  <c r="G5" i="10"/>
  <c r="CB17" i="5"/>
  <c r="BL16" i="5"/>
  <c r="BL21" i="5"/>
  <c r="BZ9" i="5"/>
  <c r="BZ21" i="5"/>
  <c r="BX2" i="5"/>
  <c r="F75" i="12"/>
  <c r="F80" i="12" s="1"/>
  <c r="BX8" i="5"/>
  <c r="CB3" i="5"/>
  <c r="CB19" i="5"/>
  <c r="CB11" i="5"/>
  <c r="BX16" i="5"/>
  <c r="BL3" i="5"/>
  <c r="BO9" i="5"/>
  <c r="BB13" i="5"/>
  <c r="BP21" i="5"/>
  <c r="BC18" i="5"/>
  <c r="BD8" i="5"/>
  <c r="BL8" i="5" s="1"/>
  <c r="BB7" i="5"/>
  <c r="BZ7" i="5" s="1"/>
  <c r="BL9" i="5"/>
  <c r="CB9" i="5"/>
  <c r="BD13" i="5"/>
  <c r="CB13" i="5" s="1"/>
  <c r="BO4" i="5"/>
  <c r="BB10" i="5"/>
  <c r="BN8" i="5"/>
  <c r="BZ8" i="5" s="1"/>
  <c r="CC23" i="5"/>
  <c r="BU23" i="5"/>
  <c r="BK23" i="5"/>
  <c r="CF23" i="5"/>
  <c r="CD23" i="5"/>
  <c r="CA23" i="5"/>
  <c r="BQ23" i="5"/>
  <c r="BF23" i="5"/>
  <c r="CI23" i="5"/>
  <c r="CK23" i="5"/>
  <c r="BM23" i="5"/>
  <c r="BI23" i="5"/>
  <c r="CG23" i="5"/>
  <c r="BY23" i="5"/>
  <c r="BS23" i="5"/>
  <c r="BW23" i="5"/>
  <c r="AY23" i="5"/>
  <c r="CE23" i="5"/>
  <c r="BT23" i="5"/>
  <c r="BJ23" i="5"/>
  <c r="BV23" i="5"/>
  <c r="AU23" i="5"/>
  <c r="BN23" i="5" s="1"/>
  <c r="BE23" i="5"/>
  <c r="BG23" i="5"/>
  <c r="BA23" i="5"/>
  <c r="BP23" i="5" s="1"/>
  <c r="AZ23" i="5"/>
  <c r="BR23" i="5"/>
  <c r="BD23" i="5"/>
  <c r="AV23" i="5"/>
  <c r="BC23" i="5" s="1"/>
  <c r="BH23" i="5"/>
  <c r="BC15" i="5"/>
  <c r="BP5" i="5"/>
  <c r="BD5" i="5"/>
  <c r="BL5" i="5" s="1"/>
  <c r="BN19" i="5"/>
  <c r="BZ19" i="5" s="1"/>
  <c r="BL18" i="5"/>
  <c r="BP24" i="5"/>
  <c r="CB24" i="5" s="1"/>
  <c r="BN15" i="5"/>
  <c r="BL19" i="5"/>
  <c r="BT22" i="5"/>
  <c r="BJ22" i="5"/>
  <c r="CE22" i="5"/>
  <c r="BW22" i="5"/>
  <c r="BY22" i="5"/>
  <c r="BU22" i="5"/>
  <c r="BR22" i="5"/>
  <c r="BI22" i="5"/>
  <c r="BE22" i="5"/>
  <c r="CD22" i="5"/>
  <c r="BK22" i="5"/>
  <c r="BF22" i="5"/>
  <c r="CG22" i="5"/>
  <c r="CF22" i="5"/>
  <c r="CA22" i="5"/>
  <c r="CC22" i="5"/>
  <c r="BV22" i="5"/>
  <c r="CK22" i="5"/>
  <c r="BM22" i="5"/>
  <c r="AV22" i="5"/>
  <c r="BO22" i="5" s="1"/>
  <c r="BQ22" i="5"/>
  <c r="AU22" i="5"/>
  <c r="BS22" i="5"/>
  <c r="BG22" i="5"/>
  <c r="BA22" i="5"/>
  <c r="BP22" i="5" s="1"/>
  <c r="AZ22" i="5"/>
  <c r="CI22" i="5"/>
  <c r="AY22" i="5"/>
  <c r="BD22" i="5"/>
  <c r="BH22" i="5"/>
  <c r="CB2" i="5"/>
  <c r="BL6" i="5"/>
  <c r="BX9" i="5"/>
  <c r="D14" i="7"/>
  <c r="BC16" i="5" l="1"/>
  <c r="BX3" i="5"/>
  <c r="BX4" i="5"/>
  <c r="BC25" i="5"/>
  <c r="F10" i="12"/>
  <c r="BL20" i="5"/>
  <c r="AY40" i="5"/>
  <c r="AY41" i="5" s="1"/>
  <c r="AV40" i="5"/>
  <c r="AV41" i="5" s="1"/>
  <c r="BX17" i="5"/>
  <c r="CB25" i="5"/>
  <c r="BC11" i="5"/>
  <c r="BK29" i="5"/>
  <c r="BK30" i="5" s="1"/>
  <c r="BN2" i="5"/>
  <c r="BZ2" i="5" s="1"/>
  <c r="K18" i="10"/>
  <c r="BZ20" i="5"/>
  <c r="BL4" i="5"/>
  <c r="BB25" i="5"/>
  <c r="L17" i="10"/>
  <c r="AU29" i="5"/>
  <c r="AU30" i="5" s="1"/>
  <c r="AY29" i="5"/>
  <c r="AY30" i="5" s="1"/>
  <c r="G10" i="12" s="1"/>
  <c r="BO17" i="5"/>
  <c r="CB14" i="5"/>
  <c r="BL2" i="5"/>
  <c r="BS29" i="5"/>
  <c r="BS30" i="5" s="1"/>
  <c r="BO20" i="5"/>
  <c r="BC19" i="5"/>
  <c r="I38" i="13"/>
  <c r="I13" i="13"/>
  <c r="AB10" i="13"/>
  <c r="CF29" i="5"/>
  <c r="CF30" i="5" s="1"/>
  <c r="G18" i="10"/>
  <c r="F38" i="13"/>
  <c r="F41" i="13" s="1"/>
  <c r="F13" i="13"/>
  <c r="F16" i="13" s="1"/>
  <c r="F15" i="10"/>
  <c r="H15" i="10" s="1"/>
  <c r="H10" i="13"/>
  <c r="F17" i="10"/>
  <c r="H12" i="13"/>
  <c r="H40" i="13" s="1"/>
  <c r="G38" i="13"/>
  <c r="G13" i="13"/>
  <c r="AA10" i="13"/>
  <c r="J18" i="10"/>
  <c r="L15" i="10"/>
  <c r="L18" i="10" s="1"/>
  <c r="N10" i="13"/>
  <c r="L38" i="13"/>
  <c r="L13" i="13"/>
  <c r="BX7" i="5"/>
  <c r="BL11" i="5"/>
  <c r="AA39" i="13"/>
  <c r="J39" i="13"/>
  <c r="G40" i="13"/>
  <c r="M13" i="13"/>
  <c r="M40" i="13"/>
  <c r="M41" i="13" s="1"/>
  <c r="N12" i="13"/>
  <c r="L40" i="13"/>
  <c r="E18" i="10"/>
  <c r="CB20" i="5"/>
  <c r="BW29" i="5"/>
  <c r="BW30" i="5" s="1"/>
  <c r="CG29" i="5"/>
  <c r="CG30" i="5" s="1"/>
  <c r="BX19" i="5"/>
  <c r="BF29" i="5"/>
  <c r="BF30" i="5" s="1"/>
  <c r="BX11" i="5"/>
  <c r="BJ29" i="5"/>
  <c r="BJ30" i="5" s="1"/>
  <c r="BT29" i="5"/>
  <c r="BT30" i="5" s="1"/>
  <c r="CB26" i="5"/>
  <c r="CB31" i="5" s="1"/>
  <c r="CB32" i="5" s="1"/>
  <c r="BP31" i="5"/>
  <c r="BP32" i="5" s="1"/>
  <c r="BY12" i="5"/>
  <c r="BY29" i="5" s="1"/>
  <c r="BY30" i="5" s="1"/>
  <c r="BI29" i="5"/>
  <c r="BI30" i="5" s="1"/>
  <c r="BM12" i="5"/>
  <c r="BM29" i="5" s="1"/>
  <c r="BM30" i="5" s="1"/>
  <c r="I12" i="12" s="1"/>
  <c r="I40" i="12" s="1"/>
  <c r="BE29" i="5"/>
  <c r="BE30" i="5" s="1"/>
  <c r="CE29" i="5"/>
  <c r="CE30" i="5" s="1"/>
  <c r="BL7" i="5"/>
  <c r="BQ29" i="5"/>
  <c r="BQ30" i="5" s="1"/>
  <c r="BX20" i="5"/>
  <c r="BO3" i="5"/>
  <c r="BL17" i="5"/>
  <c r="BO2" i="5"/>
  <c r="BC2" i="5"/>
  <c r="BO14" i="5"/>
  <c r="BC14" i="5"/>
  <c r="BN14" i="5"/>
  <c r="BB14" i="5"/>
  <c r="CB23" i="5"/>
  <c r="AZ29" i="5"/>
  <c r="AZ30" i="5" s="1"/>
  <c r="E6" i="10" s="1"/>
  <c r="BA29" i="5"/>
  <c r="BA30" i="5" s="1"/>
  <c r="I4" i="10" s="1"/>
  <c r="BV29" i="5"/>
  <c r="BV30" i="5" s="1"/>
  <c r="CB7" i="5"/>
  <c r="BH29" i="5"/>
  <c r="BH30" i="5" s="1"/>
  <c r="BU29" i="5"/>
  <c r="BU30" i="5" s="1"/>
  <c r="BR29" i="5"/>
  <c r="BR30" i="5" s="1"/>
  <c r="BN17" i="5"/>
  <c r="BB17" i="5"/>
  <c r="CD29" i="5"/>
  <c r="CD30" i="5" s="1"/>
  <c r="BN12" i="5"/>
  <c r="BB12" i="5"/>
  <c r="BO12" i="5"/>
  <c r="BC12" i="5"/>
  <c r="CI29" i="5"/>
  <c r="CI30" i="5" s="1"/>
  <c r="CC29" i="5"/>
  <c r="CC30" i="5" s="1"/>
  <c r="BC7" i="5"/>
  <c r="BO7" i="5"/>
  <c r="F38" i="12"/>
  <c r="BX18" i="5"/>
  <c r="F12" i="12"/>
  <c r="F40" i="12" s="1"/>
  <c r="D6" i="10"/>
  <c r="D7" i="10" s="1"/>
  <c r="D10" i="10" s="1"/>
  <c r="H5" i="10"/>
  <c r="AB11" i="12"/>
  <c r="AB45" i="12" s="1"/>
  <c r="AA11" i="12"/>
  <c r="J11" i="12"/>
  <c r="G39" i="12"/>
  <c r="BP29" i="5"/>
  <c r="BP30" i="5" s="1"/>
  <c r="BG29" i="5"/>
  <c r="BG30" i="5" s="1"/>
  <c r="BO23" i="5"/>
  <c r="BD29" i="5"/>
  <c r="BD30" i="5" s="1"/>
  <c r="AV29" i="5"/>
  <c r="AV30" i="5" s="1"/>
  <c r="BB22" i="5"/>
  <c r="BB23" i="5"/>
  <c r="BZ23" i="5" s="1"/>
  <c r="CB21" i="5"/>
  <c r="BX21" i="5"/>
  <c r="BN22" i="5"/>
  <c r="BL22" i="5"/>
  <c r="CB22" i="5"/>
  <c r="BX22" i="5"/>
  <c r="BC22" i="5"/>
  <c r="CB8" i="5"/>
  <c r="CB5" i="5"/>
  <c r="BX5" i="5"/>
  <c r="BX23" i="5"/>
  <c r="BL23" i="5"/>
  <c r="BL29" i="5" s="1"/>
  <c r="BL30" i="5" s="1"/>
  <c r="AB10" i="9"/>
  <c r="BA40" i="5" l="1"/>
  <c r="AW40" i="5"/>
  <c r="AW41" i="5" s="1"/>
  <c r="E4" i="10"/>
  <c r="E7" i="10" s="1"/>
  <c r="AX40" i="5"/>
  <c r="AZ40" i="5"/>
  <c r="AZ41" i="5" s="1"/>
  <c r="N13" i="13"/>
  <c r="AC10" i="13"/>
  <c r="J40" i="13"/>
  <c r="BC29" i="5"/>
  <c r="BC30" i="5" s="1"/>
  <c r="F6" i="10" s="1"/>
  <c r="N38" i="13"/>
  <c r="L41" i="13"/>
  <c r="N41" i="13" s="1"/>
  <c r="AA38" i="13"/>
  <c r="G41" i="13"/>
  <c r="J12" i="13"/>
  <c r="F18" i="10"/>
  <c r="H18" i="10" s="1"/>
  <c r="E20" i="10" s="1"/>
  <c r="H17" i="10"/>
  <c r="AA45" i="13"/>
  <c r="AC45" i="13" s="1"/>
  <c r="AC39" i="13"/>
  <c r="H13" i="13"/>
  <c r="J13" i="13" s="1"/>
  <c r="G15" i="13" s="1"/>
  <c r="H38" i="13"/>
  <c r="H41" i="13" s="1"/>
  <c r="AB38" i="13"/>
  <c r="AB44" i="13" s="1"/>
  <c r="I41" i="13"/>
  <c r="N40" i="13"/>
  <c r="J10" i="13"/>
  <c r="F43" i="13"/>
  <c r="F45" i="13"/>
  <c r="F44" i="13"/>
  <c r="BN29" i="5"/>
  <c r="BN30" i="5" s="1"/>
  <c r="G12" i="12"/>
  <c r="G40" i="12" s="1"/>
  <c r="K10" i="12"/>
  <c r="CB29" i="5"/>
  <c r="CB30" i="5" s="1"/>
  <c r="BO29" i="5"/>
  <c r="BO30" i="5" s="1"/>
  <c r="BX29" i="5"/>
  <c r="BX30" i="5" s="1"/>
  <c r="BB29" i="5"/>
  <c r="BB30" i="5" s="1"/>
  <c r="F4" i="10" s="1"/>
  <c r="BZ17" i="5"/>
  <c r="F41" i="12"/>
  <c r="F43" i="12" s="1"/>
  <c r="CA12" i="5"/>
  <c r="CA29" i="5" s="1"/>
  <c r="CA30" i="5" s="1"/>
  <c r="L12" i="12" s="1"/>
  <c r="G6" i="10"/>
  <c r="AA39" i="12"/>
  <c r="J39" i="12"/>
  <c r="F13" i="12"/>
  <c r="F16" i="12" s="1"/>
  <c r="AA10" i="12"/>
  <c r="G38" i="12"/>
  <c r="G13" i="12"/>
  <c r="G4" i="10"/>
  <c r="G7" i="10" s="1"/>
  <c r="I10" i="12"/>
  <c r="BZ22" i="5"/>
  <c r="AA11" i="9"/>
  <c r="AC11" i="9"/>
  <c r="AA10" i="9"/>
  <c r="BA41" i="5" l="1"/>
  <c r="M8" i="11"/>
  <c r="AX41" i="5"/>
  <c r="J8" i="11"/>
  <c r="H15" i="13"/>
  <c r="H16" i="13" s="1"/>
  <c r="F45" i="12"/>
  <c r="H6" i="10"/>
  <c r="F20" i="10"/>
  <c r="F21" i="10" s="1"/>
  <c r="J38" i="13"/>
  <c r="J41" i="13" s="1"/>
  <c r="H51" i="13" s="1"/>
  <c r="H12" i="12"/>
  <c r="H40" i="12" s="1"/>
  <c r="J40" i="12" s="1"/>
  <c r="G16" i="13"/>
  <c r="I15" i="13"/>
  <c r="I16" i="13" s="1"/>
  <c r="AC38" i="13"/>
  <c r="AA44" i="13"/>
  <c r="AC44" i="13" s="1"/>
  <c r="G20" i="10"/>
  <c r="G21" i="10" s="1"/>
  <c r="E21" i="10"/>
  <c r="BZ29" i="5"/>
  <c r="BZ30" i="5" s="1"/>
  <c r="J4" i="10" s="1"/>
  <c r="H10" i="12"/>
  <c r="H38" i="12" s="1"/>
  <c r="J6" i="10"/>
  <c r="F44" i="12"/>
  <c r="G41" i="12"/>
  <c r="AA38" i="12"/>
  <c r="F7" i="10"/>
  <c r="H7" i="10" s="1"/>
  <c r="E9" i="10" s="1"/>
  <c r="H4" i="10"/>
  <c r="L40" i="12"/>
  <c r="I38" i="12"/>
  <c r="I13" i="12"/>
  <c r="AC39" i="12"/>
  <c r="AA45" i="12"/>
  <c r="AC45" i="12" s="1"/>
  <c r="AC10" i="9"/>
  <c r="M9" i="11" l="1"/>
  <c r="BA43" i="5"/>
  <c r="AX43" i="5"/>
  <c r="J9" i="11"/>
  <c r="J15" i="13"/>
  <c r="J16" i="13" s="1"/>
  <c r="L16" i="13" s="1"/>
  <c r="J12" i="12"/>
  <c r="G51" i="13"/>
  <c r="H43" i="13"/>
  <c r="H52" i="13"/>
  <c r="H56" i="13" s="1"/>
  <c r="H60" i="13" s="1"/>
  <c r="I51" i="13"/>
  <c r="H41" i="12"/>
  <c r="H20" i="10"/>
  <c r="H21" i="10" s="1"/>
  <c r="L10" i="12"/>
  <c r="L38" i="12" s="1"/>
  <c r="H13" i="12"/>
  <c r="J13" i="12" s="1"/>
  <c r="G15" i="12" s="1"/>
  <c r="G16" i="12" s="1"/>
  <c r="J10" i="12"/>
  <c r="J38" i="12"/>
  <c r="J41" i="12" s="1"/>
  <c r="G9" i="10"/>
  <c r="G10" i="10" s="1"/>
  <c r="E10" i="10"/>
  <c r="J7" i="10"/>
  <c r="F9" i="10"/>
  <c r="F10" i="10" s="1"/>
  <c r="I41" i="12"/>
  <c r="AA44" i="12"/>
  <c r="E73" i="9"/>
  <c r="E72" i="9"/>
  <c r="M11" i="11" l="1"/>
  <c r="BA51" i="5"/>
  <c r="M19" i="11" s="1"/>
  <c r="J11" i="11"/>
  <c r="AX51" i="5"/>
  <c r="J19" i="11" s="1"/>
  <c r="J51" i="13"/>
  <c r="J52" i="13" s="1"/>
  <c r="J56" i="13" s="1"/>
  <c r="J60" i="13" s="1"/>
  <c r="J67" i="13" s="1"/>
  <c r="G52" i="13"/>
  <c r="G56" i="13" s="1"/>
  <c r="G60" i="13" s="1"/>
  <c r="G67" i="13" s="1"/>
  <c r="J21" i="10"/>
  <c r="G43" i="13"/>
  <c r="H51" i="12"/>
  <c r="H52" i="12" s="1"/>
  <c r="H56" i="12" s="1"/>
  <c r="H60" i="12" s="1"/>
  <c r="I69" i="13"/>
  <c r="J69" i="13" s="1"/>
  <c r="G72" i="13"/>
  <c r="H68" i="13"/>
  <c r="J68" i="13" s="1"/>
  <c r="G73" i="13"/>
  <c r="I73" i="13" s="1"/>
  <c r="J73" i="13" s="1"/>
  <c r="M72" i="13"/>
  <c r="O72" i="13"/>
  <c r="I52" i="13"/>
  <c r="I56" i="13" s="1"/>
  <c r="I60" i="13" s="1"/>
  <c r="I43" i="13"/>
  <c r="H44" i="13"/>
  <c r="H67" i="13"/>
  <c r="L13" i="12"/>
  <c r="H15" i="12"/>
  <c r="H16" i="12" s="1"/>
  <c r="G51" i="12"/>
  <c r="G43" i="12" s="1"/>
  <c r="H9" i="10"/>
  <c r="H10" i="10" s="1"/>
  <c r="I15" i="12"/>
  <c r="I16" i="12" s="1"/>
  <c r="I51" i="12"/>
  <c r="L41" i="12"/>
  <c r="H43" i="12"/>
  <c r="J79" i="9"/>
  <c r="J78" i="9"/>
  <c r="J77" i="9"/>
  <c r="G44" i="13" l="1"/>
  <c r="J43" i="13"/>
  <c r="K43" i="13" s="1"/>
  <c r="G75" i="13"/>
  <c r="G80" i="13" s="1"/>
  <c r="G45" i="13"/>
  <c r="I44" i="13"/>
  <c r="J44" i="13" s="1"/>
  <c r="K44" i="13" s="1"/>
  <c r="I67" i="13"/>
  <c r="I45" i="13" s="1"/>
  <c r="H45" i="13"/>
  <c r="H75" i="13"/>
  <c r="H80" i="13" s="1"/>
  <c r="G52" i="12"/>
  <c r="G56" i="12" s="1"/>
  <c r="G60" i="12" s="1"/>
  <c r="G44" i="12" s="1"/>
  <c r="J51" i="12"/>
  <c r="J52" i="12" s="1"/>
  <c r="J56" i="12" s="1"/>
  <c r="J60" i="12" s="1"/>
  <c r="J67" i="12" s="1"/>
  <c r="G73" i="12" s="1"/>
  <c r="I73" i="12" s="1"/>
  <c r="J73" i="12" s="1"/>
  <c r="J15" i="12"/>
  <c r="J16" i="12" s="1"/>
  <c r="L16" i="12" s="1"/>
  <c r="I43" i="12"/>
  <c r="J43" i="12" s="1"/>
  <c r="I52" i="12"/>
  <c r="I56" i="12" s="1"/>
  <c r="I60" i="12" s="1"/>
  <c r="H44" i="12"/>
  <c r="H67" i="12"/>
  <c r="H63" i="9"/>
  <c r="J45" i="13" l="1"/>
  <c r="K43" i="12"/>
  <c r="G67" i="12"/>
  <c r="G45" i="12" s="1"/>
  <c r="J10" i="10"/>
  <c r="O72" i="12"/>
  <c r="G72" i="12"/>
  <c r="H68" i="12"/>
  <c r="J68" i="12" s="1"/>
  <c r="M72" i="12"/>
  <c r="H45" i="12"/>
  <c r="I67" i="12"/>
  <c r="I44" i="12"/>
  <c r="J44" i="12" s="1"/>
  <c r="K44" i="12" s="1"/>
  <c r="K8" i="9"/>
  <c r="K46" i="13" l="1"/>
  <c r="K45" i="13"/>
  <c r="G75" i="12"/>
  <c r="G80" i="12" s="1"/>
  <c r="H75" i="12"/>
  <c r="H80" i="12" s="1"/>
  <c r="I45" i="12"/>
  <c r="J45" i="12" s="1"/>
  <c r="I35" i="9"/>
  <c r="G63" i="9"/>
  <c r="I63" i="9" s="1"/>
  <c r="K46" i="12" l="1"/>
  <c r="K45" i="12"/>
  <c r="K50" i="9"/>
  <c r="G8" i="9" l="1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3" l="1"/>
  <c r="I72" i="12"/>
  <c r="J72" i="12" s="1"/>
  <c r="M21" i="9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J72" i="13" l="1"/>
  <c r="J75" i="13" s="1"/>
  <c r="J80" i="13" s="1"/>
  <c r="I75" i="13"/>
  <c r="I80" i="13" s="1"/>
  <c r="I39" i="9"/>
  <c r="AB39" i="9" s="1"/>
  <c r="AC39" i="9" s="1"/>
  <c r="I38" i="9"/>
  <c r="J21" i="9"/>
  <c r="J23" i="9"/>
  <c r="J24" i="9"/>
  <c r="J25" i="9"/>
  <c r="J26" i="9"/>
  <c r="J27" i="9"/>
  <c r="J28" i="9"/>
  <c r="J29" i="9"/>
  <c r="J30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6" i="5" l="1"/>
  <c r="CJ6" i="5" s="1"/>
  <c r="CH22" i="5"/>
  <c r="CJ22" i="5" s="1"/>
  <c r="CH7" i="5"/>
  <c r="CJ7" i="5" s="1"/>
  <c r="CH23" i="5"/>
  <c r="CJ23" i="5" s="1"/>
  <c r="CH4" i="5"/>
  <c r="CJ4" i="5" s="1"/>
  <c r="CH8" i="5"/>
  <c r="CJ8" i="5" s="1"/>
  <c r="CH16" i="5"/>
  <c r="CJ16" i="5" s="1"/>
  <c r="CH12" i="5"/>
  <c r="CK12" i="5" s="1"/>
  <c r="CK29" i="5" s="1"/>
  <c r="CK30" i="5" s="1"/>
  <c r="CH9" i="5"/>
  <c r="CJ9" i="5" s="1"/>
  <c r="CH17" i="5"/>
  <c r="CJ17" i="5" s="1"/>
  <c r="CH18" i="5"/>
  <c r="CJ18" i="5" s="1"/>
  <c r="CH20" i="5"/>
  <c r="CJ20" i="5" s="1"/>
  <c r="CH3" i="5"/>
  <c r="CJ3" i="5" s="1"/>
  <c r="CH11" i="5"/>
  <c r="CJ11" i="5" s="1"/>
  <c r="CH19" i="5"/>
  <c r="CJ19" i="5" s="1"/>
  <c r="CH2" i="5"/>
  <c r="CH5" i="5"/>
  <c r="CJ5" i="5" s="1"/>
  <c r="CH21" i="5"/>
  <c r="CJ21" i="5" s="1"/>
  <c r="F43" i="9"/>
  <c r="F44" i="9"/>
  <c r="C19" i="7"/>
  <c r="F4" i="7"/>
  <c r="J74" i="9"/>
  <c r="J41" i="9"/>
  <c r="E13" i="7"/>
  <c r="J16" i="9"/>
  <c r="L16" i="9" s="1"/>
  <c r="F67" i="9"/>
  <c r="F75" i="9" s="1"/>
  <c r="E4" i="7"/>
  <c r="E19" i="7" s="1"/>
  <c r="M12" i="12" l="1"/>
  <c r="K6" i="10"/>
  <c r="L6" i="10" s="1"/>
  <c r="CJ2" i="5"/>
  <c r="CJ29" i="5" s="1"/>
  <c r="CJ30" i="5" s="1"/>
  <c r="CH29" i="5"/>
  <c r="CH30" i="5" s="1"/>
  <c r="F80" i="9"/>
  <c r="F45" i="9"/>
  <c r="N22" i="9"/>
  <c r="N21" i="9"/>
  <c r="H51" i="9"/>
  <c r="I51" i="9"/>
  <c r="G51" i="9"/>
  <c r="G43" i="9" s="1"/>
  <c r="M10" i="12" l="1"/>
  <c r="K4" i="10"/>
  <c r="M40" i="12"/>
  <c r="N40" i="12" s="1"/>
  <c r="N12" i="12"/>
  <c r="H52" i="9"/>
  <c r="H56" i="9" s="1"/>
  <c r="H60" i="9" s="1"/>
  <c r="H43" i="9"/>
  <c r="N20" i="9"/>
  <c r="G52" i="9"/>
  <c r="G56" i="9" s="1"/>
  <c r="G60" i="9" s="1"/>
  <c r="G44" i="9" s="1"/>
  <c r="J51" i="9"/>
  <c r="J52" i="9" s="1"/>
  <c r="J56" i="9" s="1"/>
  <c r="J60" i="9" s="1"/>
  <c r="I43" i="9"/>
  <c r="I52" i="9"/>
  <c r="I56" i="9" s="1"/>
  <c r="I60" i="9" s="1"/>
  <c r="K7" i="10" l="1"/>
  <c r="L4" i="10"/>
  <c r="L7" i="10" s="1"/>
  <c r="N10" i="12"/>
  <c r="N13" i="12" s="1"/>
  <c r="M38" i="12"/>
  <c r="M13" i="12"/>
  <c r="AB10" i="12"/>
  <c r="AC10" i="12" s="1"/>
  <c r="H44" i="9"/>
  <c r="N41" i="9"/>
  <c r="N38" i="9"/>
  <c r="J43" i="9"/>
  <c r="K43" i="9" s="1"/>
  <c r="I44" i="9"/>
  <c r="I67" i="9"/>
  <c r="M41" i="12" l="1"/>
  <c r="AB38" i="12"/>
  <c r="N38" i="12"/>
  <c r="I45" i="9"/>
  <c r="J44" i="9"/>
  <c r="K44" i="9" s="1"/>
  <c r="AB44" i="12" l="1"/>
  <c r="AC44" i="12" s="1"/>
  <c r="AC38" i="12"/>
  <c r="I69" i="12"/>
  <c r="N41" i="12"/>
  <c r="J67" i="9"/>
  <c r="J69" i="12" l="1"/>
  <c r="J75" i="12" s="1"/>
  <c r="J80" i="12" s="1"/>
  <c r="I75" i="12"/>
  <c r="I80" i="12" s="1"/>
  <c r="G73" i="9"/>
  <c r="G72" i="9"/>
  <c r="H68" i="9"/>
  <c r="J68" i="9" s="1"/>
  <c r="I69" i="9"/>
  <c r="H67" i="9"/>
  <c r="G67" i="9"/>
  <c r="H75" i="9" l="1"/>
  <c r="H80" i="9" s="1"/>
  <c r="G75" i="9"/>
  <c r="H45" i="9"/>
  <c r="G45" i="9"/>
  <c r="J69" i="9"/>
  <c r="J45" i="9" l="1"/>
  <c r="K45" i="9" s="1"/>
  <c r="I73" i="9"/>
  <c r="J73" i="9" s="1"/>
  <c r="O72" i="9"/>
  <c r="I72" i="9"/>
  <c r="M72" i="9"/>
  <c r="I75" i="9" l="1"/>
  <c r="I80" i="9" s="1"/>
  <c r="K46" i="9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5ED42660-1434-46EC-9C39-AECAC46A834E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CA32B7CA-AC13-4BA2-89C2-67E2AA341D3B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B732747A-DE99-455A-A690-B7CFF1CAAA12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2A5D1A66-DA0F-4DBB-B790-8EBE3078E46C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271D78EF-3480-4E32-B9CE-7B19ED617CFE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270BB3B7-51D6-45D8-ABBA-2DF53C10A173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B773A03D-5BDB-4FE0-8FF6-1DFAD11DC19E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6FA09C86-2D15-4B53-ABDC-476308B15AAE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55C9876F-9DD6-4530-9B59-F8C000D21395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7530EE61-22CD-4E83-A81E-71570750EEF2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EF9D2BE8-3542-4DE1-B0C8-DD7A111852CD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BEC9339C-1F72-4CBA-9248-F5237FB5EBC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76AB3D-5D76-4335-A6F7-8406790C82AE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272CF01C-3068-489F-86D3-B554E6494118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39CD454D-2290-4015-B2A0-CF704E7A2DA4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F3C051EF-D592-411B-AB7D-6A71434C8D1C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E90D85E5-2E08-4AC8-9BB2-359FD5E2419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9FD40483-C5B5-4AC6-A331-561CC6FA6DD4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504ADADF-0B10-4B0C-9E5F-036ED92A753D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F8C6A6A6-9F55-4172-B1FF-5E18A06E8A1E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<sst xmlns="http://schemas.openxmlformats.org/spreadsheetml/2006/main" count="1034" uniqueCount="393">
  <si>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</si>
  <si>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</si>
  <si>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</si>
  <si>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</si>
  <si>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</si>
  <si>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</si>
  <si>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</si>
  <si>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</si>
  <si>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</si>
  <si>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</si>
  <si>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</si>
  <si>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</si>
  <si>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</si>
  <si>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</si>
  <si>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</si>
  <si>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</si>
  <si>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</si>
  <si>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</si>
  <si>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</si>
  <si>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</si>
  <si>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</si>
  <si>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</si>
  <si>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</si>
  <si>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</si>
  <si>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</si>
  <si>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</si>
  <si>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</si>
  <si>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</si>
  <si>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</si>
  <si>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</si>
  <si>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</si>
  <si>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</si>
  <si>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</si>
  <si>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</si>
  <si>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</si>
  <si>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</si>
  <si>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</si>
  <si>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</si>
  <si>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</si>
  <si>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</si>
  <si>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</si>
  <si>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</si>
  <si>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</si>
  <si>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</si>
  <si>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</si>
  <si>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</si>
  <si>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</si>
  <si>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</si>
  <si>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</si>
  <si>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</si>
  <si>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</si>
  <si>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</si>
  <si>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</si>
  <si>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</si>
  <si>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</si>
  <si>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</si>
  <si>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</si>
  <si>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</si>
  <si>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</si>
  <si>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</si>
  <si>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</si>
  <si>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Group Positions</t>
  </si>
  <si>
    <t>CEC for Elected Officials &amp; Commissioners</t>
  </si>
  <si>
    <t>PROGRAM MAINTENANCE</t>
  </si>
  <si>
    <t>Line Items:</t>
  </si>
  <si>
    <t>TOTAL REQUEST</t>
  </si>
  <si>
    <t>Transfer Between Programs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</si>
  <si>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</si>
  <si>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</si>
  <si>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</si>
  <si>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</si>
  <si>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</si>
  <si>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</si>
  <si>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</si>
  <si>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</si>
  <si>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</si>
  <si>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</si>
  <si>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</si>
  <si>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</si>
  <si>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</si>
  <si>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</si>
  <si>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</si>
  <si>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</si>
  <si>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</si>
  <si>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</si>
  <si>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</si>
  <si>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</si>
  <si>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</si>
  <si>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</si>
  <si>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</si>
  <si>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</si>
  <si>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</si>
  <si>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</si>
  <si>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</si>
  <si>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</si>
  <si>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</si>
  <si>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</si>
  <si>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</si>
  <si>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</si>
  <si>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</si>
  <si>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</si>
  <si>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</si>
  <si>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</si>
  <si>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</si>
  <si>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</si>
  <si>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</si>
  <si>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</si>
  <si>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</si>
  <si>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</si>
  <si>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</si>
  <si>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</si>
  <si>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</si>
  <si>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</si>
  <si>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</si>
  <si>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</si>
  <si>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</si>
  <si>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</si>
  <si>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</si>
  <si>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</si>
  <si>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</si>
  <si>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</si>
  <si>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</si>
  <si>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</si>
  <si>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</si>
  <si>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</si>
  <si>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</si>
  <si>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</si>
  <si>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</si>
  <si>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</si>
  <si>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</si>
  <si>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</si>
  <si>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</si>
  <si>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</si>
  <si>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</si>
  <si>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</si>
  <si>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</si>
  <si>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</si>
  <si>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</si>
  <si>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</si>
  <si>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</si>
  <si>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</si>
  <si>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</si>
  <si>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</si>
  <si>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</si>
  <si>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</si>
  <si>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</si>
  <si>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</si>
  <si>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</si>
  <si>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</si>
  <si>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</si>
  <si>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</si>
  <si>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</si>
  <si>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</si>
  <si>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</si>
  <si>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</si>
  <si>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</si>
  <si>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</si>
  <si>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</si>
  <si>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</si>
  <si>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</si>
  <si>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</si>
  <si>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2022</t>
  </si>
  <si>
    <t>181</t>
  </si>
  <si>
    <t>0031</t>
  </si>
  <si>
    <t>EXEC ASST TO FIRST L</t>
  </si>
  <si>
    <t>0001</t>
  </si>
  <si>
    <t>00</t>
  </si>
  <si>
    <t>GVAA</t>
  </si>
  <si>
    <t>001</t>
  </si>
  <si>
    <t>20125</t>
  </si>
  <si>
    <t>F</t>
  </si>
  <si>
    <t>NR</t>
  </si>
  <si>
    <t>DEANGELI, ANNA M.</t>
  </si>
  <si>
    <t>DEANGELI</t>
  </si>
  <si>
    <t>ANNA</t>
  </si>
  <si>
    <t>M</t>
  </si>
  <si>
    <t>00000</t>
  </si>
  <si>
    <t>H</t>
  </si>
  <si>
    <t>PF</t>
  </si>
  <si>
    <t>N</t>
  </si>
  <si>
    <t>Y</t>
  </si>
  <si>
    <t>NE</t>
  </si>
  <si>
    <t xml:space="preserve">    </t>
  </si>
  <si>
    <t>0023</t>
  </si>
  <si>
    <t>SPECIAL ASST TO GOVE</t>
  </si>
  <si>
    <t>20102</t>
  </si>
  <si>
    <t>WILSON, GREGORY S.</t>
  </si>
  <si>
    <t>WILSON</t>
  </si>
  <si>
    <t>GREGORY</t>
  </si>
  <si>
    <t>S</t>
  </si>
  <si>
    <t>20116</t>
  </si>
  <si>
    <t>FS</t>
  </si>
  <si>
    <t>E</t>
  </si>
  <si>
    <t>0022</t>
  </si>
  <si>
    <t>CHIEF OF STAFF - GOV</t>
  </si>
  <si>
    <t>20101</t>
  </si>
  <si>
    <t>HAUGE, ZACKARY A.</t>
  </si>
  <si>
    <t>HAUGE</t>
  </si>
  <si>
    <t>ZACKARY</t>
  </si>
  <si>
    <t>ARTHUR</t>
  </si>
  <si>
    <t>0020</t>
  </si>
  <si>
    <t>FIELD REPRESENTATIVE</t>
  </si>
  <si>
    <t>20111</t>
  </si>
  <si>
    <t>GARRINGER, JACOB M.</t>
  </si>
  <si>
    <t>GARRINGER</t>
  </si>
  <si>
    <t>JACOB</t>
  </si>
  <si>
    <t>MAKOTO</t>
  </si>
  <si>
    <t>0017</t>
  </si>
  <si>
    <t xml:space="preserve">COUNSEL TO GOVERNOR </t>
  </si>
  <si>
    <t>20153</t>
  </si>
  <si>
    <t>HALL, BRADY J.</t>
  </si>
  <si>
    <t>HALL</t>
  </si>
  <si>
    <t>BRADY</t>
  </si>
  <si>
    <t>JAMES</t>
  </si>
  <si>
    <t>0013</t>
  </si>
  <si>
    <t>GOVERNOR'S SCHEDULER</t>
  </si>
  <si>
    <t>20161</t>
  </si>
  <si>
    <t>VARSEK, JOAN E.</t>
  </si>
  <si>
    <t>VARSEK</t>
  </si>
  <si>
    <t>JOAN</t>
  </si>
  <si>
    <t>ELIZABETH</t>
  </si>
  <si>
    <t>0010</t>
  </si>
  <si>
    <t>COMMUNICATIONS DIREC</t>
  </si>
  <si>
    <t>20124</t>
  </si>
  <si>
    <t>CALLIHAN, EMILY K.</t>
  </si>
  <si>
    <t>CALLIHAN</t>
  </si>
  <si>
    <t>EMILY</t>
  </si>
  <si>
    <t>KATHLEEN</t>
  </si>
  <si>
    <t>PT</t>
  </si>
  <si>
    <t>0008</t>
  </si>
  <si>
    <t>FRONT END ADMINISTRA</t>
  </si>
  <si>
    <t>20314</t>
  </si>
  <si>
    <t>NALLY, CLAUDIA S.</t>
  </si>
  <si>
    <t>NALLY</t>
  </si>
  <si>
    <t>CLAUDIA</t>
  </si>
  <si>
    <t>SIMPLOT</t>
  </si>
  <si>
    <t>9999</t>
  </si>
  <si>
    <t xml:space="preserve">TEMPORARY EMPLOYEES </t>
  </si>
  <si>
    <t>95000</t>
  </si>
  <si>
    <t>V</t>
  </si>
  <si>
    <t>NG</t>
  </si>
  <si>
    <t>0005</t>
  </si>
  <si>
    <t>FELTER, TAMERA M.</t>
  </si>
  <si>
    <t>FELTER</t>
  </si>
  <si>
    <t>TAMERA</t>
  </si>
  <si>
    <t>MACHEL</t>
  </si>
  <si>
    <t xml:space="preserve">GOVERNOR            </t>
  </si>
  <si>
    <t>20100</t>
  </si>
  <si>
    <t>LITTLE, BRAD J.</t>
  </si>
  <si>
    <t>LITTLE</t>
  </si>
  <si>
    <t>BRAD</t>
  </si>
  <si>
    <t>J</t>
  </si>
  <si>
    <t>A</t>
  </si>
  <si>
    <t>0710</t>
  </si>
  <si>
    <t>20105</t>
  </si>
  <si>
    <t>0027</t>
  </si>
  <si>
    <t>COUNSEL ASST TO GOVE</t>
  </si>
  <si>
    <t>20167</t>
  </si>
  <si>
    <t>0019</t>
  </si>
  <si>
    <t>5004</t>
  </si>
  <si>
    <t xml:space="preserve">PROJECT MGR         </t>
  </si>
  <si>
    <t>20155</t>
  </si>
  <si>
    <t>MORRISON, MARISSA L.</t>
  </si>
  <si>
    <t>MORRISON</t>
  </si>
  <si>
    <t>MARISSA</t>
  </si>
  <si>
    <t>LEE</t>
  </si>
  <si>
    <t>20152</t>
  </si>
  <si>
    <t>5003</t>
  </si>
  <si>
    <t>DEPUTY CHIEF OF STAF</t>
  </si>
  <si>
    <t>20168</t>
  </si>
  <si>
    <t>MEULEMAN, BOBBI-JO B.</t>
  </si>
  <si>
    <t>MEULEMAN</t>
  </si>
  <si>
    <t>BOBBI-JO</t>
  </si>
  <si>
    <t>BROOKS</t>
  </si>
  <si>
    <t>5002</t>
  </si>
  <si>
    <t>EATON, SAMUEL J.</t>
  </si>
  <si>
    <t>EATON</t>
  </si>
  <si>
    <t>SAMUEL</t>
  </si>
  <si>
    <t>JUDD</t>
  </si>
  <si>
    <t>20162</t>
  </si>
  <si>
    <t>5001</t>
  </si>
  <si>
    <t>SENIOR POLICY ADVISO</t>
  </si>
  <si>
    <t>STOVER, SARA A.</t>
  </si>
  <si>
    <t>STOVER</t>
  </si>
  <si>
    <t>SARA</t>
  </si>
  <si>
    <t>ADAMS NYE</t>
  </si>
  <si>
    <t>0719</t>
  </si>
  <si>
    <t>FISHER  JR, NATHAN A.</t>
  </si>
  <si>
    <t>FISHER  JR</t>
  </si>
  <si>
    <t>NATHAN</t>
  </si>
  <si>
    <t>ANDREW</t>
  </si>
  <si>
    <t>0708</t>
  </si>
  <si>
    <t xml:space="preserve">STAFF ASSISTANT     </t>
  </si>
  <si>
    <t>20165</t>
  </si>
  <si>
    <t>HOUGAARD, LOUIS M.</t>
  </si>
  <si>
    <t>HOUGAARD</t>
  </si>
  <si>
    <t>LOUIS</t>
  </si>
  <si>
    <t>MICHAEL</t>
  </si>
  <si>
    <t>20107</t>
  </si>
  <si>
    <t>0704</t>
  </si>
  <si>
    <t>JOHNSON, MCKENZIE S.</t>
  </si>
  <si>
    <t>JOHNSON</t>
  </si>
  <si>
    <t>MCKENZIE</t>
  </si>
  <si>
    <t>SUSANNE</t>
  </si>
  <si>
    <t>0701</t>
  </si>
  <si>
    <t>LARSEN, JARED D.</t>
  </si>
  <si>
    <t>LARSEN</t>
  </si>
  <si>
    <t>JARED</t>
  </si>
  <si>
    <t>D</t>
  </si>
  <si>
    <t>9998</t>
  </si>
  <si>
    <t>0150</t>
  </si>
  <si>
    <t>01</t>
  </si>
  <si>
    <t>GVAE</t>
  </si>
  <si>
    <t>9993</t>
  </si>
  <si>
    <t xml:space="preserve">RECEPTIONIST        </t>
  </si>
  <si>
    <t>01125</t>
  </si>
  <si>
    <t>9992</t>
  </si>
  <si>
    <t xml:space="preserve">ACTING GOVERNOR     </t>
  </si>
  <si>
    <t>GVAM</t>
  </si>
  <si>
    <t>20117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</si>
  <si>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</si>
  <si>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</si>
  <si>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</si>
  <si>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</si>
  <si>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</si>
  <si>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</si>
  <si>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</si>
  <si>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</si>
  <si>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</si>
  <si>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</si>
  <si>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</si>
  <si>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</si>
  <si>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</si>
  <si>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</si>
  <si>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</si>
  <si>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</si>
  <si>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</si>
  <si>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</si>
  <si>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</si>
  <si>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</si>
  <si>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</si>
  <si>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</si>
  <si>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</si>
  <si>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</si>
  <si>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</si>
  <si>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</si>
  <si>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</si>
  <si>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</si>
  <si>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</si>
  <si>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</si>
  <si>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</si>
  <si>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</si>
  <si>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</si>
  <si>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</si>
  <si>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</si>
  <si>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</si>
  <si>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</si>
  <si>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</si>
  <si>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</si>
  <si>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</si>
  <si>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</si>
  <si>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</si>
  <si>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</si>
  <si>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</si>
  <si>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</si>
  <si>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</si>
  <si>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</si>
  <si>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</si>
  <si>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GVAA 0001-00</t>
  </si>
  <si>
    <t>GVAA 0001</t>
  </si>
  <si>
    <t>Office of the Governor</t>
  </si>
  <si>
    <t>Executive Office of the Governor</t>
  </si>
  <si>
    <t>Administration - Governor's Office</t>
  </si>
  <si>
    <t>General</t>
  </si>
  <si>
    <t>0001-00</t>
  </si>
  <si>
    <t>10000</t>
  </si>
  <si>
    <t>Administration - Governor's Office, General   GVAA-0001-00</t>
  </si>
  <si>
    <t>GVAM 0001-00</t>
  </si>
  <si>
    <t>GVAM 0001</t>
  </si>
  <si>
    <t>Acting Governor Pay</t>
  </si>
  <si>
    <t>Acting Governor Pay, General   GVAM-0001-00</t>
  </si>
  <si>
    <t>Totals by Budget Unit and Fund</t>
  </si>
  <si>
    <t>Est. FY22_x000D_
Salary</t>
  </si>
  <si>
    <t>Proj. FY23_x000D_
Salary</t>
  </si>
  <si>
    <t>Actual FY 2021</t>
  </si>
  <si>
    <t>Estimate FY 2022</t>
  </si>
  <si>
    <t>Projection FY 2023</t>
  </si>
  <si>
    <t>Filled Permanent/Elected</t>
  </si>
  <si>
    <t>Fund-0001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</si>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</sst>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80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4" fillId="14" borderId="17" xfId="0" applyFont="1" applyFill="1" applyBorder="1" applyAlignment="1">
      <alignment horizontal="center" vertical="top"/>
    </xf>
    <xf numFmtId="49" fontId="44" fillId="14" borderId="17" xfId="0" applyNumberFormat="1" applyFont="1" applyFill="1" applyBorder="1" applyAlignment="1">
      <alignment horizontal="center" vertical="top"/>
    </xf>
    <xf numFmtId="0" fontId="45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5" fillId="0" borderId="18" xfId="0" applyNumberFormat="1" applyFont="1" applyBorder="1" applyAlignment="1">
      <alignment vertical="top"/>
    </xf>
    <xf numFmtId="4" fontId="45" fillId="0" borderId="18" xfId="0" applyNumberFormat="1" applyFont="1" applyBorder="1" applyAlignment="1">
      <alignment vertical="top"/>
    </xf>
    <xf numFmtId="184" fontId="45" fillId="0" borderId="18" xfId="0" applyNumberFormat="1" applyFont="1" applyBorder="1" applyAlignment="1">
      <alignment vertical="top"/>
    </xf>
    <xf numFmtId="49" fontId="45" fillId="0" borderId="18" xfId="0" applyNumberFormat="1" applyFont="1" applyBorder="1" applyAlignment="1">
      <alignment vertical="top"/>
    </xf>
    <xf numFmtId="0" fontId="45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5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6" fillId="0" borderId="0" xfId="0" applyFont="1"/>
    <xf numFmtId="0" fontId="47" fillId="0" borderId="0" xfId="0" applyFont="1"/>
    <xf numFmtId="40" fontId="29" fillId="20" borderId="19" xfId="0" applyNumberFormat="1" applyFont="1" applyFill="1" applyBorder="1"/>
    <xf numFmtId="0" fontId="46" fillId="21" borderId="0" xfId="0" applyFont="1" applyFill="1"/>
    <xf numFmtId="0" fontId="48" fillId="0" borderId="0" xfId="0" applyFont="1"/>
    <xf numFmtId="0" fontId="49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6" fillId="24" borderId="0" xfId="0" applyNumberFormat="1" applyFont="1" applyFill="1"/>
    <xf numFmtId="8" fontId="46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16" fillId="3" borderId="4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19"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8"/>
      <tableStyleElement type="header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DF9E6-F764-49C2-B830-03254C1A93E3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370</v>
      </c>
      <c r="E1" s="15"/>
      <c r="F1" s="15"/>
      <c r="G1" s="15"/>
      <c r="H1" s="15"/>
      <c r="I1" s="15"/>
      <c r="J1" s="15"/>
      <c r="K1" s="15"/>
      <c r="L1" s="16" t="s">
        <v>14</v>
      </c>
      <c r="M1" s="468">
        <v>181</v>
      </c>
      <c r="N1" s="469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371</v>
      </c>
      <c r="E2" s="21"/>
      <c r="F2" s="21"/>
      <c r="G2" s="21"/>
      <c r="H2" s="21"/>
      <c r="I2" s="21"/>
      <c r="J2" s="20"/>
      <c r="K2" s="20"/>
      <c r="L2" s="22" t="s">
        <v>113</v>
      </c>
      <c r="M2" s="470" t="s">
        <v>375</v>
      </c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372</v>
      </c>
      <c r="E3" s="24"/>
      <c r="F3" s="25"/>
      <c r="G3" s="25"/>
      <c r="H3" s="25"/>
      <c r="I3" s="26"/>
      <c r="J3" s="20"/>
      <c r="K3" s="20"/>
      <c r="L3" s="22" t="s">
        <v>114</v>
      </c>
      <c r="M3" s="468" t="s">
        <v>167</v>
      </c>
      <c r="N3" s="469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 t="s">
        <v>373</v>
      </c>
      <c r="J5" s="472"/>
      <c r="K5" s="472"/>
      <c r="L5" s="471"/>
      <c r="M5" s="352" t="s">
        <v>115</v>
      </c>
      <c r="N5" s="32" t="s">
        <v>374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3" t="s">
        <v>22</v>
      </c>
      <c r="D8" s="474"/>
      <c r="E8" s="370" t="s">
        <v>23</v>
      </c>
      <c r="F8" s="49" t="s">
        <v>24</v>
      </c>
      <c r="G8" s="50" t="str">
        <f>"FY "&amp;'GVAA|0001-00'!FiscalYear-1&amp;" SALARY"</f>
        <v>FY 2022 SALARY</v>
      </c>
      <c r="H8" s="50" t="str">
        <f>"FY "&amp;'GVAA|0001-00'!FiscalYear-1&amp;" HEALTH BENEFITS"</f>
        <v>FY 2022 HEALTH BENEFITS</v>
      </c>
      <c r="I8" s="50" t="str">
        <f>"FY "&amp;'GVAA|0001-00'!FiscalYear-1&amp;" VAR BENEFITS"</f>
        <v>FY 2022 VAR BENEFITS</v>
      </c>
      <c r="J8" s="50" t="str">
        <f>"FY "&amp;'GVAA|0001-00'!FiscalYear-1&amp;" TOTAL"</f>
        <v>FY 2022 TOTAL</v>
      </c>
      <c r="K8" s="50" t="str">
        <f>"FY "&amp;'GVAA|0001-00'!FiscalYear&amp;" SALARY CHANGE"</f>
        <v>FY 2023 SALARY CHANGE</v>
      </c>
      <c r="L8" s="50" t="str">
        <f>"FY "&amp;'GVAA|0001-00'!FiscalYear&amp;" CHG HEALTH BENEFITS"</f>
        <v>FY 2023 CHG HEALTH BENEFITS</v>
      </c>
      <c r="M8" s="50" t="str">
        <f>"FY "&amp;'GVAA|0001-00'!FiscalYear&amp;"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f>[0]!GVAA000100col_INC_FTI</f>
        <v>16.287500000000001</v>
      </c>
      <c r="G10" s="218">
        <f>[0]!GVAA000100col_FTI_SALARY_PERM</f>
        <v>1235316.94</v>
      </c>
      <c r="H10" s="218">
        <f>[0]!GVAA000100col_HEALTH_PERM</f>
        <v>186400</v>
      </c>
      <c r="I10" s="218">
        <f>[0]!GVAA000100col_TOT_VB_PERM</f>
        <v>255567.97430120001</v>
      </c>
      <c r="J10" s="219">
        <f>SUM(G10:I10)</f>
        <v>1677284.9143011998</v>
      </c>
      <c r="K10" s="219">
        <f>[0]!GVAA000100col_1_27TH_PP</f>
        <v>0</v>
      </c>
      <c r="L10" s="218">
        <f>[0]!GVAA000100col_HEALTH_PERM_CHG</f>
        <v>0</v>
      </c>
      <c r="M10" s="218">
        <f>[0]!GVAA000100col_TOT_VB_PERM_CHG</f>
        <v>-4874.9826339999991</v>
      </c>
      <c r="N10" s="218">
        <f>SUM(L10:M10)</f>
        <v>-4874.9826339999991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12400</v>
      </c>
      <c r="AB10" s="335">
        <f>ROUND(PermVarBen*CECPerm+(CECPerm*PermVarBenChg),-2)</f>
        <v>2500</v>
      </c>
      <c r="AC10" s="335">
        <f>SUM(AA10:AB10)</f>
        <v>14900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f>[0]!GVAA000100col_Group_Salary</f>
        <v>0</v>
      </c>
      <c r="H11" s="218">
        <v>0</v>
      </c>
      <c r="I11" s="218">
        <f>[0]!GVAA000100col_Group_Ben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f>[0]!GVAA000100col_TOTAL_ELECT_PCN_FTI</f>
        <v>1</v>
      </c>
      <c r="G12" s="218">
        <f>[0]!GVAA000100col_FTI_SALARY_ELECT</f>
        <v>138302</v>
      </c>
      <c r="H12" s="218">
        <f>[0]!GVAA000100col_HEALTH_ELECT</f>
        <v>11650</v>
      </c>
      <c r="I12" s="218">
        <f>[0]!GVAA000100col_TOT_VB_ELECT</f>
        <v>28564.912619999999</v>
      </c>
      <c r="J12" s="219">
        <f>SUM(G12:I12)</f>
        <v>178516.91261999999</v>
      </c>
      <c r="K12" s="268"/>
      <c r="L12" s="218">
        <f>[0]!GVAA000100col_HEALTH_ELECT_CHG</f>
        <v>0</v>
      </c>
      <c r="M12" s="218">
        <f>[0]!GVAA000100col_TOT_VB_ELECT_CHG</f>
        <v>9.6636000000005104</v>
      </c>
      <c r="N12" s="219">
        <f>SUM(L12:M12)</f>
        <v>9.6636000000005104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17.287500000000001</v>
      </c>
      <c r="G13" s="221">
        <f>SUM(G10:G12)</f>
        <v>1373618.94</v>
      </c>
      <c r="H13" s="221">
        <f>SUM(H10:H12)</f>
        <v>198050</v>
      </c>
      <c r="I13" s="221">
        <f>SUM(I10:I12)</f>
        <v>284132.88692120003</v>
      </c>
      <c r="J13" s="219">
        <f>SUM(G13:I13)</f>
        <v>1855801.8269211999</v>
      </c>
      <c r="K13" s="268"/>
      <c r="L13" s="219">
        <f>SUM(L10:L12)</f>
        <v>0</v>
      </c>
      <c r="M13" s="219">
        <f>SUM(M10:M12)</f>
        <v>-4865.3190339999983</v>
      </c>
      <c r="N13" s="219">
        <f>SUM(N10:N12)</f>
        <v>-4865.3190339999983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"&amp;'GVAA|0001-00'!FiscalYear-1</f>
        <v>FY 2022</v>
      </c>
      <c r="D15" s="158" t="s">
        <v>31</v>
      </c>
      <c r="E15" s="355">
        <v>2058000</v>
      </c>
      <c r="F15" s="55">
        <v>21</v>
      </c>
      <c r="G15" s="223">
        <f>IF(OrigApprop=0,0,(G13/$J$13)*OrigApprop)</f>
        <v>1523281.0624019471</v>
      </c>
      <c r="H15" s="223">
        <f>IF(OrigApprop=0,0,(H13/$J$13)*OrigApprop)</f>
        <v>219628.46144848995</v>
      </c>
      <c r="I15" s="223">
        <f>IF(G15=0,0,(I13/$J$13)*OrigApprop)</f>
        <v>315090.47614956292</v>
      </c>
      <c r="J15" s="223">
        <f>SUM(G15:I15)</f>
        <v>2058000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3.7124999999999986</v>
      </c>
      <c r="G16" s="162">
        <f>G15-G13</f>
        <v>149662.12240194716</v>
      </c>
      <c r="H16" s="162">
        <f>H15-H13</f>
        <v>21578.46144848995</v>
      </c>
      <c r="I16" s="162">
        <f>I15-I13</f>
        <v>30957.589228362893</v>
      </c>
      <c r="J16" s="162">
        <f>J15-J13</f>
        <v>202198.17307880009</v>
      </c>
      <c r="K16" s="269"/>
      <c r="L16" s="56" t="str">
        <f>IF('GVAA|0001-00'!OrigApprop=0,"ERROR! Enter Original Appropriation amount in DU 3.00!","Calculated "&amp;IF('GVAA|0001-00'!AdjustedTotal&gt;0,"overfunding ","underfunding ")&amp;"is "&amp;TEXT('GVAA|0001-00'!AdjustedTotal/'GVAA|0001-00'!AppropTotal,"#.0%;(#.0% );0% ;")&amp;" of Original Appropriation")</f>
        <v>Calculated overfunding is 9.8%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16.287500000000001</v>
      </c>
      <c r="G38" s="191">
        <f>SUMIF($E10:$E35,$E38,$G10:$G35)</f>
        <v>1235316.94</v>
      </c>
      <c r="H38" s="192">
        <f>SUMIF($E10:$E35,$E38,$H10:$H35)</f>
        <v>186400</v>
      </c>
      <c r="I38" s="192">
        <f>SUMIF($E10:$E35,$E38,$I10:$I35)</f>
        <v>255567.97430120001</v>
      </c>
      <c r="J38" s="192">
        <f>SUM(G38:I38)</f>
        <v>1677284.9143011998</v>
      </c>
      <c r="K38" s="166"/>
      <c r="L38" s="191">
        <f>SUMIF($E10:$E35,$E38,$L10:$L35)</f>
        <v>0</v>
      </c>
      <c r="M38" s="192">
        <f>SUMIF($E10:$E35,$E38,$M10:$M35)</f>
        <v>-4874.9826339999991</v>
      </c>
      <c r="N38" s="192">
        <f>SUM(L38:M38)</f>
        <v>-4874.9826339999991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12400</v>
      </c>
      <c r="AB38" s="338">
        <f>ROUND((AdjPermVB*CECPerm+AdjPermVBBY*CECPerm),-2)</f>
        <v>2500</v>
      </c>
      <c r="AC38" s="338">
        <f>SUM(AA38:AB38)</f>
        <v>14900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1</v>
      </c>
      <c r="G40" s="193">
        <f>SUMIF($E10:$E35,$E40,$G10:$G35)</f>
        <v>138302</v>
      </c>
      <c r="H40" s="152">
        <f>SUMIF($E10:$E35,$E40,$H10:$H35)</f>
        <v>11650</v>
      </c>
      <c r="I40" s="152">
        <f>SUMIF($E10:$E35,$E40,$I10:$I35)</f>
        <v>28564.912619999999</v>
      </c>
      <c r="J40" s="152">
        <f>SUM(G40:I40)</f>
        <v>178516.91261999999</v>
      </c>
      <c r="K40" s="259"/>
      <c r="L40" s="193">
        <f>SUMIF($E10:$E35,$E40,$L10:$L35)</f>
        <v>0</v>
      </c>
      <c r="M40" s="152">
        <f>SUMIF($E10:$E35,$E40,$M10:$M35)</f>
        <v>9.6636000000005104</v>
      </c>
      <c r="N40" s="152">
        <f>SUM(L40:M40)</f>
        <v>9.6636000000005104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17.287500000000001</v>
      </c>
      <c r="G41" s="195">
        <f>SUM($G$38:$G$40)</f>
        <v>1373618.94</v>
      </c>
      <c r="H41" s="162">
        <f>SUM($H$38:$H$40)</f>
        <v>198050</v>
      </c>
      <c r="I41" s="162">
        <f>SUM($I$38:$I$40)</f>
        <v>284132.88692120003</v>
      </c>
      <c r="J41" s="162">
        <f>SUM($J$38:$J$40)</f>
        <v>1855801.8269211999</v>
      </c>
      <c r="K41" s="259"/>
      <c r="L41" s="195">
        <f>SUM($L$38:$L$40)</f>
        <v>0</v>
      </c>
      <c r="M41" s="162">
        <f>SUM($M$38:$M$40)</f>
        <v>-4865.3190339999983</v>
      </c>
      <c r="N41" s="162">
        <f>SUM(L41:M41)</f>
        <v>-4865.3190339999983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3.71</v>
      </c>
      <c r="G43" s="206">
        <f>ROUND(G51-G41,-2)</f>
        <v>149700</v>
      </c>
      <c r="H43" s="159">
        <f>ROUND(H51-H41,-2)</f>
        <v>21600</v>
      </c>
      <c r="I43" s="159">
        <f>ROUND(I51-I41,-2)</f>
        <v>31000</v>
      </c>
      <c r="J43" s="159">
        <f>SUM(G43:I43)</f>
        <v>202300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Calculated overfunding is 9.8% of Original Appropriation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3.71</v>
      </c>
      <c r="G44" s="206">
        <f>ROUND(G60-G41,-2)</f>
        <v>149700</v>
      </c>
      <c r="H44" s="159">
        <f>ROUND(H60-H41,-2)</f>
        <v>21600</v>
      </c>
      <c r="I44" s="159">
        <f>ROUND(I60-I41,-2)</f>
        <v>31000</v>
      </c>
      <c r="J44" s="159">
        <f>SUM(G44:I44)</f>
        <v>202300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Calculated overfunding is 9.8% of Estimated Expenditures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3.71</v>
      </c>
      <c r="G45" s="206">
        <f>ROUND(G67-G41-G63,-2)</f>
        <v>149700</v>
      </c>
      <c r="H45" s="206">
        <f>ROUND(H67-H41-H63,-2)</f>
        <v>21600</v>
      </c>
      <c r="I45" s="206">
        <f>ROUND(I67-I41-I63,-2)</f>
        <v>31000</v>
      </c>
      <c r="J45" s="159">
        <f>SUM(G45:I45)</f>
        <v>202300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9.8% of the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/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2058000</v>
      </c>
      <c r="F51" s="272">
        <f>AppropFTP</f>
        <v>21</v>
      </c>
      <c r="G51" s="274">
        <f>IF(E51=0,0,(G41/$J$41)*$E$51)</f>
        <v>1523281.0624019471</v>
      </c>
      <c r="H51" s="274">
        <f>IF(E51=0,0,(H41/$J$41)*$E$51)</f>
        <v>219628.46144848995</v>
      </c>
      <c r="I51" s="275">
        <f>IF(E51=0,0,(I41/$J$41)*$E$51)</f>
        <v>315090.47614956292</v>
      </c>
      <c r="J51" s="90">
        <f>SUM(G51:I51)</f>
        <v>2058000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21</v>
      </c>
      <c r="G52" s="79">
        <f>ROUND(G51,-2)</f>
        <v>1523300</v>
      </c>
      <c r="H52" s="79">
        <f>ROUND(H51,-2)</f>
        <v>219600</v>
      </c>
      <c r="I52" s="266">
        <f>ROUND(I51,-2)</f>
        <v>315100</v>
      </c>
      <c r="J52" s="80">
        <f>ROUND(J51,-2)</f>
        <v>2058000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21</v>
      </c>
      <c r="G56" s="80">
        <f>SUM(G52:G55)</f>
        <v>1523300</v>
      </c>
      <c r="H56" s="80">
        <f>SUM(H52:H55)</f>
        <v>219600</v>
      </c>
      <c r="I56" s="260">
        <f>SUM(I52:I55)</f>
        <v>315100</v>
      </c>
      <c r="J56" s="80">
        <f>SUM(J52:J55)</f>
        <v>2058000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21</v>
      </c>
      <c r="G60" s="80">
        <f>SUM(G56:G59)</f>
        <v>1523300</v>
      </c>
      <c r="H60" s="80">
        <f>SUM(H56:H59)</f>
        <v>219600</v>
      </c>
      <c r="I60" s="260">
        <f>SUM(I56:I59)</f>
        <v>315100</v>
      </c>
      <c r="J60" s="80">
        <f>SUM(J56:J59)</f>
        <v>2058000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21</v>
      </c>
      <c r="G67" s="80">
        <f>SUM(G60:G64)</f>
        <v>1523300</v>
      </c>
      <c r="H67" s="80">
        <f>SUM(H60:H64)</f>
        <v>219600</v>
      </c>
      <c r="I67" s="80">
        <f>SUM(I60:I64)</f>
        <v>315100</v>
      </c>
      <c r="J67" s="80">
        <f>SUM(J60:J64)</f>
        <v>2058000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-4900</v>
      </c>
      <c r="J69" s="287">
        <f>SUM(G69:I69)</f>
        <v>-4900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12400</v>
      </c>
      <c r="H72" s="287"/>
      <c r="I72" s="287">
        <f>ROUND(($G72*PermVBBY+$G72*Retire1BY),-2)</f>
        <v>2600</v>
      </c>
      <c r="J72" s="113">
        <f>SUM(G72:I72)</f>
        <v>15000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21</v>
      </c>
      <c r="G75" s="80">
        <f>SUM(G67:G74)</f>
        <v>1535700</v>
      </c>
      <c r="H75" s="80">
        <f>SUM(H67:H74)</f>
        <v>219600</v>
      </c>
      <c r="I75" s="80">
        <f>SUM(I67:I74)</f>
        <v>312800</v>
      </c>
      <c r="J75" s="80">
        <f>SUM(J67:K74)</f>
        <v>2068100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21</v>
      </c>
      <c r="G80" s="80">
        <f>SUM(G75:G79)</f>
        <v>1535700</v>
      </c>
      <c r="H80" s="80">
        <f>SUM(H75:H79)</f>
        <v>219600</v>
      </c>
      <c r="I80" s="80">
        <f>SUM(I75:I79)</f>
        <v>312800</v>
      </c>
      <c r="J80" s="80">
        <f>SUM(J75:J79)</f>
        <v>2068100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6" priority="5">
      <formula>$J$44&lt;0</formula>
    </cfRule>
  </conditionalFormatting>
  <conditionalFormatting sqref="K43">
    <cfRule type="expression" dxfId="15" priority="4">
      <formula>$J$43&lt;0</formula>
    </cfRule>
  </conditionalFormatting>
  <conditionalFormatting sqref="L16">
    <cfRule type="expression" dxfId="14" priority="3">
      <formula>$J$16&lt;0</formula>
    </cfRule>
  </conditionalFormatting>
  <conditionalFormatting sqref="K45">
    <cfRule type="expression" dxfId="13" priority="2">
      <formula>$J$44&lt;0</formula>
    </cfRule>
  </conditionalFormatting>
  <conditionalFormatting sqref="K43:N45">
    <cfRule type="containsText" dxfId="12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1DC8F2-535A-4905-B816-BCAD9AFEC5FD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7676B-8CD8-4FC1-8B2E-C00114270FC6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370</v>
      </c>
      <c r="E1" s="15"/>
      <c r="F1" s="15"/>
      <c r="G1" s="15"/>
      <c r="H1" s="15"/>
      <c r="I1" s="15"/>
      <c r="J1" s="15"/>
      <c r="K1" s="15"/>
      <c r="L1" s="16" t="s">
        <v>14</v>
      </c>
      <c r="M1" s="468">
        <v>181</v>
      </c>
      <c r="N1" s="469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371</v>
      </c>
      <c r="E2" s="21"/>
      <c r="F2" s="21"/>
      <c r="G2" s="21"/>
      <c r="H2" s="21"/>
      <c r="I2" s="21"/>
      <c r="J2" s="20"/>
      <c r="K2" s="20"/>
      <c r="L2" s="22" t="s">
        <v>113</v>
      </c>
      <c r="M2" s="470" t="s">
        <v>375</v>
      </c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379</v>
      </c>
      <c r="E3" s="24"/>
      <c r="F3" s="25"/>
      <c r="G3" s="25"/>
      <c r="H3" s="25"/>
      <c r="I3" s="26"/>
      <c r="J3" s="20"/>
      <c r="K3" s="20"/>
      <c r="L3" s="22" t="s">
        <v>114</v>
      </c>
      <c r="M3" s="468" t="s">
        <v>318</v>
      </c>
      <c r="N3" s="469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 t="s">
        <v>373</v>
      </c>
      <c r="J5" s="472"/>
      <c r="K5" s="472"/>
      <c r="L5" s="471"/>
      <c r="M5" s="352" t="s">
        <v>115</v>
      </c>
      <c r="N5" s="32" t="s">
        <v>374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3" t="s">
        <v>22</v>
      </c>
      <c r="D8" s="474"/>
      <c r="E8" s="370" t="s">
        <v>23</v>
      </c>
      <c r="F8" s="49" t="s">
        <v>24</v>
      </c>
      <c r="G8" s="50" t="str">
        <f>"FY "&amp;'GVAM|0001-00'!FiscalYear-1&amp;" SALARY"</f>
        <v>FY 2022 SALARY</v>
      </c>
      <c r="H8" s="50" t="str">
        <f>"FY "&amp;'GVAM|0001-00'!FiscalYear-1&amp;" HEALTH BENEFITS"</f>
        <v>FY 2022 HEALTH BENEFITS</v>
      </c>
      <c r="I8" s="50" t="str">
        <f>"FY "&amp;'GVAM|0001-00'!FiscalYear-1&amp;" VAR BENEFITS"</f>
        <v>FY 2022 VAR BENEFITS</v>
      </c>
      <c r="J8" s="50" t="str">
        <f>"FY "&amp;'GVAM|0001-00'!FiscalYear-1&amp;" TOTAL"</f>
        <v>FY 2022 TOTAL</v>
      </c>
      <c r="K8" s="50" t="str">
        <f>"FY "&amp;'GVAM|0001-00'!FiscalYear&amp;" SALARY CHANGE"</f>
        <v>FY 2023 SALARY CHANGE</v>
      </c>
      <c r="L8" s="50" t="str">
        <f>"FY "&amp;'GVAM|0001-00'!FiscalYear&amp;" CHG HEALTH BENEFITS"</f>
        <v>FY 2023 CHG HEALTH BENEFITS</v>
      </c>
      <c r="M8" s="50" t="str">
        <f>"FY "&amp;'GVAM|0001-00'!FiscalYear&amp;"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f>[0]!GVAM000100col_INC_FTI</f>
        <v>0</v>
      </c>
      <c r="G10" s="218">
        <f>[0]!GVAM000100col_FTI_SALARY_PERM</f>
        <v>0</v>
      </c>
      <c r="H10" s="218">
        <f>[0]!GVAM000100col_HEALTH_PERM</f>
        <v>0</v>
      </c>
      <c r="I10" s="218">
        <f>[0]!GVAM000100col_TOT_VB_PERM</f>
        <v>0</v>
      </c>
      <c r="J10" s="219">
        <f>SUM(G10:I10)</f>
        <v>0</v>
      </c>
      <c r="K10" s="219">
        <f>[0]!GVAM000100col_1_27TH_PP</f>
        <v>0</v>
      </c>
      <c r="L10" s="218">
        <f>[0]!GVAM000100col_HEALTH_PERM_CHG</f>
        <v>0</v>
      </c>
      <c r="M10" s="218">
        <f>[0]!GVAM000100col_TOT_VB_PERM_CHG</f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f>[0]!GVAM000100col_Group_Salary</f>
        <v>1278.01</v>
      </c>
      <c r="H11" s="218">
        <v>0</v>
      </c>
      <c r="I11" s="218">
        <f>[0]!GVAM000100col_Group_Ben</f>
        <v>122.71</v>
      </c>
      <c r="J11" s="219">
        <f>SUM(G11:I11)</f>
        <v>1400.72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f>[0]!GVAM000100col_TOTAL_ELECT_PCN_FTI</f>
        <v>0</v>
      </c>
      <c r="G12" s="218">
        <f>[0]!GVAM000100col_FTI_SALARY_ELECT</f>
        <v>0</v>
      </c>
      <c r="H12" s="218">
        <f>[0]!GVAM000100col_HEALTH_ELECT</f>
        <v>0</v>
      </c>
      <c r="I12" s="218">
        <f>[0]!GVAM000100col_TOT_VB_ELECT</f>
        <v>0</v>
      </c>
      <c r="J12" s="219">
        <f>SUM(G12:I12)</f>
        <v>0</v>
      </c>
      <c r="K12" s="268"/>
      <c r="L12" s="218">
        <f>[0]!GVAM000100col_HEALTH_ELECT_CHG</f>
        <v>0</v>
      </c>
      <c r="M12" s="218">
        <f>[0]!GVAM000100col_TOT_VB_ELECT_CHG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0</v>
      </c>
      <c r="G13" s="221">
        <f>SUM(G10:G12)</f>
        <v>1278.01</v>
      </c>
      <c r="H13" s="221">
        <f>SUM(H10:H12)</f>
        <v>0</v>
      </c>
      <c r="I13" s="221">
        <f>SUM(I10:I12)</f>
        <v>122.71</v>
      </c>
      <c r="J13" s="219">
        <f>SUM(G13:I13)</f>
        <v>1400.72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"&amp;'GVAM|0001-00'!FiscalYear-1</f>
        <v>FY 2022</v>
      </c>
      <c r="D15" s="158" t="s">
        <v>31</v>
      </c>
      <c r="E15" s="355">
        <v>17900</v>
      </c>
      <c r="F15" s="55">
        <v>0</v>
      </c>
      <c r="G15" s="223">
        <f>IF(OrigApprop=0,0,(G13/$J$13)*OrigApprop)</f>
        <v>16331.871466103146</v>
      </c>
      <c r="H15" s="223">
        <f>IF(OrigApprop=0,0,(H13/$J$13)*OrigApprop)</f>
        <v>0</v>
      </c>
      <c r="I15" s="223">
        <f>IF(G15=0,0,(I13/$J$13)*OrigApprop)</f>
        <v>1568.128533896853</v>
      </c>
      <c r="J15" s="223">
        <f>SUM(G15:I15)</f>
        <v>17900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0</v>
      </c>
      <c r="G16" s="162">
        <f>G15-G13</f>
        <v>15053.861466103146</v>
      </c>
      <c r="H16" s="162">
        <f>H15-H13</f>
        <v>0</v>
      </c>
      <c r="I16" s="162">
        <f>I15-I13</f>
        <v>1445.418533896853</v>
      </c>
      <c r="J16" s="162">
        <f>J15-J13</f>
        <v>16499.28</v>
      </c>
      <c r="K16" s="269"/>
      <c r="L16" s="56" t="str">
        <f>IF('GVAM|0001-00'!OrigApprop=0,"ERROR! Enter Original Appropriation amount in DU 3.00!","Calculated "&amp;IF('GVAM|0001-00'!AdjustedTotal&gt;0,"overfunding ","underfunding ")&amp;"is "&amp;TEXT('GVAM|0001-00'!AdjustedTotal/'GVAM|0001-00'!AppropTotal,"#.0%;(#.0% );0% ;")&amp;" of Original Appropriation")</f>
        <v>Calculated overfunding is 92.2%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1278.01</v>
      </c>
      <c r="H39" s="152">
        <f>SUMIF($E10:$E35,$E39,$H10:$H35)</f>
        <v>0</v>
      </c>
      <c r="I39" s="152">
        <f>SUMIF($E10:$E35,$E39,$I10:$I35)</f>
        <v>122.71</v>
      </c>
      <c r="J39" s="152">
        <f>SUM(G39:I39)</f>
        <v>1400.72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0</v>
      </c>
      <c r="G41" s="195">
        <f>SUM($G$38:$G$40)</f>
        <v>1278.01</v>
      </c>
      <c r="H41" s="162">
        <f>SUM($H$38:$H$40)</f>
        <v>0</v>
      </c>
      <c r="I41" s="162">
        <f>SUM($I$38:$I$40)</f>
        <v>122.71</v>
      </c>
      <c r="J41" s="162">
        <f>SUM($J$38:$J$40)</f>
        <v>1400.72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0</v>
      </c>
      <c r="G43" s="206">
        <f>ROUND(G51-G41,-2)</f>
        <v>15100</v>
      </c>
      <c r="H43" s="159">
        <f>ROUND(H51-H41,-2)</f>
        <v>0</v>
      </c>
      <c r="I43" s="159">
        <f>ROUND(I51-I41,-2)</f>
        <v>1400</v>
      </c>
      <c r="J43" s="159">
        <f>SUM(G43:I43)</f>
        <v>16500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Calculated overfunding is 92.2% of Original Appropriation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0</v>
      </c>
      <c r="G44" s="206">
        <f>ROUND(G60-G41,-2)</f>
        <v>15000</v>
      </c>
      <c r="H44" s="159">
        <f>ROUND(H60-H41,-2)</f>
        <v>0</v>
      </c>
      <c r="I44" s="159">
        <f>ROUND(I60-I41,-2)</f>
        <v>1500</v>
      </c>
      <c r="J44" s="159">
        <f>SUM(G44:I44)</f>
        <v>16500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Calculated overfunding is 92.2% of Estimated Expenditures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15000</v>
      </c>
      <c r="H45" s="206">
        <f>ROUND(H67-H41-H63,-2)</f>
        <v>0</v>
      </c>
      <c r="I45" s="206">
        <f>ROUND(I67-I41-I63,-2)</f>
        <v>1500</v>
      </c>
      <c r="J45" s="159">
        <f>SUM(G45:I45)</f>
        <v>16500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92.2% of the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/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17900</v>
      </c>
      <c r="F51" s="272">
        <f>AppropFTP</f>
        <v>0</v>
      </c>
      <c r="G51" s="274">
        <f>IF(E51=0,0,(G41/$J$41)*$E$51)</f>
        <v>16331.871466103146</v>
      </c>
      <c r="H51" s="274">
        <f>IF(E51=0,0,(H41/$J$41)*$E$51)</f>
        <v>0</v>
      </c>
      <c r="I51" s="275">
        <f>IF(E51=0,0,(I41/$J$41)*$E$51)</f>
        <v>1568.128533896853</v>
      </c>
      <c r="J51" s="90">
        <f>SUM(G51:I51)</f>
        <v>17900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16300</v>
      </c>
      <c r="H52" s="79">
        <f>ROUND(H51,-2)</f>
        <v>0</v>
      </c>
      <c r="I52" s="266">
        <f>ROUND(I51,-2)</f>
        <v>1600</v>
      </c>
      <c r="J52" s="80">
        <f>ROUND(J51,-2)</f>
        <v>17900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>
        <f>SUM(G52:G55)</f>
        <v>16300</v>
      </c>
      <c r="H56" s="80">
        <f>SUM(H52:H55)</f>
        <v>0</v>
      </c>
      <c r="I56" s="260">
        <f>SUM(I52:I55)</f>
        <v>1600</v>
      </c>
      <c r="J56" s="80">
        <f>SUM(J52:J55)</f>
        <v>17900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>
        <f>SUM(G56:G59)</f>
        <v>16300</v>
      </c>
      <c r="H60" s="80">
        <f>SUM(H56:H59)</f>
        <v>0</v>
      </c>
      <c r="I60" s="260">
        <f>SUM(I56:I59)</f>
        <v>1600</v>
      </c>
      <c r="J60" s="80">
        <f>SUM(J56:J59)</f>
        <v>17900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>
        <f>SUM(G60:G64)</f>
        <v>16300</v>
      </c>
      <c r="H67" s="80">
        <f>SUM(H60:H64)</f>
        <v>0</v>
      </c>
      <c r="I67" s="80">
        <f>SUM(I60:I64)</f>
        <v>1600</v>
      </c>
      <c r="J67" s="80">
        <f>SUM(J60:J64)</f>
        <v>17900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>
        <f>SUM(G67:G74)</f>
        <v>16300</v>
      </c>
      <c r="H75" s="80">
        <f>SUM(H67:H74)</f>
        <v>0</v>
      </c>
      <c r="I75" s="80">
        <f>SUM(I67:I74)</f>
        <v>1600</v>
      </c>
      <c r="J75" s="80">
        <f>SUM(J67:K74)</f>
        <v>17900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>
        <f>SUM(G75:G79)</f>
        <v>16300</v>
      </c>
      <c r="H80" s="80">
        <f>SUM(H75:H79)</f>
        <v>0</v>
      </c>
      <c r="I80" s="80">
        <f>SUM(I75:I79)</f>
        <v>1600</v>
      </c>
      <c r="J80" s="80">
        <f>SUM(J75:J79)</f>
        <v>17900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1" priority="5">
      <formula>$J$44&lt;0</formula>
    </cfRule>
  </conditionalFormatting>
  <conditionalFormatting sqref="K43">
    <cfRule type="expression" dxfId="10" priority="4">
      <formula>$J$43&lt;0</formula>
    </cfRule>
  </conditionalFormatting>
  <conditionalFormatting sqref="L16">
    <cfRule type="expression" dxfId="9" priority="3">
      <formula>$J$16&lt;0</formula>
    </cfRule>
  </conditionalFormatting>
  <conditionalFormatting sqref="K45">
    <cfRule type="expression" dxfId="8" priority="2">
      <formula>$J$44&lt;0</formula>
    </cfRule>
  </conditionalFormatting>
  <conditionalFormatting sqref="K43:N45">
    <cfRule type="containsText" dxfId="7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79EC7F-734B-4215-A186-709FA1736068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CP51"/>
  <sheetViews>
    <sheetView workbookViewId="0">
      <pane xSplit="3" ySplit="1" topLeftCell="AM33" activePane="bottomRight" state="frozen"/>
      <selection pane="topRight" activeCell="D1" sqref="D1"/>
      <selection pane="bottomLeft" activeCell="A2" sqref="A2"/>
      <selection pane="bottomRight" activeCell="AS40" sqref="AS40:BA51"/>
    </sheetView>
  </sheetViews>
  <sheetFormatPr defaultRowHeight="15" x14ac:dyDescent="0.25"/>
  <cols>
    <col min="45" max="53" width="15.7109375" customWidth="1"/>
    <col min="54" max="54" width="11.7109375" bestFit="1" customWidth="1"/>
    <col min="55" max="57" width="10.5703125" bestFit="1" customWidth="1"/>
    <col min="58" max="58" width="11.7109375" bestFit="1" customWidth="1"/>
    <col min="59" max="60" width="9.42578125" bestFit="1" customWidth="1"/>
    <col min="61" max="61" width="9" bestFit="1" customWidth="1"/>
    <col min="62" max="62" width="9.42578125" bestFit="1" customWidth="1"/>
    <col min="63" max="63" width="9" bestFit="1" customWidth="1"/>
    <col min="64" max="64" width="11.7109375" bestFit="1" customWidth="1"/>
    <col min="65" max="65" width="10.5703125" bestFit="1" customWidth="1"/>
    <col min="66" max="66" width="11.7109375" bestFit="1" customWidth="1"/>
    <col min="67" max="69" width="10.5703125" bestFit="1" customWidth="1"/>
    <col min="70" max="70" width="11.7109375" bestFit="1" customWidth="1"/>
    <col min="71" max="71" width="9.42578125" bestFit="1" customWidth="1"/>
    <col min="72" max="73" width="9" bestFit="1" customWidth="1"/>
    <col min="74" max="74" width="9.42578125" bestFit="1" customWidth="1"/>
    <col min="75" max="75" width="9" bestFit="1" customWidth="1"/>
    <col min="76" max="76" width="11.7109375" bestFit="1" customWidth="1"/>
    <col min="77" max="77" width="10.5703125" bestFit="1" customWidth="1"/>
    <col min="78" max="83" width="9" bestFit="1" customWidth="1"/>
    <col min="84" max="84" width="10.140625" bestFit="1" customWidth="1"/>
    <col min="85" max="87" width="9" bestFit="1" customWidth="1"/>
    <col min="88" max="88" width="10.140625" bestFit="1" customWidth="1"/>
    <col min="89" max="89" width="9" bestFit="1" customWidth="1"/>
    <col min="90" max="90" width="9.42578125" bestFit="1" customWidth="1"/>
    <col min="91" max="91" width="9" bestFit="1" customWidth="1"/>
  </cols>
  <sheetData>
    <row r="1" spans="1:92" ht="12.75" customHeight="1" thickBot="1" x14ac:dyDescent="0.3">
      <c r="A1" s="374" t="s">
        <v>118</v>
      </c>
      <c r="B1" s="374" t="s">
        <v>119</v>
      </c>
      <c r="C1" s="374" t="s">
        <v>20</v>
      </c>
      <c r="D1" s="374" t="s">
        <v>120</v>
      </c>
      <c r="E1" s="374" t="s">
        <v>121</v>
      </c>
      <c r="F1" s="375" t="s">
        <v>122</v>
      </c>
      <c r="G1" s="374" t="s">
        <v>123</v>
      </c>
      <c r="H1" s="374" t="s">
        <v>124</v>
      </c>
      <c r="I1" s="374" t="s">
        <v>125</v>
      </c>
      <c r="J1" s="374" t="s">
        <v>126</v>
      </c>
      <c r="K1" s="374" t="s">
        <v>127</v>
      </c>
      <c r="L1" s="374" t="s">
        <v>128</v>
      </c>
      <c r="M1" s="374" t="s">
        <v>129</v>
      </c>
      <c r="N1" s="374" t="s">
        <v>130</v>
      </c>
      <c r="O1" s="374" t="s">
        <v>131</v>
      </c>
      <c r="P1" s="374" t="s">
        <v>132</v>
      </c>
      <c r="Q1" s="374" t="s">
        <v>133</v>
      </c>
      <c r="R1" s="374" t="s">
        <v>134</v>
      </c>
      <c r="S1" s="374" t="s">
        <v>135</v>
      </c>
      <c r="T1" s="374" t="s">
        <v>136</v>
      </c>
      <c r="U1" s="374" t="s">
        <v>137</v>
      </c>
      <c r="V1" s="374" t="s">
        <v>138</v>
      </c>
      <c r="W1" s="374" t="s">
        <v>139</v>
      </c>
      <c r="X1" s="374" t="s">
        <v>140</v>
      </c>
      <c r="Y1" s="374" t="s">
        <v>141</v>
      </c>
      <c r="Z1" s="374" t="s">
        <v>142</v>
      </c>
      <c r="AA1" s="374" t="s">
        <v>143</v>
      </c>
      <c r="AB1" s="374" t="s">
        <v>144</v>
      </c>
      <c r="AC1" s="374" t="s">
        <v>145</v>
      </c>
      <c r="AD1" s="374" t="s">
        <v>146</v>
      </c>
      <c r="AE1" s="374" t="s">
        <v>147</v>
      </c>
      <c r="AF1" s="374" t="s">
        <v>148</v>
      </c>
      <c r="AG1" s="374" t="s">
        <v>149</v>
      </c>
      <c r="AH1" s="374" t="s">
        <v>150</v>
      </c>
      <c r="AI1" s="374" t="s">
        <v>151</v>
      </c>
      <c r="AJ1" s="374" t="s">
        <v>152</v>
      </c>
      <c r="AK1" s="374" t="s">
        <v>153</v>
      </c>
      <c r="AL1" s="374" t="s">
        <v>154</v>
      </c>
      <c r="AM1" s="374" t="s">
        <v>155</v>
      </c>
      <c r="AN1" s="374" t="s">
        <v>156</v>
      </c>
      <c r="AO1" s="374" t="s">
        <v>157</v>
      </c>
      <c r="AP1" s="374" t="s">
        <v>158</v>
      </c>
      <c r="AQ1" s="374" t="s">
        <v>159</v>
      </c>
      <c r="AR1" s="374" t="s">
        <v>160</v>
      </c>
      <c r="AS1" s="386" t="s">
        <v>320</v>
      </c>
      <c r="AT1" s="386" t="s">
        <v>321</v>
      </c>
      <c r="AU1" s="386" t="s">
        <v>322</v>
      </c>
      <c r="AV1" s="386" t="s">
        <v>323</v>
      </c>
      <c r="AW1" s="386" t="s">
        <v>324</v>
      </c>
      <c r="AX1" s="386" t="s">
        <v>325</v>
      </c>
      <c r="AY1" s="386" t="s">
        <v>326</v>
      </c>
      <c r="AZ1" s="386" t="s">
        <v>327</v>
      </c>
      <c r="BA1" s="388" t="s">
        <v>328</v>
      </c>
      <c r="BB1" s="389" t="s">
        <v>329</v>
      </c>
      <c r="BC1" s="389" t="s">
        <v>330</v>
      </c>
      <c r="BD1" s="389" t="s">
        <v>331</v>
      </c>
      <c r="BE1" s="389" t="s">
        <v>332</v>
      </c>
      <c r="BF1" s="389" t="s">
        <v>333</v>
      </c>
      <c r="BG1" s="389" t="s">
        <v>334</v>
      </c>
      <c r="BH1" s="389" t="s">
        <v>335</v>
      </c>
      <c r="BI1" s="389" t="s">
        <v>336</v>
      </c>
      <c r="BJ1" s="389" t="s">
        <v>337</v>
      </c>
      <c r="BK1" s="389" t="s">
        <v>338</v>
      </c>
      <c r="BL1" s="390" t="s">
        <v>339</v>
      </c>
      <c r="BM1" s="390" t="s">
        <v>340</v>
      </c>
      <c r="BN1" s="389" t="s">
        <v>341</v>
      </c>
      <c r="BO1" s="389" t="s">
        <v>342</v>
      </c>
      <c r="BP1" s="389" t="s">
        <v>343</v>
      </c>
      <c r="BQ1" s="389" t="s">
        <v>344</v>
      </c>
      <c r="BR1" s="389" t="s">
        <v>345</v>
      </c>
      <c r="BS1" s="389" t="s">
        <v>346</v>
      </c>
      <c r="BT1" s="389" t="s">
        <v>347</v>
      </c>
      <c r="BU1" s="389" t="s">
        <v>348</v>
      </c>
      <c r="BV1" s="389" t="s">
        <v>349</v>
      </c>
      <c r="BW1" s="389" t="s">
        <v>350</v>
      </c>
      <c r="BX1" s="390" t="s">
        <v>351</v>
      </c>
      <c r="BY1" s="390" t="s">
        <v>352</v>
      </c>
      <c r="BZ1" s="389" t="s">
        <v>353</v>
      </c>
      <c r="CA1" s="389" t="s">
        <v>354</v>
      </c>
      <c r="CB1" s="389" t="s">
        <v>355</v>
      </c>
      <c r="CC1" s="389" t="s">
        <v>356</v>
      </c>
      <c r="CD1" s="389" t="s">
        <v>357</v>
      </c>
      <c r="CE1" s="389" t="s">
        <v>358</v>
      </c>
      <c r="CF1" s="389" t="s">
        <v>359</v>
      </c>
      <c r="CG1" s="389" t="s">
        <v>360</v>
      </c>
      <c r="CH1" s="389" t="s">
        <v>361</v>
      </c>
      <c r="CI1" s="389" t="s">
        <v>362</v>
      </c>
      <c r="CJ1" s="390" t="s">
        <v>363</v>
      </c>
      <c r="CK1" s="390" t="s">
        <v>364</v>
      </c>
      <c r="CL1" s="391" t="s">
        <v>365</v>
      </c>
      <c r="CM1" s="391" t="s">
        <v>366</v>
      </c>
      <c r="CN1" s="391" t="s">
        <v>367</v>
      </c>
    </row>
    <row r="2" spans="1:92" ht="15.75" thickBot="1" x14ac:dyDescent="0.3">
      <c r="A2" s="376" t="s">
        <v>161</v>
      </c>
      <c r="B2" s="376" t="s">
        <v>162</v>
      </c>
      <c r="C2" s="376" t="s">
        <v>163</v>
      </c>
      <c r="D2" s="376" t="s">
        <v>164</v>
      </c>
      <c r="E2" s="376" t="s">
        <v>165</v>
      </c>
      <c r="F2" s="377" t="s">
        <v>166</v>
      </c>
      <c r="G2" s="376" t="s">
        <v>167</v>
      </c>
      <c r="H2" s="378"/>
      <c r="I2" s="378"/>
      <c r="J2" s="376" t="s">
        <v>168</v>
      </c>
      <c r="K2" s="376" t="s">
        <v>169</v>
      </c>
      <c r="L2" s="376" t="s">
        <v>166</v>
      </c>
      <c r="M2" s="376" t="s">
        <v>170</v>
      </c>
      <c r="N2" s="376" t="s">
        <v>171</v>
      </c>
      <c r="O2" s="379">
        <v>1</v>
      </c>
      <c r="P2" s="385">
        <v>1</v>
      </c>
      <c r="Q2" s="385">
        <v>1</v>
      </c>
      <c r="R2" s="380">
        <v>80</v>
      </c>
      <c r="S2" s="385">
        <v>1</v>
      </c>
      <c r="T2" s="380">
        <v>1869.37</v>
      </c>
      <c r="U2" s="380">
        <v>120.26</v>
      </c>
      <c r="V2" s="380">
        <v>356.29</v>
      </c>
      <c r="W2" s="380">
        <v>24873.42</v>
      </c>
      <c r="X2" s="380">
        <v>2116.71</v>
      </c>
      <c r="Y2" s="380">
        <v>24873.42</v>
      </c>
      <c r="Z2" s="380">
        <v>1989.86</v>
      </c>
      <c r="AA2" s="376" t="s">
        <v>172</v>
      </c>
      <c r="AB2" s="376" t="s">
        <v>173</v>
      </c>
      <c r="AC2" s="376" t="s">
        <v>174</v>
      </c>
      <c r="AD2" s="376" t="s">
        <v>175</v>
      </c>
      <c r="AE2" s="376" t="s">
        <v>169</v>
      </c>
      <c r="AF2" s="376" t="s">
        <v>176</v>
      </c>
      <c r="AG2" s="376" t="s">
        <v>177</v>
      </c>
      <c r="AH2" s="381">
        <v>24.53</v>
      </c>
      <c r="AI2" s="381">
        <v>6472.2</v>
      </c>
      <c r="AJ2" s="376" t="s">
        <v>178</v>
      </c>
      <c r="AK2" s="376" t="s">
        <v>179</v>
      </c>
      <c r="AL2" s="376" t="s">
        <v>179</v>
      </c>
      <c r="AM2" s="376" t="s">
        <v>180</v>
      </c>
      <c r="AN2" s="376" t="s">
        <v>181</v>
      </c>
      <c r="AO2" s="379">
        <v>39</v>
      </c>
      <c r="AP2" s="385">
        <v>1</v>
      </c>
      <c r="AQ2" s="385">
        <v>0.48</v>
      </c>
      <c r="AR2" s="383" t="s">
        <v>182</v>
      </c>
      <c r="AS2" s="387">
        <f>IF(((AO2/80)*AP2*P2)&gt;1,AQ2,((AO2/80)*AP2*P2))</f>
        <v>0.48749999999999999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387">
        <f>IF(AT2=0,"",IF(AND(AT2=1,M2="F",SUMIF(C2:C26,C2,AS2:AS26)&lt;=1),SUMIF(C2:C26,C2,AS2:AS26),IF(AND(AT2=1,M2="F",SUMIF(C2:C26,C2,AS2:AS26)&gt;1),1,"")))</f>
        <v>0.48749999999999999</v>
      </c>
      <c r="AV2" s="387" t="str">
        <f>IF(AT2=0,"",IF(AND(AT2=3,M2="F",SUMIF(C2:C26,C2,AS2:AS26)&lt;=1),SUMIF(C2:C26,C2,AS2:AS26),IF(AND(AT2=3,M2="F",SUMIF(C2:C26,C2,AS2:AS26)&gt;1),1,"")))</f>
        <v/>
      </c>
      <c r="AW2" s="387">
        <f>SUMIF(C2:C26,C2,O2:O26)</f>
        <v>1</v>
      </c>
      <c r="AX2" s="387">
        <f>IF(AND(M2="F",AS2&lt;&gt;0),SUMIF(C2:C26,C2,W2:W26),0)</f>
        <v>24873.42</v>
      </c>
      <c r="AY2" s="387">
        <f>IF(AT2=1,W2,"")</f>
        <v>24873.42</v>
      </c>
      <c r="AZ2" s="387" t="str">
        <f>IF(AT2=3,W2,"")</f>
        <v/>
      </c>
      <c r="BA2" s="387">
        <f>IF(AT2=1,Y2-W2,0)</f>
        <v>0</v>
      </c>
      <c r="BB2" s="387">
        <f t="shared" ref="BB2:BB26" si="0">IF(AND(AT2=1,AK2="E",AU2&gt;=0.75,AW2=1),Health,IF(AND(AT2=1,AK2="E",AU2&gt;=0.75),Health*P2,IF(AND(AT2=1,AK2="E",AU2&gt;=0.5,AW2=1),PTHealth,IF(AND(AT2=1,AK2="E",AU2&gt;=0.5),PTHealth*P2,0))))</f>
        <v>0</v>
      </c>
      <c r="BC2" s="387">
        <f t="shared" ref="BC2:BC26" si="1">IF(AND(AT2=3,AK2="E",AV2&gt;=0.75,AW2=1),Health,IF(AND(AT2=3,AK2="E",AV2&gt;=0.75),Health*P2,IF(AND(AT2=3,AK2="E",AV2&gt;=0.5,AW2=1),PTHealth,IF(AND(AT2=3,AK2="E",AV2&gt;=0.5),PTHealth*P2,0))))</f>
        <v>0</v>
      </c>
      <c r="BD2" s="387">
        <f t="shared" ref="BD2:BD26" si="2">IF(AND(AT2&lt;&gt;0,AX2&gt;=MAXSSDI),SSDI*MAXSSDI*P2,IF(AT2&lt;&gt;0,SSDI*W2,0))</f>
        <v>1542.1520399999999</v>
      </c>
      <c r="BE2" s="387">
        <f t="shared" ref="BE2:BE26" si="3">IF(AT2&lt;&gt;0,SSHI*W2,0)</f>
        <v>360.66458999999998</v>
      </c>
      <c r="BF2" s="387">
        <f t="shared" ref="BF2:BF26" si="4">IF(AND(AT2&lt;&gt;0,AN2&lt;&gt;"NE"),VLOOKUP(AN2,Retirement_Rates,3,FALSE)*W2,0)</f>
        <v>0</v>
      </c>
      <c r="BG2" s="387">
        <f t="shared" ref="BG2:BG26" si="5">IF(AND(AT2&lt;&gt;0,AJ2&lt;&gt;"PF"),Life*W2,0)</f>
        <v>0</v>
      </c>
      <c r="BH2" s="387">
        <f t="shared" ref="BH2:BH26" si="6">IF(AND(AT2&lt;&gt;0,AM2="Y"),UI*W2,0)</f>
        <v>121.87975799999998</v>
      </c>
      <c r="BI2" s="387">
        <f t="shared" ref="BI2:BI26" si="7">IF(AND(AT2&lt;&gt;0,N2&lt;&gt;"NR"),DHR*W2,0)</f>
        <v>0</v>
      </c>
      <c r="BJ2" s="387">
        <f t="shared" ref="BJ2:BJ26" si="8">IF(AT2&lt;&gt;0,WC*W2,0)</f>
        <v>92.031654000000003</v>
      </c>
      <c r="BK2" s="387">
        <f t="shared" ref="BK2:BK26" si="9">IF(OR(AND(AT2&lt;&gt;0,AJ2&lt;&gt;"PF",AN2&lt;&gt;"NE",AG2&lt;&gt;"A"),AND(AL2="E",OR(AT2=1,AT2=3))),Sick*W2,0)</f>
        <v>0</v>
      </c>
      <c r="BL2" s="387">
        <f>IF(AT2=1,SUM(BD2:BK2),0)</f>
        <v>2116.7280419999997</v>
      </c>
      <c r="BM2" s="387">
        <f>IF(AT2=3,SUM(BD2:BK2),0)</f>
        <v>0</v>
      </c>
      <c r="BN2" s="387">
        <f t="shared" ref="BN2:BN26" si="10">IF(AND(AT2=1,AK2="E",AU2&gt;=0.75,AW2=1),HealthBY,IF(AND(AT2=1,AK2="E",AU2&gt;=0.75),HealthBY*P2,IF(AND(AT2=1,AK2="E",AU2&gt;=0.5,AW2=1),PTHealthBY,IF(AND(AT2=1,AK2="E",AU2&gt;=0.5),PTHealthBY*P2,0))))</f>
        <v>0</v>
      </c>
      <c r="BO2" s="387">
        <f t="shared" ref="BO2:BO26" si="11">IF(AND(AT2=3,AK2="E",AV2&gt;=0.75,AW2=1),HealthBY,IF(AND(AT2=3,AK2="E",AV2&gt;=0.75),HealthBY*P2,IF(AND(AT2=3,AK2="E",AV2&gt;=0.5,AW2=1),PTHealthBY,IF(AND(AT2=3,AK2="E",AV2&gt;=0.5),PTHealthBY*P2,0))))</f>
        <v>0</v>
      </c>
      <c r="BP2" s="387">
        <f t="shared" ref="BP2:BP26" si="12">IF(AND(AT2&lt;&gt;0,(AX2+BA2)&gt;=MAXSSDIBY),SSDIBY*MAXSSDIBY*P2,IF(AT2&lt;&gt;0,SSDIBY*W2,0))</f>
        <v>1542.1520399999999</v>
      </c>
      <c r="BQ2" s="387">
        <f t="shared" ref="BQ2:BQ26" si="13">IF(AT2&lt;&gt;0,SSHIBY*W2,0)</f>
        <v>360.66458999999998</v>
      </c>
      <c r="BR2" s="387">
        <f t="shared" ref="BR2:BR26" si="14">IF(AND(AT2&lt;&gt;0,AN2&lt;&gt;"NE"),VLOOKUP(AN2,Retirement_Rates,4,FALSE)*W2,0)</f>
        <v>0</v>
      </c>
      <c r="BS2" s="387">
        <f t="shared" ref="BS2:BS26" si="15">IF(AND(AT2&lt;&gt;0,AJ2&lt;&gt;"PF"),LifeBY*W2,0)</f>
        <v>0</v>
      </c>
      <c r="BT2" s="387">
        <f t="shared" ref="BT2:BT26" si="16">IF(AND(AT2&lt;&gt;0,AM2="Y"),UIBY*W2,0)</f>
        <v>0</v>
      </c>
      <c r="BU2" s="387">
        <f t="shared" ref="BU2:BU26" si="17">IF(AND(AT2&lt;&gt;0,N2&lt;&gt;"NR"),DHRBY*W2,0)</f>
        <v>0</v>
      </c>
      <c r="BV2" s="387">
        <f t="shared" ref="BV2:BV26" si="18">IF(AT2&lt;&gt;0,WCBY*W2,0)</f>
        <v>87.056969999999993</v>
      </c>
      <c r="BW2" s="387">
        <f t="shared" ref="BW2:BW26" si="19">IF(OR(AND(AT2&lt;&gt;0,AJ2&lt;&gt;"PF",AN2&lt;&gt;"NE",AG2&lt;&gt;"A"),AND(AL2="E",OR(AT2=1,AT2=3))),SickBY*W2,0)</f>
        <v>0</v>
      </c>
      <c r="BX2" s="387">
        <f>IF(AT2=1,SUM(BP2:BW2),0)</f>
        <v>1989.8735999999999</v>
      </c>
      <c r="BY2" s="387">
        <f>IF(AT2=3,SUM(BP2:BW2),0)</f>
        <v>0</v>
      </c>
      <c r="BZ2" s="387">
        <f>IF(AT2=1,BN2-BB2,0)</f>
        <v>0</v>
      </c>
      <c r="CA2" s="387">
        <f>IF(AT2=3,BO2-BC2,0)</f>
        <v>0</v>
      </c>
      <c r="CB2" s="387">
        <f>BP2-BD2</f>
        <v>0</v>
      </c>
      <c r="CC2" s="387">
        <f t="shared" ref="CC2:CC26" si="20">IF(AT2&lt;&gt;0,SSHICHG*Y2,0)</f>
        <v>0</v>
      </c>
      <c r="CD2" s="387">
        <f t="shared" ref="CD2:CD26" si="21">IF(AND(AT2&lt;&gt;0,AN2&lt;&gt;"NE"),VLOOKUP(AN2,Retirement_Rates,5,FALSE)*Y2,0)</f>
        <v>0</v>
      </c>
      <c r="CE2" s="387">
        <f t="shared" ref="CE2:CE26" si="22">IF(AND(AT2&lt;&gt;0,AJ2&lt;&gt;"PF"),LifeCHG*Y2,0)</f>
        <v>0</v>
      </c>
      <c r="CF2" s="387">
        <f t="shared" ref="CF2:CF26" si="23">IF(AND(AT2&lt;&gt;0,AM2="Y"),UICHG*Y2,0)</f>
        <v>-121.87975799999998</v>
      </c>
      <c r="CG2" s="387">
        <f t="shared" ref="CG2:CG26" si="24">IF(AND(AT2&lt;&gt;0,N2&lt;&gt;"NR"),DHRCHG*Y2,0)</f>
        <v>0</v>
      </c>
      <c r="CH2" s="387">
        <f t="shared" ref="CH2:CH26" si="25">IF(AT2&lt;&gt;0,WCCHG*Y2,0)</f>
        <v>-4.9746840000000017</v>
      </c>
      <c r="CI2" s="387">
        <f t="shared" ref="CI2:CI26" si="26">IF(OR(AND(AT2&lt;&gt;0,AJ2&lt;&gt;"PF",AN2&lt;&gt;"NE",AG2&lt;&gt;"A"),AND(AL2="E",OR(AT2=1,AT2=3))),SickCHG*Y2,0)</f>
        <v>0</v>
      </c>
      <c r="CJ2" s="387">
        <f>IF(AT2=1,SUM(CB2:CI2),0)</f>
        <v>-126.85444199999998</v>
      </c>
      <c r="CK2" s="387" t="str">
        <f>IF(AT2=3,SUM(CB2:CI2),"")</f>
        <v/>
      </c>
      <c r="CL2" s="387" t="str">
        <f>IF(OR(N2="NG",AG2="D"),(T2+U2),"")</f>
        <v/>
      </c>
      <c r="CM2" s="387" t="str">
        <f>IF(OR(N2="NG",AG2="D"),V2,"")</f>
        <v/>
      </c>
      <c r="CN2" s="387" t="str">
        <f>E2 &amp; "-" &amp; F2</f>
        <v>0001-00</v>
      </c>
    </row>
    <row r="3" spans="1:92" ht="15.75" thickBot="1" x14ac:dyDescent="0.3">
      <c r="A3" s="376" t="s">
        <v>161</v>
      </c>
      <c r="B3" s="376" t="s">
        <v>162</v>
      </c>
      <c r="C3" s="376" t="s">
        <v>183</v>
      </c>
      <c r="D3" s="376" t="s">
        <v>184</v>
      </c>
      <c r="E3" s="376" t="s">
        <v>165</v>
      </c>
      <c r="F3" s="377" t="s">
        <v>166</v>
      </c>
      <c r="G3" s="376" t="s">
        <v>167</v>
      </c>
      <c r="H3" s="378"/>
      <c r="I3" s="378"/>
      <c r="J3" s="376" t="s">
        <v>168</v>
      </c>
      <c r="K3" s="376" t="s">
        <v>185</v>
      </c>
      <c r="L3" s="376" t="s">
        <v>166</v>
      </c>
      <c r="M3" s="376" t="s">
        <v>170</v>
      </c>
      <c r="N3" s="376" t="s">
        <v>171</v>
      </c>
      <c r="O3" s="379">
        <v>1</v>
      </c>
      <c r="P3" s="385">
        <v>1</v>
      </c>
      <c r="Q3" s="385">
        <v>1</v>
      </c>
      <c r="R3" s="380">
        <v>80</v>
      </c>
      <c r="S3" s="385">
        <v>1</v>
      </c>
      <c r="T3" s="380">
        <v>71185.7</v>
      </c>
      <c r="U3" s="380">
        <v>0</v>
      </c>
      <c r="V3" s="380">
        <v>26044.66</v>
      </c>
      <c r="W3" s="380">
        <v>74110.399999999994</v>
      </c>
      <c r="X3" s="380">
        <v>27339.89</v>
      </c>
      <c r="Y3" s="380">
        <v>74110.399999999994</v>
      </c>
      <c r="Z3" s="380">
        <v>26961.93</v>
      </c>
      <c r="AA3" s="376" t="s">
        <v>186</v>
      </c>
      <c r="AB3" s="376" t="s">
        <v>187</v>
      </c>
      <c r="AC3" s="376" t="s">
        <v>188</v>
      </c>
      <c r="AD3" s="376" t="s">
        <v>189</v>
      </c>
      <c r="AE3" s="376" t="s">
        <v>190</v>
      </c>
      <c r="AF3" s="376" t="s">
        <v>176</v>
      </c>
      <c r="AG3" s="376" t="s">
        <v>177</v>
      </c>
      <c r="AH3" s="381">
        <v>35.630000000000003</v>
      </c>
      <c r="AI3" s="381">
        <v>17274.5</v>
      </c>
      <c r="AJ3" s="376" t="s">
        <v>191</v>
      </c>
      <c r="AK3" s="376" t="s">
        <v>192</v>
      </c>
      <c r="AL3" s="376" t="s">
        <v>179</v>
      </c>
      <c r="AM3" s="376" t="s">
        <v>180</v>
      </c>
      <c r="AN3" s="376" t="s">
        <v>68</v>
      </c>
      <c r="AO3" s="379">
        <v>80</v>
      </c>
      <c r="AP3" s="385">
        <v>1</v>
      </c>
      <c r="AQ3" s="385">
        <v>1</v>
      </c>
      <c r="AR3" s="383" t="s">
        <v>182</v>
      </c>
      <c r="AS3" s="387">
        <f t="shared" ref="AS3:AS26" si="27">IF(((AO3/80)*AP3*P3)&gt;1,AQ3,((AO3/80)*AP3*P3))</f>
        <v>1</v>
      </c>
      <c r="AT3">
        <f t="shared" ref="AT3:AT26" si="28">IF(AND(M3="F",N3&lt;&gt;"NG",AS3&lt;&gt;0,AND(AR3&lt;&gt;6,AR3&lt;&gt;36,AR3&lt;&gt;56),AG3&lt;&gt;"A",OR(AG3="H",AJ3="FS")),1,IF(AND(M3="F",N3&lt;&gt;"NG",AS3&lt;&gt;0,AG3="A"),3,0))</f>
        <v>1</v>
      </c>
      <c r="AU3" s="387">
        <f>IF(AT3=0,"",IF(AND(AT3=1,M3="F",SUMIF(C2:C26,C3,AS2:AS26)&lt;=1),SUMIF(C2:C26,C3,AS2:AS26),IF(AND(AT3=1,M3="F",SUMIF(C2:C26,C3,AS2:AS26)&gt;1),1,"")))</f>
        <v>1</v>
      </c>
      <c r="AV3" s="387" t="str">
        <f>IF(AT3=0,"",IF(AND(AT3=3,M3="F",SUMIF(C2:C26,C3,AS2:AS26)&lt;=1),SUMIF(C2:C26,C3,AS2:AS26),IF(AND(AT3=3,M3="F",SUMIF(C2:C26,C3,AS2:AS26)&gt;1),1,"")))</f>
        <v/>
      </c>
      <c r="AW3" s="387">
        <f>SUMIF(C2:C26,C3,O2:O26)</f>
        <v>1</v>
      </c>
      <c r="AX3" s="387">
        <f>IF(AND(M3="F",AS3&lt;&gt;0),SUMIF(C2:C26,C3,W2:W26),0)</f>
        <v>74110.399999999994</v>
      </c>
      <c r="AY3" s="387">
        <f t="shared" ref="AY3:AY26" si="29">IF(AT3=1,W3,"")</f>
        <v>74110.399999999994</v>
      </c>
      <c r="AZ3" s="387" t="str">
        <f t="shared" ref="AZ3:AZ26" si="30">IF(AT3=3,W3,"")</f>
        <v/>
      </c>
      <c r="BA3" s="387">
        <f t="shared" ref="BA3:BA26" si="31">IF(AT3=1,Y3-W3,0)</f>
        <v>0</v>
      </c>
      <c r="BB3" s="387">
        <f t="shared" si="0"/>
        <v>11650</v>
      </c>
      <c r="BC3" s="387">
        <f t="shared" si="1"/>
        <v>0</v>
      </c>
      <c r="BD3" s="387">
        <f t="shared" si="2"/>
        <v>4594.8447999999999</v>
      </c>
      <c r="BE3" s="387">
        <f t="shared" si="3"/>
        <v>1074.6007999999999</v>
      </c>
      <c r="BF3" s="387">
        <f t="shared" si="4"/>
        <v>8848.7817599999998</v>
      </c>
      <c r="BG3" s="387">
        <f t="shared" si="5"/>
        <v>534.33598399999994</v>
      </c>
      <c r="BH3" s="387">
        <f t="shared" si="6"/>
        <v>363.14095999999995</v>
      </c>
      <c r="BI3" s="387">
        <f t="shared" si="7"/>
        <v>0</v>
      </c>
      <c r="BJ3" s="387">
        <f t="shared" si="8"/>
        <v>274.20848000000001</v>
      </c>
      <c r="BK3" s="387">
        <f t="shared" si="9"/>
        <v>0</v>
      </c>
      <c r="BL3" s="387">
        <f t="shared" ref="BL3:BL26" si="32">IF(AT3=1,SUM(BD3:BK3),0)</f>
        <v>15689.912784</v>
      </c>
      <c r="BM3" s="387">
        <f t="shared" ref="BM3:BM26" si="33">IF(AT3=3,SUM(BD3:BK3),0)</f>
        <v>0</v>
      </c>
      <c r="BN3" s="387">
        <f t="shared" si="10"/>
        <v>11650</v>
      </c>
      <c r="BO3" s="387">
        <f t="shared" si="11"/>
        <v>0</v>
      </c>
      <c r="BP3" s="387">
        <f t="shared" si="12"/>
        <v>4594.8447999999999</v>
      </c>
      <c r="BQ3" s="387">
        <f t="shared" si="13"/>
        <v>1074.6007999999999</v>
      </c>
      <c r="BR3" s="387">
        <f t="shared" si="14"/>
        <v>8848.7817599999998</v>
      </c>
      <c r="BS3" s="387">
        <f t="shared" si="15"/>
        <v>534.33598399999994</v>
      </c>
      <c r="BT3" s="387">
        <f t="shared" si="16"/>
        <v>0</v>
      </c>
      <c r="BU3" s="387">
        <f t="shared" si="17"/>
        <v>0</v>
      </c>
      <c r="BV3" s="387">
        <f t="shared" si="18"/>
        <v>259.38639999999998</v>
      </c>
      <c r="BW3" s="387">
        <f t="shared" si="19"/>
        <v>0</v>
      </c>
      <c r="BX3" s="387">
        <f t="shared" ref="BX3:BX26" si="34">IF(AT3=1,SUM(BP3:BW3),0)</f>
        <v>15311.949744</v>
      </c>
      <c r="BY3" s="387">
        <f t="shared" ref="BY3:BY26" si="35">IF(AT3=3,SUM(BP3:BW3),0)</f>
        <v>0</v>
      </c>
      <c r="BZ3" s="387">
        <f t="shared" ref="BZ3:BZ26" si="36">IF(AT3=1,BN3-BB3,0)</f>
        <v>0</v>
      </c>
      <c r="CA3" s="387">
        <f t="shared" ref="CA3:CA26" si="37">IF(AT3=3,BO3-BC3,0)</f>
        <v>0</v>
      </c>
      <c r="CB3" s="387">
        <f t="shared" ref="CB3:CB26" si="38">BP3-BD3</f>
        <v>0</v>
      </c>
      <c r="CC3" s="387">
        <f t="shared" si="20"/>
        <v>0</v>
      </c>
      <c r="CD3" s="387">
        <f t="shared" si="21"/>
        <v>0</v>
      </c>
      <c r="CE3" s="387">
        <f t="shared" si="22"/>
        <v>0</v>
      </c>
      <c r="CF3" s="387">
        <f t="shared" si="23"/>
        <v>-363.14095999999995</v>
      </c>
      <c r="CG3" s="387">
        <f t="shared" si="24"/>
        <v>0</v>
      </c>
      <c r="CH3" s="387">
        <f t="shared" si="25"/>
        <v>-14.822080000000005</v>
      </c>
      <c r="CI3" s="387">
        <f t="shared" si="26"/>
        <v>0</v>
      </c>
      <c r="CJ3" s="387">
        <f t="shared" ref="CJ3:CJ26" si="39">IF(AT3=1,SUM(CB3:CI3),0)</f>
        <v>-377.96303999999998</v>
      </c>
      <c r="CK3" s="387" t="str">
        <f t="shared" ref="CK3:CK26" si="40">IF(AT3=3,SUM(CB3:CI3),"")</f>
        <v/>
      </c>
      <c r="CL3" s="387" t="str">
        <f t="shared" ref="CL3:CL26" si="41">IF(OR(N3="NG",AG3="D"),(T3+U3),"")</f>
        <v/>
      </c>
      <c r="CM3" s="387" t="str">
        <f t="shared" ref="CM3:CM26" si="42">IF(OR(N3="NG",AG3="D"),V3,"")</f>
        <v/>
      </c>
      <c r="CN3" s="387" t="str">
        <f t="shared" ref="CN3:CN26" si="43">E3 &amp; "-" &amp; F3</f>
        <v>0001-00</v>
      </c>
    </row>
    <row r="4" spans="1:92" ht="15.75" thickBot="1" x14ac:dyDescent="0.3">
      <c r="A4" s="376" t="s">
        <v>161</v>
      </c>
      <c r="B4" s="376" t="s">
        <v>162</v>
      </c>
      <c r="C4" s="376" t="s">
        <v>193</v>
      </c>
      <c r="D4" s="376" t="s">
        <v>194</v>
      </c>
      <c r="E4" s="376" t="s">
        <v>165</v>
      </c>
      <c r="F4" s="377" t="s">
        <v>166</v>
      </c>
      <c r="G4" s="376" t="s">
        <v>167</v>
      </c>
      <c r="H4" s="378"/>
      <c r="I4" s="378"/>
      <c r="J4" s="376" t="s">
        <v>168</v>
      </c>
      <c r="K4" s="376" t="s">
        <v>195</v>
      </c>
      <c r="L4" s="376" t="s">
        <v>166</v>
      </c>
      <c r="M4" s="376" t="s">
        <v>170</v>
      </c>
      <c r="N4" s="376" t="s">
        <v>171</v>
      </c>
      <c r="O4" s="379">
        <v>1</v>
      </c>
      <c r="P4" s="385">
        <v>1</v>
      </c>
      <c r="Q4" s="385">
        <v>1</v>
      </c>
      <c r="R4" s="380">
        <v>80</v>
      </c>
      <c r="S4" s="385">
        <v>1</v>
      </c>
      <c r="T4" s="380">
        <v>156041.60000000001</v>
      </c>
      <c r="U4" s="380">
        <v>0</v>
      </c>
      <c r="V4" s="380">
        <v>42405.55</v>
      </c>
      <c r="W4" s="380">
        <v>161782.39999999999</v>
      </c>
      <c r="X4" s="380">
        <v>43931.29</v>
      </c>
      <c r="Y4" s="380">
        <v>161782.39999999999</v>
      </c>
      <c r="Z4" s="380">
        <v>43898.93</v>
      </c>
      <c r="AA4" s="376" t="s">
        <v>196</v>
      </c>
      <c r="AB4" s="376" t="s">
        <v>197</v>
      </c>
      <c r="AC4" s="376" t="s">
        <v>198</v>
      </c>
      <c r="AD4" s="376" t="s">
        <v>199</v>
      </c>
      <c r="AE4" s="376" t="s">
        <v>195</v>
      </c>
      <c r="AF4" s="376" t="s">
        <v>176</v>
      </c>
      <c r="AG4" s="376" t="s">
        <v>177</v>
      </c>
      <c r="AH4" s="381">
        <v>77.78</v>
      </c>
      <c r="AI4" s="379">
        <v>5160</v>
      </c>
      <c r="AJ4" s="376" t="s">
        <v>191</v>
      </c>
      <c r="AK4" s="376" t="s">
        <v>192</v>
      </c>
      <c r="AL4" s="376" t="s">
        <v>179</v>
      </c>
      <c r="AM4" s="376" t="s">
        <v>179</v>
      </c>
      <c r="AN4" s="376" t="s">
        <v>68</v>
      </c>
      <c r="AO4" s="379">
        <v>80</v>
      </c>
      <c r="AP4" s="385">
        <v>1</v>
      </c>
      <c r="AQ4" s="385">
        <v>1</v>
      </c>
      <c r="AR4" s="383" t="s">
        <v>182</v>
      </c>
      <c r="AS4" s="387">
        <f t="shared" si="27"/>
        <v>1</v>
      </c>
      <c r="AT4">
        <f t="shared" si="28"/>
        <v>1</v>
      </c>
      <c r="AU4" s="387">
        <f>IF(AT4=0,"",IF(AND(AT4=1,M4="F",SUMIF(C2:C26,C4,AS2:AS26)&lt;=1),SUMIF(C2:C26,C4,AS2:AS26),IF(AND(AT4=1,M4="F",SUMIF(C2:C26,C4,AS2:AS26)&gt;1),1,"")))</f>
        <v>1</v>
      </c>
      <c r="AV4" s="387" t="str">
        <f>IF(AT4=0,"",IF(AND(AT4=3,M4="F",SUMIF(C2:C26,C4,AS2:AS26)&lt;=1),SUMIF(C2:C26,C4,AS2:AS26),IF(AND(AT4=3,M4="F",SUMIF(C2:C26,C4,AS2:AS26)&gt;1),1,"")))</f>
        <v/>
      </c>
      <c r="AW4" s="387">
        <f>SUMIF(C2:C26,C4,O2:O26)</f>
        <v>1</v>
      </c>
      <c r="AX4" s="387">
        <f>IF(AND(M4="F",AS4&lt;&gt;0),SUMIF(C2:C26,C4,W2:W26),0)</f>
        <v>161782.39999999999</v>
      </c>
      <c r="AY4" s="387">
        <f t="shared" si="29"/>
        <v>161782.39999999999</v>
      </c>
      <c r="AZ4" s="387" t="str">
        <f t="shared" si="30"/>
        <v/>
      </c>
      <c r="BA4" s="387">
        <f t="shared" si="31"/>
        <v>0</v>
      </c>
      <c r="BB4" s="387">
        <f t="shared" si="0"/>
        <v>11650</v>
      </c>
      <c r="BC4" s="387">
        <f t="shared" si="1"/>
        <v>0</v>
      </c>
      <c r="BD4" s="387">
        <f t="shared" si="2"/>
        <v>8537.4</v>
      </c>
      <c r="BE4" s="387">
        <f t="shared" si="3"/>
        <v>2345.8447999999999</v>
      </c>
      <c r="BF4" s="387">
        <f t="shared" si="4"/>
        <v>19316.81856</v>
      </c>
      <c r="BG4" s="387">
        <f t="shared" si="5"/>
        <v>1166.451104</v>
      </c>
      <c r="BH4" s="387">
        <f t="shared" si="6"/>
        <v>0</v>
      </c>
      <c r="BI4" s="387">
        <f t="shared" si="7"/>
        <v>0</v>
      </c>
      <c r="BJ4" s="387">
        <f t="shared" si="8"/>
        <v>598.59487999999999</v>
      </c>
      <c r="BK4" s="387">
        <f t="shared" si="9"/>
        <v>0</v>
      </c>
      <c r="BL4" s="387">
        <f t="shared" si="32"/>
        <v>31965.109344</v>
      </c>
      <c r="BM4" s="387">
        <f t="shared" si="33"/>
        <v>0</v>
      </c>
      <c r="BN4" s="387">
        <f t="shared" si="10"/>
        <v>11650</v>
      </c>
      <c r="BO4" s="387">
        <f t="shared" si="11"/>
        <v>0</v>
      </c>
      <c r="BP4" s="387">
        <f t="shared" si="12"/>
        <v>8853.6</v>
      </c>
      <c r="BQ4" s="387">
        <f t="shared" si="13"/>
        <v>2345.8447999999999</v>
      </c>
      <c r="BR4" s="387">
        <f t="shared" si="14"/>
        <v>19316.81856</v>
      </c>
      <c r="BS4" s="387">
        <f t="shared" si="15"/>
        <v>1166.451104</v>
      </c>
      <c r="BT4" s="387">
        <f t="shared" si="16"/>
        <v>0</v>
      </c>
      <c r="BU4" s="387">
        <f t="shared" si="17"/>
        <v>0</v>
      </c>
      <c r="BV4" s="387">
        <f t="shared" si="18"/>
        <v>566.23839999999996</v>
      </c>
      <c r="BW4" s="387">
        <f t="shared" si="19"/>
        <v>0</v>
      </c>
      <c r="BX4" s="387">
        <f t="shared" si="34"/>
        <v>32248.952863999999</v>
      </c>
      <c r="BY4" s="387">
        <f t="shared" si="35"/>
        <v>0</v>
      </c>
      <c r="BZ4" s="387">
        <f t="shared" si="36"/>
        <v>0</v>
      </c>
      <c r="CA4" s="387">
        <f t="shared" si="37"/>
        <v>0</v>
      </c>
      <c r="CB4" s="387">
        <f t="shared" si="38"/>
        <v>316.20000000000073</v>
      </c>
      <c r="CC4" s="387">
        <f t="shared" si="20"/>
        <v>0</v>
      </c>
      <c r="CD4" s="387">
        <f t="shared" si="21"/>
        <v>0</v>
      </c>
      <c r="CE4" s="387">
        <f t="shared" si="22"/>
        <v>0</v>
      </c>
      <c r="CF4" s="387">
        <f t="shared" si="23"/>
        <v>0</v>
      </c>
      <c r="CG4" s="387">
        <f t="shared" si="24"/>
        <v>0</v>
      </c>
      <c r="CH4" s="387">
        <f t="shared" si="25"/>
        <v>-32.356480000000012</v>
      </c>
      <c r="CI4" s="387">
        <f t="shared" si="26"/>
        <v>0</v>
      </c>
      <c r="CJ4" s="387">
        <f t="shared" si="39"/>
        <v>283.84352000000069</v>
      </c>
      <c r="CK4" s="387" t="str">
        <f t="shared" si="40"/>
        <v/>
      </c>
      <c r="CL4" s="387" t="str">
        <f t="shared" si="41"/>
        <v/>
      </c>
      <c r="CM4" s="387" t="str">
        <f t="shared" si="42"/>
        <v/>
      </c>
      <c r="CN4" s="387" t="str">
        <f t="shared" si="43"/>
        <v>0001-00</v>
      </c>
    </row>
    <row r="5" spans="1:92" ht="15.75" thickBot="1" x14ac:dyDescent="0.3">
      <c r="A5" s="376" t="s">
        <v>161</v>
      </c>
      <c r="B5" s="376" t="s">
        <v>162</v>
      </c>
      <c r="C5" s="376" t="s">
        <v>200</v>
      </c>
      <c r="D5" s="376" t="s">
        <v>201</v>
      </c>
      <c r="E5" s="376" t="s">
        <v>165</v>
      </c>
      <c r="F5" s="377" t="s">
        <v>166</v>
      </c>
      <c r="G5" s="376" t="s">
        <v>167</v>
      </c>
      <c r="H5" s="378"/>
      <c r="I5" s="378"/>
      <c r="J5" s="376" t="s">
        <v>168</v>
      </c>
      <c r="K5" s="376" t="s">
        <v>202</v>
      </c>
      <c r="L5" s="376" t="s">
        <v>166</v>
      </c>
      <c r="M5" s="376" t="s">
        <v>170</v>
      </c>
      <c r="N5" s="376" t="s">
        <v>171</v>
      </c>
      <c r="O5" s="379">
        <v>1</v>
      </c>
      <c r="P5" s="385">
        <v>1</v>
      </c>
      <c r="Q5" s="385">
        <v>1</v>
      </c>
      <c r="R5" s="380">
        <v>80</v>
      </c>
      <c r="S5" s="385">
        <v>1</v>
      </c>
      <c r="T5" s="380">
        <v>30107.200000000001</v>
      </c>
      <c r="U5" s="380">
        <v>0</v>
      </c>
      <c r="V5" s="380">
        <v>17924.96</v>
      </c>
      <c r="W5" s="380">
        <v>31220.799999999999</v>
      </c>
      <c r="X5" s="380">
        <v>18259.73</v>
      </c>
      <c r="Y5" s="380">
        <v>31220.799999999999</v>
      </c>
      <c r="Z5" s="380">
        <v>18100.509999999998</v>
      </c>
      <c r="AA5" s="376" t="s">
        <v>203</v>
      </c>
      <c r="AB5" s="376" t="s">
        <v>204</v>
      </c>
      <c r="AC5" s="376" t="s">
        <v>205</v>
      </c>
      <c r="AD5" s="376" t="s">
        <v>206</v>
      </c>
      <c r="AE5" s="376" t="s">
        <v>202</v>
      </c>
      <c r="AF5" s="376" t="s">
        <v>176</v>
      </c>
      <c r="AG5" s="376" t="s">
        <v>177</v>
      </c>
      <c r="AH5" s="381">
        <v>15.01</v>
      </c>
      <c r="AI5" s="381">
        <v>4124.3</v>
      </c>
      <c r="AJ5" s="376" t="s">
        <v>191</v>
      </c>
      <c r="AK5" s="376" t="s">
        <v>192</v>
      </c>
      <c r="AL5" s="376" t="s">
        <v>179</v>
      </c>
      <c r="AM5" s="376" t="s">
        <v>180</v>
      </c>
      <c r="AN5" s="376" t="s">
        <v>68</v>
      </c>
      <c r="AO5" s="379">
        <v>80</v>
      </c>
      <c r="AP5" s="385">
        <v>1</v>
      </c>
      <c r="AQ5" s="385">
        <v>1</v>
      </c>
      <c r="AR5" s="383" t="s">
        <v>182</v>
      </c>
      <c r="AS5" s="387">
        <f t="shared" si="27"/>
        <v>1</v>
      </c>
      <c r="AT5">
        <f t="shared" si="28"/>
        <v>1</v>
      </c>
      <c r="AU5" s="387">
        <f>IF(AT5=0,"",IF(AND(AT5=1,M5="F",SUMIF(C2:C26,C5,AS2:AS26)&lt;=1),SUMIF(C2:C26,C5,AS2:AS26),IF(AND(AT5=1,M5="F",SUMIF(C2:C26,C5,AS2:AS26)&gt;1),1,"")))</f>
        <v>1</v>
      </c>
      <c r="AV5" s="387" t="str">
        <f>IF(AT5=0,"",IF(AND(AT5=3,M5="F",SUMIF(C2:C26,C5,AS2:AS26)&lt;=1),SUMIF(C2:C26,C5,AS2:AS26),IF(AND(AT5=3,M5="F",SUMIF(C2:C26,C5,AS2:AS26)&gt;1),1,"")))</f>
        <v/>
      </c>
      <c r="AW5" s="387">
        <f>SUMIF(C2:C26,C5,O2:O26)</f>
        <v>1</v>
      </c>
      <c r="AX5" s="387">
        <f>IF(AND(M5="F",AS5&lt;&gt;0),SUMIF(C2:C26,C5,W2:W26),0)</f>
        <v>31220.799999999999</v>
      </c>
      <c r="AY5" s="387">
        <f t="shared" si="29"/>
        <v>31220.799999999999</v>
      </c>
      <c r="AZ5" s="387" t="str">
        <f t="shared" si="30"/>
        <v/>
      </c>
      <c r="BA5" s="387">
        <f t="shared" si="31"/>
        <v>0</v>
      </c>
      <c r="BB5" s="387">
        <f t="shared" si="0"/>
        <v>11650</v>
      </c>
      <c r="BC5" s="387">
        <f t="shared" si="1"/>
        <v>0</v>
      </c>
      <c r="BD5" s="387">
        <f t="shared" si="2"/>
        <v>1935.6895999999999</v>
      </c>
      <c r="BE5" s="387">
        <f t="shared" si="3"/>
        <v>452.70159999999998</v>
      </c>
      <c r="BF5" s="387">
        <f t="shared" si="4"/>
        <v>3727.76352</v>
      </c>
      <c r="BG5" s="387">
        <f t="shared" si="5"/>
        <v>225.101968</v>
      </c>
      <c r="BH5" s="387">
        <f t="shared" si="6"/>
        <v>152.98192</v>
      </c>
      <c r="BI5" s="387">
        <f t="shared" si="7"/>
        <v>0</v>
      </c>
      <c r="BJ5" s="387">
        <f t="shared" si="8"/>
        <v>115.51696</v>
      </c>
      <c r="BK5" s="387">
        <f t="shared" si="9"/>
        <v>0</v>
      </c>
      <c r="BL5" s="387">
        <f t="shared" si="32"/>
        <v>6609.7555680000005</v>
      </c>
      <c r="BM5" s="387">
        <f t="shared" si="33"/>
        <v>0</v>
      </c>
      <c r="BN5" s="387">
        <f t="shared" si="10"/>
        <v>11650</v>
      </c>
      <c r="BO5" s="387">
        <f t="shared" si="11"/>
        <v>0</v>
      </c>
      <c r="BP5" s="387">
        <f t="shared" si="12"/>
        <v>1935.6895999999999</v>
      </c>
      <c r="BQ5" s="387">
        <f t="shared" si="13"/>
        <v>452.70159999999998</v>
      </c>
      <c r="BR5" s="387">
        <f t="shared" si="14"/>
        <v>3727.76352</v>
      </c>
      <c r="BS5" s="387">
        <f t="shared" si="15"/>
        <v>225.101968</v>
      </c>
      <c r="BT5" s="387">
        <f t="shared" si="16"/>
        <v>0</v>
      </c>
      <c r="BU5" s="387">
        <f t="shared" si="17"/>
        <v>0</v>
      </c>
      <c r="BV5" s="387">
        <f t="shared" si="18"/>
        <v>109.2728</v>
      </c>
      <c r="BW5" s="387">
        <f t="shared" si="19"/>
        <v>0</v>
      </c>
      <c r="BX5" s="387">
        <f t="shared" si="34"/>
        <v>6450.5294880000001</v>
      </c>
      <c r="BY5" s="387">
        <f t="shared" si="35"/>
        <v>0</v>
      </c>
      <c r="BZ5" s="387">
        <f t="shared" si="36"/>
        <v>0</v>
      </c>
      <c r="CA5" s="387">
        <f t="shared" si="37"/>
        <v>0</v>
      </c>
      <c r="CB5" s="387">
        <f t="shared" si="38"/>
        <v>0</v>
      </c>
      <c r="CC5" s="387">
        <f t="shared" si="20"/>
        <v>0</v>
      </c>
      <c r="CD5" s="387">
        <f t="shared" si="21"/>
        <v>0</v>
      </c>
      <c r="CE5" s="387">
        <f t="shared" si="22"/>
        <v>0</v>
      </c>
      <c r="CF5" s="387">
        <f t="shared" si="23"/>
        <v>-152.98192</v>
      </c>
      <c r="CG5" s="387">
        <f t="shared" si="24"/>
        <v>0</v>
      </c>
      <c r="CH5" s="387">
        <f t="shared" si="25"/>
        <v>-6.2441600000000026</v>
      </c>
      <c r="CI5" s="387">
        <f t="shared" si="26"/>
        <v>0</v>
      </c>
      <c r="CJ5" s="387">
        <f t="shared" si="39"/>
        <v>-159.22608</v>
      </c>
      <c r="CK5" s="387" t="str">
        <f t="shared" si="40"/>
        <v/>
      </c>
      <c r="CL5" s="387" t="str">
        <f t="shared" si="41"/>
        <v/>
      </c>
      <c r="CM5" s="387" t="str">
        <f t="shared" si="42"/>
        <v/>
      </c>
      <c r="CN5" s="387" t="str">
        <f t="shared" si="43"/>
        <v>0001-00</v>
      </c>
    </row>
    <row r="6" spans="1:92" ht="15.75" thickBot="1" x14ac:dyDescent="0.3">
      <c r="A6" s="376" t="s">
        <v>161</v>
      </c>
      <c r="B6" s="376" t="s">
        <v>162</v>
      </c>
      <c r="C6" s="376" t="s">
        <v>207</v>
      </c>
      <c r="D6" s="376" t="s">
        <v>208</v>
      </c>
      <c r="E6" s="376" t="s">
        <v>165</v>
      </c>
      <c r="F6" s="377" t="s">
        <v>166</v>
      </c>
      <c r="G6" s="376" t="s">
        <v>167</v>
      </c>
      <c r="H6" s="378"/>
      <c r="I6" s="378"/>
      <c r="J6" s="376" t="s">
        <v>168</v>
      </c>
      <c r="K6" s="376" t="s">
        <v>209</v>
      </c>
      <c r="L6" s="376" t="s">
        <v>166</v>
      </c>
      <c r="M6" s="376" t="s">
        <v>170</v>
      </c>
      <c r="N6" s="376" t="s">
        <v>171</v>
      </c>
      <c r="O6" s="379">
        <v>1</v>
      </c>
      <c r="P6" s="385">
        <v>1</v>
      </c>
      <c r="Q6" s="385">
        <v>1</v>
      </c>
      <c r="R6" s="380">
        <v>80</v>
      </c>
      <c r="S6" s="385">
        <v>1</v>
      </c>
      <c r="T6" s="380">
        <v>149112.04999999999</v>
      </c>
      <c r="U6" s="380">
        <v>0</v>
      </c>
      <c r="V6" s="380">
        <v>42949.09</v>
      </c>
      <c r="W6" s="380">
        <v>146182.39999999999</v>
      </c>
      <c r="X6" s="380">
        <v>42388.54</v>
      </c>
      <c r="Y6" s="380">
        <v>146182.39999999999</v>
      </c>
      <c r="Z6" s="380">
        <v>41643.01</v>
      </c>
      <c r="AA6" s="376" t="s">
        <v>210</v>
      </c>
      <c r="AB6" s="376" t="s">
        <v>211</v>
      </c>
      <c r="AC6" s="376" t="s">
        <v>212</v>
      </c>
      <c r="AD6" s="376" t="s">
        <v>213</v>
      </c>
      <c r="AE6" s="376" t="s">
        <v>209</v>
      </c>
      <c r="AF6" s="376" t="s">
        <v>176</v>
      </c>
      <c r="AG6" s="376" t="s">
        <v>177</v>
      </c>
      <c r="AH6" s="381">
        <v>70.28</v>
      </c>
      <c r="AI6" s="379">
        <v>1359</v>
      </c>
      <c r="AJ6" s="376" t="s">
        <v>191</v>
      </c>
      <c r="AK6" s="376" t="s">
        <v>192</v>
      </c>
      <c r="AL6" s="376" t="s">
        <v>179</v>
      </c>
      <c r="AM6" s="376" t="s">
        <v>180</v>
      </c>
      <c r="AN6" s="376" t="s">
        <v>68</v>
      </c>
      <c r="AO6" s="379">
        <v>80</v>
      </c>
      <c r="AP6" s="385">
        <v>1</v>
      </c>
      <c r="AQ6" s="385">
        <v>1</v>
      </c>
      <c r="AR6" s="383" t="s">
        <v>182</v>
      </c>
      <c r="AS6" s="387">
        <f t="shared" si="27"/>
        <v>1</v>
      </c>
      <c r="AT6">
        <f t="shared" si="28"/>
        <v>1</v>
      </c>
      <c r="AU6" s="387">
        <f>IF(AT6=0,"",IF(AND(AT6=1,M6="F",SUMIF(C2:C26,C6,AS2:AS26)&lt;=1),SUMIF(C2:C26,C6,AS2:AS26),IF(AND(AT6=1,M6="F",SUMIF(C2:C26,C6,AS2:AS26)&gt;1),1,"")))</f>
        <v>1</v>
      </c>
      <c r="AV6" s="387" t="str">
        <f>IF(AT6=0,"",IF(AND(AT6=3,M6="F",SUMIF(C2:C26,C6,AS2:AS26)&lt;=1),SUMIF(C2:C26,C6,AS2:AS26),IF(AND(AT6=3,M6="F",SUMIF(C2:C26,C6,AS2:AS26)&gt;1),1,"")))</f>
        <v/>
      </c>
      <c r="AW6" s="387">
        <f>SUMIF(C2:C26,C6,O2:O26)</f>
        <v>1</v>
      </c>
      <c r="AX6" s="387">
        <f>IF(AND(M6="F",AS6&lt;&gt;0),SUMIF(C2:C26,C6,W2:W26),0)</f>
        <v>146182.39999999999</v>
      </c>
      <c r="AY6" s="387">
        <f t="shared" si="29"/>
        <v>146182.39999999999</v>
      </c>
      <c r="AZ6" s="387" t="str">
        <f t="shared" si="30"/>
        <v/>
      </c>
      <c r="BA6" s="387">
        <f t="shared" si="31"/>
        <v>0</v>
      </c>
      <c r="BB6" s="387">
        <f t="shared" si="0"/>
        <v>11650</v>
      </c>
      <c r="BC6" s="387">
        <f t="shared" si="1"/>
        <v>0</v>
      </c>
      <c r="BD6" s="387">
        <f t="shared" si="2"/>
        <v>8537.4</v>
      </c>
      <c r="BE6" s="387">
        <f t="shared" si="3"/>
        <v>2119.6448</v>
      </c>
      <c r="BF6" s="387">
        <f t="shared" si="4"/>
        <v>17454.17856</v>
      </c>
      <c r="BG6" s="387">
        <f t="shared" si="5"/>
        <v>1053.9751040000001</v>
      </c>
      <c r="BH6" s="387">
        <f t="shared" si="6"/>
        <v>716.29375999999991</v>
      </c>
      <c r="BI6" s="387">
        <f t="shared" si="7"/>
        <v>0</v>
      </c>
      <c r="BJ6" s="387">
        <f t="shared" si="8"/>
        <v>540.87487999999996</v>
      </c>
      <c r="BK6" s="387">
        <f t="shared" si="9"/>
        <v>0</v>
      </c>
      <c r="BL6" s="387">
        <f t="shared" si="32"/>
        <v>30422.367104000001</v>
      </c>
      <c r="BM6" s="387">
        <f t="shared" si="33"/>
        <v>0</v>
      </c>
      <c r="BN6" s="387">
        <f t="shared" si="10"/>
        <v>11650</v>
      </c>
      <c r="BO6" s="387">
        <f t="shared" si="11"/>
        <v>0</v>
      </c>
      <c r="BP6" s="387">
        <f t="shared" si="12"/>
        <v>8853.6</v>
      </c>
      <c r="BQ6" s="387">
        <f t="shared" si="13"/>
        <v>2119.6448</v>
      </c>
      <c r="BR6" s="387">
        <f t="shared" si="14"/>
        <v>17454.17856</v>
      </c>
      <c r="BS6" s="387">
        <f t="shared" si="15"/>
        <v>1053.9751040000001</v>
      </c>
      <c r="BT6" s="387">
        <f t="shared" si="16"/>
        <v>0</v>
      </c>
      <c r="BU6" s="387">
        <f t="shared" si="17"/>
        <v>0</v>
      </c>
      <c r="BV6" s="387">
        <f t="shared" si="18"/>
        <v>511.63839999999999</v>
      </c>
      <c r="BW6" s="387">
        <f t="shared" si="19"/>
        <v>0</v>
      </c>
      <c r="BX6" s="387">
        <f t="shared" si="34"/>
        <v>29993.036864000002</v>
      </c>
      <c r="BY6" s="387">
        <f t="shared" si="35"/>
        <v>0</v>
      </c>
      <c r="BZ6" s="387">
        <f t="shared" si="36"/>
        <v>0</v>
      </c>
      <c r="CA6" s="387">
        <f t="shared" si="37"/>
        <v>0</v>
      </c>
      <c r="CB6" s="387">
        <f t="shared" si="38"/>
        <v>316.20000000000073</v>
      </c>
      <c r="CC6" s="387">
        <f t="shared" si="20"/>
        <v>0</v>
      </c>
      <c r="CD6" s="387">
        <f t="shared" si="21"/>
        <v>0</v>
      </c>
      <c r="CE6" s="387">
        <f t="shared" si="22"/>
        <v>0</v>
      </c>
      <c r="CF6" s="387">
        <f t="shared" si="23"/>
        <v>-716.29375999999991</v>
      </c>
      <c r="CG6" s="387">
        <f t="shared" si="24"/>
        <v>0</v>
      </c>
      <c r="CH6" s="387">
        <f t="shared" si="25"/>
        <v>-29.236480000000011</v>
      </c>
      <c r="CI6" s="387">
        <f t="shared" si="26"/>
        <v>0</v>
      </c>
      <c r="CJ6" s="387">
        <f t="shared" si="39"/>
        <v>-429.33023999999921</v>
      </c>
      <c r="CK6" s="387" t="str">
        <f t="shared" si="40"/>
        <v/>
      </c>
      <c r="CL6" s="387" t="str">
        <f t="shared" si="41"/>
        <v/>
      </c>
      <c r="CM6" s="387" t="str">
        <f t="shared" si="42"/>
        <v/>
      </c>
      <c r="CN6" s="387" t="str">
        <f t="shared" si="43"/>
        <v>0001-00</v>
      </c>
    </row>
    <row r="7" spans="1:92" ht="15.75" thickBot="1" x14ac:dyDescent="0.3">
      <c r="A7" s="376" t="s">
        <v>161</v>
      </c>
      <c r="B7" s="376" t="s">
        <v>162</v>
      </c>
      <c r="C7" s="376" t="s">
        <v>214</v>
      </c>
      <c r="D7" s="376" t="s">
        <v>215</v>
      </c>
      <c r="E7" s="376" t="s">
        <v>165</v>
      </c>
      <c r="F7" s="377" t="s">
        <v>166</v>
      </c>
      <c r="G7" s="376" t="s">
        <v>167</v>
      </c>
      <c r="H7" s="378"/>
      <c r="I7" s="378"/>
      <c r="J7" s="376" t="s">
        <v>168</v>
      </c>
      <c r="K7" s="376" t="s">
        <v>216</v>
      </c>
      <c r="L7" s="376" t="s">
        <v>166</v>
      </c>
      <c r="M7" s="376" t="s">
        <v>170</v>
      </c>
      <c r="N7" s="376" t="s">
        <v>171</v>
      </c>
      <c r="O7" s="379">
        <v>1</v>
      </c>
      <c r="P7" s="385">
        <v>1</v>
      </c>
      <c r="Q7" s="385">
        <v>1</v>
      </c>
      <c r="R7" s="380">
        <v>80</v>
      </c>
      <c r="S7" s="385">
        <v>1</v>
      </c>
      <c r="T7" s="380">
        <v>41222.519999999997</v>
      </c>
      <c r="U7" s="380">
        <v>0</v>
      </c>
      <c r="V7" s="380">
        <v>20166.349999999999</v>
      </c>
      <c r="W7" s="380">
        <v>41995.199999999997</v>
      </c>
      <c r="X7" s="380">
        <v>20540.78</v>
      </c>
      <c r="Y7" s="380">
        <v>41995.199999999997</v>
      </c>
      <c r="Z7" s="380">
        <v>20326.61</v>
      </c>
      <c r="AA7" s="376" t="s">
        <v>217</v>
      </c>
      <c r="AB7" s="376" t="s">
        <v>218</v>
      </c>
      <c r="AC7" s="376" t="s">
        <v>219</v>
      </c>
      <c r="AD7" s="376" t="s">
        <v>220</v>
      </c>
      <c r="AE7" s="376" t="s">
        <v>216</v>
      </c>
      <c r="AF7" s="376" t="s">
        <v>176</v>
      </c>
      <c r="AG7" s="376" t="s">
        <v>177</v>
      </c>
      <c r="AH7" s="381">
        <v>20.190000000000001</v>
      </c>
      <c r="AI7" s="381">
        <v>2831.7</v>
      </c>
      <c r="AJ7" s="376" t="s">
        <v>191</v>
      </c>
      <c r="AK7" s="376" t="s">
        <v>192</v>
      </c>
      <c r="AL7" s="376" t="s">
        <v>179</v>
      </c>
      <c r="AM7" s="376" t="s">
        <v>180</v>
      </c>
      <c r="AN7" s="376" t="s">
        <v>68</v>
      </c>
      <c r="AO7" s="379">
        <v>80</v>
      </c>
      <c r="AP7" s="385">
        <v>1</v>
      </c>
      <c r="AQ7" s="385">
        <v>1</v>
      </c>
      <c r="AR7" s="383" t="s">
        <v>182</v>
      </c>
      <c r="AS7" s="387">
        <f t="shared" si="27"/>
        <v>1</v>
      </c>
      <c r="AT7">
        <f t="shared" si="28"/>
        <v>1</v>
      </c>
      <c r="AU7" s="387">
        <f>IF(AT7=0,"",IF(AND(AT7=1,M7="F",SUMIF(C2:C26,C7,AS2:AS26)&lt;=1),SUMIF(C2:C26,C7,AS2:AS26),IF(AND(AT7=1,M7="F",SUMIF(C2:C26,C7,AS2:AS26)&gt;1),1,"")))</f>
        <v>1</v>
      </c>
      <c r="AV7" s="387" t="str">
        <f>IF(AT7=0,"",IF(AND(AT7=3,M7="F",SUMIF(C2:C26,C7,AS2:AS26)&lt;=1),SUMIF(C2:C26,C7,AS2:AS26),IF(AND(AT7=3,M7="F",SUMIF(C2:C26,C7,AS2:AS26)&gt;1),1,"")))</f>
        <v/>
      </c>
      <c r="AW7" s="387">
        <f>SUMIF(C2:C26,C7,O2:O26)</f>
        <v>1</v>
      </c>
      <c r="AX7" s="387">
        <f>IF(AND(M7="F",AS7&lt;&gt;0),SUMIF(C2:C26,C7,W2:W26),0)</f>
        <v>41995.199999999997</v>
      </c>
      <c r="AY7" s="387">
        <f t="shared" si="29"/>
        <v>41995.199999999997</v>
      </c>
      <c r="AZ7" s="387" t="str">
        <f t="shared" si="30"/>
        <v/>
      </c>
      <c r="BA7" s="387">
        <f t="shared" si="31"/>
        <v>0</v>
      </c>
      <c r="BB7" s="387">
        <f t="shared" si="0"/>
        <v>11650</v>
      </c>
      <c r="BC7" s="387">
        <f t="shared" si="1"/>
        <v>0</v>
      </c>
      <c r="BD7" s="387">
        <f t="shared" si="2"/>
        <v>2603.7023999999997</v>
      </c>
      <c r="BE7" s="387">
        <f t="shared" si="3"/>
        <v>608.93039999999996</v>
      </c>
      <c r="BF7" s="387">
        <f t="shared" si="4"/>
        <v>5014.2268800000002</v>
      </c>
      <c r="BG7" s="387">
        <f t="shared" si="5"/>
        <v>302.785392</v>
      </c>
      <c r="BH7" s="387">
        <f t="shared" si="6"/>
        <v>205.77647999999999</v>
      </c>
      <c r="BI7" s="387">
        <f t="shared" si="7"/>
        <v>0</v>
      </c>
      <c r="BJ7" s="387">
        <f t="shared" si="8"/>
        <v>155.38224</v>
      </c>
      <c r="BK7" s="387">
        <f t="shared" si="9"/>
        <v>0</v>
      </c>
      <c r="BL7" s="387">
        <f t="shared" si="32"/>
        <v>8890.8037920000006</v>
      </c>
      <c r="BM7" s="387">
        <f t="shared" si="33"/>
        <v>0</v>
      </c>
      <c r="BN7" s="387">
        <f t="shared" si="10"/>
        <v>11650</v>
      </c>
      <c r="BO7" s="387">
        <f t="shared" si="11"/>
        <v>0</v>
      </c>
      <c r="BP7" s="387">
        <f t="shared" si="12"/>
        <v>2603.7023999999997</v>
      </c>
      <c r="BQ7" s="387">
        <f t="shared" si="13"/>
        <v>608.93039999999996</v>
      </c>
      <c r="BR7" s="387">
        <f t="shared" si="14"/>
        <v>5014.2268800000002</v>
      </c>
      <c r="BS7" s="387">
        <f t="shared" si="15"/>
        <v>302.785392</v>
      </c>
      <c r="BT7" s="387">
        <f t="shared" si="16"/>
        <v>0</v>
      </c>
      <c r="BU7" s="387">
        <f t="shared" si="17"/>
        <v>0</v>
      </c>
      <c r="BV7" s="387">
        <f t="shared" si="18"/>
        <v>146.98319999999998</v>
      </c>
      <c r="BW7" s="387">
        <f t="shared" si="19"/>
        <v>0</v>
      </c>
      <c r="BX7" s="387">
        <f t="shared" si="34"/>
        <v>8676.6282719999999</v>
      </c>
      <c r="BY7" s="387">
        <f t="shared" si="35"/>
        <v>0</v>
      </c>
      <c r="BZ7" s="387">
        <f t="shared" si="36"/>
        <v>0</v>
      </c>
      <c r="CA7" s="387">
        <f t="shared" si="37"/>
        <v>0</v>
      </c>
      <c r="CB7" s="387">
        <f t="shared" si="38"/>
        <v>0</v>
      </c>
      <c r="CC7" s="387">
        <f t="shared" si="20"/>
        <v>0</v>
      </c>
      <c r="CD7" s="387">
        <f t="shared" si="21"/>
        <v>0</v>
      </c>
      <c r="CE7" s="387">
        <f t="shared" si="22"/>
        <v>0</v>
      </c>
      <c r="CF7" s="387">
        <f t="shared" si="23"/>
        <v>-205.77647999999999</v>
      </c>
      <c r="CG7" s="387">
        <f t="shared" si="24"/>
        <v>0</v>
      </c>
      <c r="CH7" s="387">
        <f t="shared" si="25"/>
        <v>-8.3990400000000029</v>
      </c>
      <c r="CI7" s="387">
        <f t="shared" si="26"/>
        <v>0</v>
      </c>
      <c r="CJ7" s="387">
        <f t="shared" si="39"/>
        <v>-214.17552000000001</v>
      </c>
      <c r="CK7" s="387" t="str">
        <f t="shared" si="40"/>
        <v/>
      </c>
      <c r="CL7" s="387" t="str">
        <f t="shared" si="41"/>
        <v/>
      </c>
      <c r="CM7" s="387" t="str">
        <f t="shared" si="42"/>
        <v/>
      </c>
      <c r="CN7" s="387" t="str">
        <f t="shared" si="43"/>
        <v>0001-00</v>
      </c>
    </row>
    <row r="8" spans="1:92" ht="15.75" thickBot="1" x14ac:dyDescent="0.3">
      <c r="A8" s="376" t="s">
        <v>161</v>
      </c>
      <c r="B8" s="376" t="s">
        <v>162</v>
      </c>
      <c r="C8" s="376" t="s">
        <v>221</v>
      </c>
      <c r="D8" s="376" t="s">
        <v>222</v>
      </c>
      <c r="E8" s="376" t="s">
        <v>165</v>
      </c>
      <c r="F8" s="377" t="s">
        <v>166</v>
      </c>
      <c r="G8" s="376" t="s">
        <v>167</v>
      </c>
      <c r="H8" s="378"/>
      <c r="I8" s="378"/>
      <c r="J8" s="376" t="s">
        <v>168</v>
      </c>
      <c r="K8" s="376" t="s">
        <v>223</v>
      </c>
      <c r="L8" s="376" t="s">
        <v>166</v>
      </c>
      <c r="M8" s="376" t="s">
        <v>170</v>
      </c>
      <c r="N8" s="376" t="s">
        <v>171</v>
      </c>
      <c r="O8" s="379">
        <v>1</v>
      </c>
      <c r="P8" s="385">
        <v>1</v>
      </c>
      <c r="Q8" s="385">
        <v>1</v>
      </c>
      <c r="R8" s="380">
        <v>80</v>
      </c>
      <c r="S8" s="385">
        <v>1</v>
      </c>
      <c r="T8" s="380">
        <v>68824.06</v>
      </c>
      <c r="U8" s="380">
        <v>0</v>
      </c>
      <c r="V8" s="380">
        <v>25675.78</v>
      </c>
      <c r="W8" s="380">
        <v>73265.919999999998</v>
      </c>
      <c r="X8" s="380">
        <v>27161.1</v>
      </c>
      <c r="Y8" s="380">
        <v>73265.919999999998</v>
      </c>
      <c r="Z8" s="380">
        <v>26787.45</v>
      </c>
      <c r="AA8" s="376" t="s">
        <v>224</v>
      </c>
      <c r="AB8" s="376" t="s">
        <v>225</v>
      </c>
      <c r="AC8" s="376" t="s">
        <v>226</v>
      </c>
      <c r="AD8" s="376" t="s">
        <v>227</v>
      </c>
      <c r="AE8" s="376" t="s">
        <v>223</v>
      </c>
      <c r="AF8" s="376" t="s">
        <v>176</v>
      </c>
      <c r="AG8" s="376" t="s">
        <v>177</v>
      </c>
      <c r="AH8" s="381">
        <v>44.03</v>
      </c>
      <c r="AI8" s="381">
        <v>24356.799999999999</v>
      </c>
      <c r="AJ8" s="376" t="s">
        <v>228</v>
      </c>
      <c r="AK8" s="376" t="s">
        <v>192</v>
      </c>
      <c r="AL8" s="376" t="s">
        <v>179</v>
      </c>
      <c r="AM8" s="376" t="s">
        <v>180</v>
      </c>
      <c r="AN8" s="376" t="s">
        <v>68</v>
      </c>
      <c r="AO8" s="379">
        <v>64</v>
      </c>
      <c r="AP8" s="385">
        <v>1</v>
      </c>
      <c r="AQ8" s="385">
        <v>0.8</v>
      </c>
      <c r="AR8" s="383" t="s">
        <v>182</v>
      </c>
      <c r="AS8" s="387">
        <f t="shared" si="27"/>
        <v>0.8</v>
      </c>
      <c r="AT8">
        <f t="shared" si="28"/>
        <v>1</v>
      </c>
      <c r="AU8" s="387">
        <f>IF(AT8=0,"",IF(AND(AT8=1,M8="F",SUMIF(C2:C26,C8,AS2:AS26)&lt;=1),SUMIF(C2:C26,C8,AS2:AS26),IF(AND(AT8=1,M8="F",SUMIF(C2:C26,C8,AS2:AS26)&gt;1),1,"")))</f>
        <v>0.8</v>
      </c>
      <c r="AV8" s="387" t="str">
        <f>IF(AT8=0,"",IF(AND(AT8=3,M8="F",SUMIF(C2:C26,C8,AS2:AS26)&lt;=1),SUMIF(C2:C26,C8,AS2:AS26),IF(AND(AT8=3,M8="F",SUMIF(C2:C26,C8,AS2:AS26)&gt;1),1,"")))</f>
        <v/>
      </c>
      <c r="AW8" s="387">
        <f>SUMIF(C2:C26,C8,O2:O26)</f>
        <v>1</v>
      </c>
      <c r="AX8" s="387">
        <f>IF(AND(M8="F",AS8&lt;&gt;0),SUMIF(C2:C26,C8,W2:W26),0)</f>
        <v>73265.919999999998</v>
      </c>
      <c r="AY8" s="387">
        <f t="shared" si="29"/>
        <v>73265.919999999998</v>
      </c>
      <c r="AZ8" s="387" t="str">
        <f t="shared" si="30"/>
        <v/>
      </c>
      <c r="BA8" s="387">
        <f t="shared" si="31"/>
        <v>0</v>
      </c>
      <c r="BB8" s="387">
        <f t="shared" si="0"/>
        <v>11650</v>
      </c>
      <c r="BC8" s="387">
        <f t="shared" si="1"/>
        <v>0</v>
      </c>
      <c r="BD8" s="387">
        <f t="shared" si="2"/>
        <v>4542.48704</v>
      </c>
      <c r="BE8" s="387">
        <f t="shared" si="3"/>
        <v>1062.3558399999999</v>
      </c>
      <c r="BF8" s="387">
        <f t="shared" si="4"/>
        <v>8747.9508480000004</v>
      </c>
      <c r="BG8" s="387">
        <f t="shared" si="5"/>
        <v>528.24728319999997</v>
      </c>
      <c r="BH8" s="387">
        <f t="shared" si="6"/>
        <v>359.00300799999997</v>
      </c>
      <c r="BI8" s="387">
        <f t="shared" si="7"/>
        <v>0</v>
      </c>
      <c r="BJ8" s="387">
        <f t="shared" si="8"/>
        <v>271.08390400000002</v>
      </c>
      <c r="BK8" s="387">
        <f t="shared" si="9"/>
        <v>0</v>
      </c>
      <c r="BL8" s="387">
        <f t="shared" si="32"/>
        <v>15511.1279232</v>
      </c>
      <c r="BM8" s="387">
        <f t="shared" si="33"/>
        <v>0</v>
      </c>
      <c r="BN8" s="387">
        <f t="shared" si="10"/>
        <v>11650</v>
      </c>
      <c r="BO8" s="387">
        <f t="shared" si="11"/>
        <v>0</v>
      </c>
      <c r="BP8" s="387">
        <f t="shared" si="12"/>
        <v>4542.48704</v>
      </c>
      <c r="BQ8" s="387">
        <f t="shared" si="13"/>
        <v>1062.3558399999999</v>
      </c>
      <c r="BR8" s="387">
        <f t="shared" si="14"/>
        <v>8747.9508480000004</v>
      </c>
      <c r="BS8" s="387">
        <f t="shared" si="15"/>
        <v>528.24728319999997</v>
      </c>
      <c r="BT8" s="387">
        <f t="shared" si="16"/>
        <v>0</v>
      </c>
      <c r="BU8" s="387">
        <f t="shared" si="17"/>
        <v>0</v>
      </c>
      <c r="BV8" s="387">
        <f t="shared" si="18"/>
        <v>256.43072000000001</v>
      </c>
      <c r="BW8" s="387">
        <f t="shared" si="19"/>
        <v>0</v>
      </c>
      <c r="BX8" s="387">
        <f t="shared" si="34"/>
        <v>15137.471731200001</v>
      </c>
      <c r="BY8" s="387">
        <f t="shared" si="35"/>
        <v>0</v>
      </c>
      <c r="BZ8" s="387">
        <f t="shared" si="36"/>
        <v>0</v>
      </c>
      <c r="CA8" s="387">
        <f t="shared" si="37"/>
        <v>0</v>
      </c>
      <c r="CB8" s="387">
        <f t="shared" si="38"/>
        <v>0</v>
      </c>
      <c r="CC8" s="387">
        <f t="shared" si="20"/>
        <v>0</v>
      </c>
      <c r="CD8" s="387">
        <f t="shared" si="21"/>
        <v>0</v>
      </c>
      <c r="CE8" s="387">
        <f t="shared" si="22"/>
        <v>0</v>
      </c>
      <c r="CF8" s="387">
        <f t="shared" si="23"/>
        <v>-359.00300799999997</v>
      </c>
      <c r="CG8" s="387">
        <f t="shared" si="24"/>
        <v>0</v>
      </c>
      <c r="CH8" s="387">
        <f t="shared" si="25"/>
        <v>-14.653184000000007</v>
      </c>
      <c r="CI8" s="387">
        <f t="shared" si="26"/>
        <v>0</v>
      </c>
      <c r="CJ8" s="387">
        <f t="shared" si="39"/>
        <v>-373.65619199999998</v>
      </c>
      <c r="CK8" s="387" t="str">
        <f t="shared" si="40"/>
        <v/>
      </c>
      <c r="CL8" s="387" t="str">
        <f t="shared" si="41"/>
        <v/>
      </c>
      <c r="CM8" s="387" t="str">
        <f t="shared" si="42"/>
        <v/>
      </c>
      <c r="CN8" s="387" t="str">
        <f t="shared" si="43"/>
        <v>0001-00</v>
      </c>
    </row>
    <row r="9" spans="1:92" ht="15.75" thickBot="1" x14ac:dyDescent="0.3">
      <c r="A9" s="376" t="s">
        <v>161</v>
      </c>
      <c r="B9" s="376" t="s">
        <v>162</v>
      </c>
      <c r="C9" s="376" t="s">
        <v>229</v>
      </c>
      <c r="D9" s="376" t="s">
        <v>230</v>
      </c>
      <c r="E9" s="376" t="s">
        <v>165</v>
      </c>
      <c r="F9" s="377" t="s">
        <v>166</v>
      </c>
      <c r="G9" s="376" t="s">
        <v>167</v>
      </c>
      <c r="H9" s="378"/>
      <c r="I9" s="378"/>
      <c r="J9" s="376" t="s">
        <v>168</v>
      </c>
      <c r="K9" s="376" t="s">
        <v>231</v>
      </c>
      <c r="L9" s="376" t="s">
        <v>166</v>
      </c>
      <c r="M9" s="376" t="s">
        <v>170</v>
      </c>
      <c r="N9" s="376" t="s">
        <v>171</v>
      </c>
      <c r="O9" s="379">
        <v>1</v>
      </c>
      <c r="P9" s="385">
        <v>1</v>
      </c>
      <c r="Q9" s="385">
        <v>1</v>
      </c>
      <c r="R9" s="380">
        <v>80</v>
      </c>
      <c r="S9" s="385">
        <v>1</v>
      </c>
      <c r="T9" s="380">
        <v>44844.3</v>
      </c>
      <c r="U9" s="380">
        <v>66.81</v>
      </c>
      <c r="V9" s="380">
        <v>20749.259999999998</v>
      </c>
      <c r="W9" s="380">
        <v>41246.400000000001</v>
      </c>
      <c r="X9" s="380">
        <v>20382.25</v>
      </c>
      <c r="Y9" s="380">
        <v>41246.400000000001</v>
      </c>
      <c r="Z9" s="380">
        <v>20171.900000000001</v>
      </c>
      <c r="AA9" s="376" t="s">
        <v>232</v>
      </c>
      <c r="AB9" s="376" t="s">
        <v>233</v>
      </c>
      <c r="AC9" s="376" t="s">
        <v>234</v>
      </c>
      <c r="AD9" s="376" t="s">
        <v>235</v>
      </c>
      <c r="AE9" s="376" t="s">
        <v>231</v>
      </c>
      <c r="AF9" s="376" t="s">
        <v>176</v>
      </c>
      <c r="AG9" s="376" t="s">
        <v>177</v>
      </c>
      <c r="AH9" s="381">
        <v>19.829999999999998</v>
      </c>
      <c r="AI9" s="381">
        <v>54096.800000000003</v>
      </c>
      <c r="AJ9" s="376" t="s">
        <v>191</v>
      </c>
      <c r="AK9" s="376" t="s">
        <v>192</v>
      </c>
      <c r="AL9" s="376" t="s">
        <v>179</v>
      </c>
      <c r="AM9" s="376" t="s">
        <v>180</v>
      </c>
      <c r="AN9" s="376" t="s">
        <v>68</v>
      </c>
      <c r="AO9" s="379">
        <v>80</v>
      </c>
      <c r="AP9" s="385">
        <v>1</v>
      </c>
      <c r="AQ9" s="385">
        <v>1</v>
      </c>
      <c r="AR9" s="383" t="s">
        <v>182</v>
      </c>
      <c r="AS9" s="387">
        <f t="shared" si="27"/>
        <v>1</v>
      </c>
      <c r="AT9">
        <f t="shared" si="28"/>
        <v>1</v>
      </c>
      <c r="AU9" s="387">
        <f>IF(AT9=0,"",IF(AND(AT9=1,M9="F",SUMIF(C2:C26,C9,AS2:AS26)&lt;=1),SUMIF(C2:C26,C9,AS2:AS26),IF(AND(AT9=1,M9="F",SUMIF(C2:C26,C9,AS2:AS26)&gt;1),1,"")))</f>
        <v>1</v>
      </c>
      <c r="AV9" s="387" t="str">
        <f>IF(AT9=0,"",IF(AND(AT9=3,M9="F",SUMIF(C2:C26,C9,AS2:AS26)&lt;=1),SUMIF(C2:C26,C9,AS2:AS26),IF(AND(AT9=3,M9="F",SUMIF(C2:C26,C9,AS2:AS26)&gt;1),1,"")))</f>
        <v/>
      </c>
      <c r="AW9" s="387">
        <f>SUMIF(C2:C26,C9,O2:O26)</f>
        <v>1</v>
      </c>
      <c r="AX9" s="387">
        <f>IF(AND(M9="F",AS9&lt;&gt;0),SUMIF(C2:C26,C9,W2:W26),0)</f>
        <v>41246.400000000001</v>
      </c>
      <c r="AY9" s="387">
        <f t="shared" si="29"/>
        <v>41246.400000000001</v>
      </c>
      <c r="AZ9" s="387" t="str">
        <f t="shared" si="30"/>
        <v/>
      </c>
      <c r="BA9" s="387">
        <f t="shared" si="31"/>
        <v>0</v>
      </c>
      <c r="BB9" s="387">
        <f t="shared" si="0"/>
        <v>11650</v>
      </c>
      <c r="BC9" s="387">
        <f t="shared" si="1"/>
        <v>0</v>
      </c>
      <c r="BD9" s="387">
        <f t="shared" si="2"/>
        <v>2557.2768000000001</v>
      </c>
      <c r="BE9" s="387">
        <f t="shared" si="3"/>
        <v>598.07280000000003</v>
      </c>
      <c r="BF9" s="387">
        <f t="shared" si="4"/>
        <v>4924.8201600000002</v>
      </c>
      <c r="BG9" s="387">
        <f t="shared" si="5"/>
        <v>297.38654400000001</v>
      </c>
      <c r="BH9" s="387">
        <f t="shared" si="6"/>
        <v>202.10736</v>
      </c>
      <c r="BI9" s="387">
        <f t="shared" si="7"/>
        <v>0</v>
      </c>
      <c r="BJ9" s="387">
        <f t="shared" si="8"/>
        <v>152.61168000000001</v>
      </c>
      <c r="BK9" s="387">
        <f t="shared" si="9"/>
        <v>0</v>
      </c>
      <c r="BL9" s="387">
        <f t="shared" si="32"/>
        <v>8732.2753440000015</v>
      </c>
      <c r="BM9" s="387">
        <f t="shared" si="33"/>
        <v>0</v>
      </c>
      <c r="BN9" s="387">
        <f t="shared" si="10"/>
        <v>11650</v>
      </c>
      <c r="BO9" s="387">
        <f t="shared" si="11"/>
        <v>0</v>
      </c>
      <c r="BP9" s="387">
        <f t="shared" si="12"/>
        <v>2557.2768000000001</v>
      </c>
      <c r="BQ9" s="387">
        <f t="shared" si="13"/>
        <v>598.07280000000003</v>
      </c>
      <c r="BR9" s="387">
        <f t="shared" si="14"/>
        <v>4924.8201600000002</v>
      </c>
      <c r="BS9" s="387">
        <f t="shared" si="15"/>
        <v>297.38654400000001</v>
      </c>
      <c r="BT9" s="387">
        <f t="shared" si="16"/>
        <v>0</v>
      </c>
      <c r="BU9" s="387">
        <f t="shared" si="17"/>
        <v>0</v>
      </c>
      <c r="BV9" s="387">
        <f t="shared" si="18"/>
        <v>144.36240000000001</v>
      </c>
      <c r="BW9" s="387">
        <f t="shared" si="19"/>
        <v>0</v>
      </c>
      <c r="BX9" s="387">
        <f t="shared" si="34"/>
        <v>8521.9187040000015</v>
      </c>
      <c r="BY9" s="387">
        <f t="shared" si="35"/>
        <v>0</v>
      </c>
      <c r="BZ9" s="387">
        <f t="shared" si="36"/>
        <v>0</v>
      </c>
      <c r="CA9" s="387">
        <f t="shared" si="37"/>
        <v>0</v>
      </c>
      <c r="CB9" s="387">
        <f t="shared" si="38"/>
        <v>0</v>
      </c>
      <c r="CC9" s="387">
        <f t="shared" si="20"/>
        <v>0</v>
      </c>
      <c r="CD9" s="387">
        <f t="shared" si="21"/>
        <v>0</v>
      </c>
      <c r="CE9" s="387">
        <f t="shared" si="22"/>
        <v>0</v>
      </c>
      <c r="CF9" s="387">
        <f t="shared" si="23"/>
        <v>-202.10736</v>
      </c>
      <c r="CG9" s="387">
        <f t="shared" si="24"/>
        <v>0</v>
      </c>
      <c r="CH9" s="387">
        <f t="shared" si="25"/>
        <v>-8.2492800000000042</v>
      </c>
      <c r="CI9" s="387">
        <f t="shared" si="26"/>
        <v>0</v>
      </c>
      <c r="CJ9" s="387">
        <f t="shared" si="39"/>
        <v>-210.35664</v>
      </c>
      <c r="CK9" s="387" t="str">
        <f t="shared" si="40"/>
        <v/>
      </c>
      <c r="CL9" s="387" t="str">
        <f t="shared" si="41"/>
        <v/>
      </c>
      <c r="CM9" s="387" t="str">
        <f t="shared" si="42"/>
        <v/>
      </c>
      <c r="CN9" s="387" t="str">
        <f t="shared" si="43"/>
        <v>0001-00</v>
      </c>
    </row>
    <row r="10" spans="1:92" ht="15.75" thickBot="1" x14ac:dyDescent="0.3">
      <c r="A10" s="376" t="s">
        <v>161</v>
      </c>
      <c r="B10" s="376" t="s">
        <v>162</v>
      </c>
      <c r="C10" s="376" t="s">
        <v>236</v>
      </c>
      <c r="D10" s="376" t="s">
        <v>237</v>
      </c>
      <c r="E10" s="376" t="s">
        <v>165</v>
      </c>
      <c r="F10" s="377" t="s">
        <v>166</v>
      </c>
      <c r="G10" s="376" t="s">
        <v>167</v>
      </c>
      <c r="H10" s="378"/>
      <c r="I10" s="378"/>
      <c r="J10" s="376" t="s">
        <v>168</v>
      </c>
      <c r="K10" s="376" t="s">
        <v>238</v>
      </c>
      <c r="L10" s="376" t="s">
        <v>166</v>
      </c>
      <c r="M10" s="376" t="s">
        <v>239</v>
      </c>
      <c r="N10" s="376" t="s">
        <v>240</v>
      </c>
      <c r="O10" s="379">
        <v>0</v>
      </c>
      <c r="P10" s="385">
        <v>1</v>
      </c>
      <c r="Q10" s="385">
        <v>0</v>
      </c>
      <c r="R10" s="380">
        <v>0</v>
      </c>
      <c r="S10" s="385">
        <v>0</v>
      </c>
      <c r="T10" s="380">
        <v>0</v>
      </c>
      <c r="U10" s="380">
        <v>0</v>
      </c>
      <c r="V10" s="380">
        <v>0</v>
      </c>
      <c r="W10" s="380">
        <v>0</v>
      </c>
      <c r="X10" s="380">
        <v>0</v>
      </c>
      <c r="Y10" s="380">
        <v>0</v>
      </c>
      <c r="Z10" s="380">
        <v>0</v>
      </c>
      <c r="AA10" s="378"/>
      <c r="AB10" s="376" t="s">
        <v>45</v>
      </c>
      <c r="AC10" s="376" t="s">
        <v>45</v>
      </c>
      <c r="AD10" s="378"/>
      <c r="AE10" s="378"/>
      <c r="AF10" s="378"/>
      <c r="AG10" s="378"/>
      <c r="AH10" s="379">
        <v>0</v>
      </c>
      <c r="AI10" s="379">
        <v>0</v>
      </c>
      <c r="AJ10" s="378"/>
      <c r="AK10" s="378"/>
      <c r="AL10" s="376" t="s">
        <v>179</v>
      </c>
      <c r="AM10" s="378"/>
      <c r="AN10" s="378"/>
      <c r="AO10" s="379">
        <v>0</v>
      </c>
      <c r="AP10" s="385">
        <v>0</v>
      </c>
      <c r="AQ10" s="385">
        <v>0</v>
      </c>
      <c r="AR10" s="384"/>
      <c r="AS10" s="387">
        <f t="shared" si="27"/>
        <v>0</v>
      </c>
      <c r="AT10">
        <f t="shared" si="28"/>
        <v>0</v>
      </c>
      <c r="AU10" s="387" t="str">
        <f>IF(AT10=0,"",IF(AND(AT10=1,M10="F",SUMIF(C2:C26,C10,AS2:AS26)&lt;=1),SUMIF(C2:C26,C10,AS2:AS26),IF(AND(AT10=1,M10="F",SUMIF(C2:C26,C10,AS2:AS26)&gt;1),1,"")))</f>
        <v/>
      </c>
      <c r="AV10" s="387" t="str">
        <f>IF(AT10=0,"",IF(AND(AT10=3,M10="F",SUMIF(C2:C26,C10,AS2:AS26)&lt;=1),SUMIF(C2:C26,C10,AS2:AS26),IF(AND(AT10=3,M10="F",SUMIF(C2:C26,C10,AS2:AS26)&gt;1),1,"")))</f>
        <v/>
      </c>
      <c r="AW10" s="387">
        <f>SUMIF(C2:C26,C10,O2:O26)</f>
        <v>0</v>
      </c>
      <c r="AX10" s="387">
        <f>IF(AND(M10="F",AS10&lt;&gt;0),SUMIF(C2:C26,C10,W2:W26),0)</f>
        <v>0</v>
      </c>
      <c r="AY10" s="387" t="str">
        <f t="shared" si="29"/>
        <v/>
      </c>
      <c r="AZ10" s="387" t="str">
        <f t="shared" si="30"/>
        <v/>
      </c>
      <c r="BA10" s="387">
        <f t="shared" si="31"/>
        <v>0</v>
      </c>
      <c r="BB10" s="387">
        <f t="shared" si="0"/>
        <v>0</v>
      </c>
      <c r="BC10" s="387">
        <f t="shared" si="1"/>
        <v>0</v>
      </c>
      <c r="BD10" s="387">
        <f t="shared" si="2"/>
        <v>0</v>
      </c>
      <c r="BE10" s="387">
        <f t="shared" si="3"/>
        <v>0</v>
      </c>
      <c r="BF10" s="387">
        <f t="shared" si="4"/>
        <v>0</v>
      </c>
      <c r="BG10" s="387">
        <f t="shared" si="5"/>
        <v>0</v>
      </c>
      <c r="BH10" s="387">
        <f t="shared" si="6"/>
        <v>0</v>
      </c>
      <c r="BI10" s="387">
        <f t="shared" si="7"/>
        <v>0</v>
      </c>
      <c r="BJ10" s="387">
        <f t="shared" si="8"/>
        <v>0</v>
      </c>
      <c r="BK10" s="387">
        <f t="shared" si="9"/>
        <v>0</v>
      </c>
      <c r="BL10" s="387">
        <f t="shared" si="32"/>
        <v>0</v>
      </c>
      <c r="BM10" s="387">
        <f t="shared" si="33"/>
        <v>0</v>
      </c>
      <c r="BN10" s="387">
        <f t="shared" si="10"/>
        <v>0</v>
      </c>
      <c r="BO10" s="387">
        <f t="shared" si="11"/>
        <v>0</v>
      </c>
      <c r="BP10" s="387">
        <f t="shared" si="12"/>
        <v>0</v>
      </c>
      <c r="BQ10" s="387">
        <f t="shared" si="13"/>
        <v>0</v>
      </c>
      <c r="BR10" s="387">
        <f t="shared" si="14"/>
        <v>0</v>
      </c>
      <c r="BS10" s="387">
        <f t="shared" si="15"/>
        <v>0</v>
      </c>
      <c r="BT10" s="387">
        <f t="shared" si="16"/>
        <v>0</v>
      </c>
      <c r="BU10" s="387">
        <f t="shared" si="17"/>
        <v>0</v>
      </c>
      <c r="BV10" s="387">
        <f t="shared" si="18"/>
        <v>0</v>
      </c>
      <c r="BW10" s="387">
        <f t="shared" si="19"/>
        <v>0</v>
      </c>
      <c r="BX10" s="387">
        <f t="shared" si="34"/>
        <v>0</v>
      </c>
      <c r="BY10" s="387">
        <f t="shared" si="35"/>
        <v>0</v>
      </c>
      <c r="BZ10" s="387">
        <f t="shared" si="36"/>
        <v>0</v>
      </c>
      <c r="CA10" s="387">
        <f t="shared" si="37"/>
        <v>0</v>
      </c>
      <c r="CB10" s="387">
        <f t="shared" si="38"/>
        <v>0</v>
      </c>
      <c r="CC10" s="387">
        <f t="shared" si="20"/>
        <v>0</v>
      </c>
      <c r="CD10" s="387">
        <f t="shared" si="21"/>
        <v>0</v>
      </c>
      <c r="CE10" s="387">
        <f t="shared" si="22"/>
        <v>0</v>
      </c>
      <c r="CF10" s="387">
        <f t="shared" si="23"/>
        <v>0</v>
      </c>
      <c r="CG10" s="387">
        <f t="shared" si="24"/>
        <v>0</v>
      </c>
      <c r="CH10" s="387">
        <f t="shared" si="25"/>
        <v>0</v>
      </c>
      <c r="CI10" s="387">
        <f t="shared" si="26"/>
        <v>0</v>
      </c>
      <c r="CJ10" s="387">
        <f t="shared" si="39"/>
        <v>0</v>
      </c>
      <c r="CK10" s="387" t="str">
        <f t="shared" si="40"/>
        <v/>
      </c>
      <c r="CL10" s="387">
        <f t="shared" si="41"/>
        <v>0</v>
      </c>
      <c r="CM10" s="387">
        <f t="shared" si="42"/>
        <v>0</v>
      </c>
      <c r="CN10" s="387" t="str">
        <f t="shared" si="43"/>
        <v>0001-00</v>
      </c>
    </row>
    <row r="11" spans="1:92" ht="15.75" thickBot="1" x14ac:dyDescent="0.3">
      <c r="A11" s="376" t="s">
        <v>161</v>
      </c>
      <c r="B11" s="376" t="s">
        <v>162</v>
      </c>
      <c r="C11" s="376" t="s">
        <v>241</v>
      </c>
      <c r="D11" s="376" t="s">
        <v>184</v>
      </c>
      <c r="E11" s="376" t="s">
        <v>165</v>
      </c>
      <c r="F11" s="377" t="s">
        <v>166</v>
      </c>
      <c r="G11" s="376" t="s">
        <v>167</v>
      </c>
      <c r="H11" s="378"/>
      <c r="I11" s="378"/>
      <c r="J11" s="376" t="s">
        <v>168</v>
      </c>
      <c r="K11" s="376" t="s">
        <v>185</v>
      </c>
      <c r="L11" s="376" t="s">
        <v>166</v>
      </c>
      <c r="M11" s="376" t="s">
        <v>170</v>
      </c>
      <c r="N11" s="376" t="s">
        <v>171</v>
      </c>
      <c r="O11" s="379">
        <v>1</v>
      </c>
      <c r="P11" s="385">
        <v>1</v>
      </c>
      <c r="Q11" s="385">
        <v>1</v>
      </c>
      <c r="R11" s="380">
        <v>80</v>
      </c>
      <c r="S11" s="385">
        <v>1</v>
      </c>
      <c r="T11" s="380">
        <v>40453.51</v>
      </c>
      <c r="U11" s="380">
        <v>1064.53</v>
      </c>
      <c r="V11" s="380">
        <v>20180.12</v>
      </c>
      <c r="W11" s="380">
        <v>42036.800000000003</v>
      </c>
      <c r="X11" s="380">
        <v>20549.59</v>
      </c>
      <c r="Y11" s="380">
        <v>42036.800000000003</v>
      </c>
      <c r="Z11" s="380">
        <v>20335.2</v>
      </c>
      <c r="AA11" s="376" t="s">
        <v>242</v>
      </c>
      <c r="AB11" s="376" t="s">
        <v>243</v>
      </c>
      <c r="AC11" s="376" t="s">
        <v>244</v>
      </c>
      <c r="AD11" s="376" t="s">
        <v>245</v>
      </c>
      <c r="AE11" s="376" t="s">
        <v>231</v>
      </c>
      <c r="AF11" s="376" t="s">
        <v>176</v>
      </c>
      <c r="AG11" s="376" t="s">
        <v>177</v>
      </c>
      <c r="AH11" s="381">
        <v>20.21</v>
      </c>
      <c r="AI11" s="381">
        <v>9098.6</v>
      </c>
      <c r="AJ11" s="376" t="s">
        <v>191</v>
      </c>
      <c r="AK11" s="376" t="s">
        <v>192</v>
      </c>
      <c r="AL11" s="376" t="s">
        <v>179</v>
      </c>
      <c r="AM11" s="376" t="s">
        <v>180</v>
      </c>
      <c r="AN11" s="376" t="s">
        <v>68</v>
      </c>
      <c r="AO11" s="379">
        <v>80</v>
      </c>
      <c r="AP11" s="385">
        <v>1</v>
      </c>
      <c r="AQ11" s="385">
        <v>1</v>
      </c>
      <c r="AR11" s="383" t="s">
        <v>182</v>
      </c>
      <c r="AS11" s="387">
        <f t="shared" si="27"/>
        <v>1</v>
      </c>
      <c r="AT11">
        <f t="shared" si="28"/>
        <v>1</v>
      </c>
      <c r="AU11" s="387">
        <f>IF(AT11=0,"",IF(AND(AT11=1,M11="F",SUMIF(C2:C26,C11,AS2:AS26)&lt;=1),SUMIF(C2:C26,C11,AS2:AS26),IF(AND(AT11=1,M11="F",SUMIF(C2:C26,C11,AS2:AS26)&gt;1),1,"")))</f>
        <v>1</v>
      </c>
      <c r="AV11" s="387" t="str">
        <f>IF(AT11=0,"",IF(AND(AT11=3,M11="F",SUMIF(C2:C26,C11,AS2:AS26)&lt;=1),SUMIF(C2:C26,C11,AS2:AS26),IF(AND(AT11=3,M11="F",SUMIF(C2:C26,C11,AS2:AS26)&gt;1),1,"")))</f>
        <v/>
      </c>
      <c r="AW11" s="387">
        <f>SUMIF(C2:C26,C11,O2:O26)</f>
        <v>1</v>
      </c>
      <c r="AX11" s="387">
        <f>IF(AND(M11="F",AS11&lt;&gt;0),SUMIF(C2:C26,C11,W2:W26),0)</f>
        <v>42036.800000000003</v>
      </c>
      <c r="AY11" s="387">
        <f t="shared" si="29"/>
        <v>42036.800000000003</v>
      </c>
      <c r="AZ11" s="387" t="str">
        <f t="shared" si="30"/>
        <v/>
      </c>
      <c r="BA11" s="387">
        <f t="shared" si="31"/>
        <v>0</v>
      </c>
      <c r="BB11" s="387">
        <f t="shared" si="0"/>
        <v>11650</v>
      </c>
      <c r="BC11" s="387">
        <f t="shared" si="1"/>
        <v>0</v>
      </c>
      <c r="BD11" s="387">
        <f t="shared" si="2"/>
        <v>2606.2816000000003</v>
      </c>
      <c r="BE11" s="387">
        <f t="shared" si="3"/>
        <v>609.53360000000009</v>
      </c>
      <c r="BF11" s="387">
        <f t="shared" si="4"/>
        <v>5019.1939200000006</v>
      </c>
      <c r="BG11" s="387">
        <f t="shared" si="5"/>
        <v>303.085328</v>
      </c>
      <c r="BH11" s="387">
        <f t="shared" si="6"/>
        <v>205.98032000000001</v>
      </c>
      <c r="BI11" s="387">
        <f t="shared" si="7"/>
        <v>0</v>
      </c>
      <c r="BJ11" s="387">
        <f t="shared" si="8"/>
        <v>155.53616000000002</v>
      </c>
      <c r="BK11" s="387">
        <f t="shared" si="9"/>
        <v>0</v>
      </c>
      <c r="BL11" s="387">
        <f t="shared" si="32"/>
        <v>8899.6109280000001</v>
      </c>
      <c r="BM11" s="387">
        <f t="shared" si="33"/>
        <v>0</v>
      </c>
      <c r="BN11" s="387">
        <f t="shared" si="10"/>
        <v>11650</v>
      </c>
      <c r="BO11" s="387">
        <f t="shared" si="11"/>
        <v>0</v>
      </c>
      <c r="BP11" s="387">
        <f t="shared" si="12"/>
        <v>2606.2816000000003</v>
      </c>
      <c r="BQ11" s="387">
        <f t="shared" si="13"/>
        <v>609.53360000000009</v>
      </c>
      <c r="BR11" s="387">
        <f t="shared" si="14"/>
        <v>5019.1939200000006</v>
      </c>
      <c r="BS11" s="387">
        <f t="shared" si="15"/>
        <v>303.085328</v>
      </c>
      <c r="BT11" s="387">
        <f t="shared" si="16"/>
        <v>0</v>
      </c>
      <c r="BU11" s="387">
        <f t="shared" si="17"/>
        <v>0</v>
      </c>
      <c r="BV11" s="387">
        <f t="shared" si="18"/>
        <v>147.12880000000001</v>
      </c>
      <c r="BW11" s="387">
        <f t="shared" si="19"/>
        <v>0</v>
      </c>
      <c r="BX11" s="387">
        <f t="shared" si="34"/>
        <v>8685.2232480000002</v>
      </c>
      <c r="BY11" s="387">
        <f t="shared" si="35"/>
        <v>0</v>
      </c>
      <c r="BZ11" s="387">
        <f t="shared" si="36"/>
        <v>0</v>
      </c>
      <c r="CA11" s="387">
        <f t="shared" si="37"/>
        <v>0</v>
      </c>
      <c r="CB11" s="387">
        <f t="shared" si="38"/>
        <v>0</v>
      </c>
      <c r="CC11" s="387">
        <f t="shared" si="20"/>
        <v>0</v>
      </c>
      <c r="CD11" s="387">
        <f t="shared" si="21"/>
        <v>0</v>
      </c>
      <c r="CE11" s="387">
        <f t="shared" si="22"/>
        <v>0</v>
      </c>
      <c r="CF11" s="387">
        <f t="shared" si="23"/>
        <v>-205.98032000000001</v>
      </c>
      <c r="CG11" s="387">
        <f t="shared" si="24"/>
        <v>0</v>
      </c>
      <c r="CH11" s="387">
        <f t="shared" si="25"/>
        <v>-8.4073600000000042</v>
      </c>
      <c r="CI11" s="387">
        <f t="shared" si="26"/>
        <v>0</v>
      </c>
      <c r="CJ11" s="387">
        <f t="shared" si="39"/>
        <v>-214.38768000000002</v>
      </c>
      <c r="CK11" s="387" t="str">
        <f t="shared" si="40"/>
        <v/>
      </c>
      <c r="CL11" s="387" t="str">
        <f t="shared" si="41"/>
        <v/>
      </c>
      <c r="CM11" s="387" t="str">
        <f t="shared" si="42"/>
        <v/>
      </c>
      <c r="CN11" s="387" t="str">
        <f t="shared" si="43"/>
        <v>0001-00</v>
      </c>
    </row>
    <row r="12" spans="1:92" ht="15.75" thickBot="1" x14ac:dyDescent="0.3">
      <c r="A12" s="376" t="s">
        <v>161</v>
      </c>
      <c r="B12" s="376" t="s">
        <v>162</v>
      </c>
      <c r="C12" s="376" t="s">
        <v>165</v>
      </c>
      <c r="D12" s="376" t="s">
        <v>246</v>
      </c>
      <c r="E12" s="376" t="s">
        <v>165</v>
      </c>
      <c r="F12" s="377" t="s">
        <v>166</v>
      </c>
      <c r="G12" s="376" t="s">
        <v>167</v>
      </c>
      <c r="H12" s="378"/>
      <c r="I12" s="378"/>
      <c r="J12" s="376" t="s">
        <v>168</v>
      </c>
      <c r="K12" s="376" t="s">
        <v>247</v>
      </c>
      <c r="L12" s="376" t="s">
        <v>166</v>
      </c>
      <c r="M12" s="376" t="s">
        <v>170</v>
      </c>
      <c r="N12" s="376" t="s">
        <v>171</v>
      </c>
      <c r="O12" s="379">
        <v>1</v>
      </c>
      <c r="P12" s="385">
        <v>1</v>
      </c>
      <c r="Q12" s="385">
        <v>1</v>
      </c>
      <c r="R12" s="380">
        <v>80</v>
      </c>
      <c r="S12" s="385">
        <v>1</v>
      </c>
      <c r="T12" s="380">
        <v>138302</v>
      </c>
      <c r="U12" s="380">
        <v>0</v>
      </c>
      <c r="V12" s="380">
        <v>40854.879999999997</v>
      </c>
      <c r="W12" s="380">
        <v>138302</v>
      </c>
      <c r="X12" s="380">
        <v>40252.199999999997</v>
      </c>
      <c r="Y12" s="380">
        <v>138302</v>
      </c>
      <c r="Z12" s="380">
        <v>40224.54</v>
      </c>
      <c r="AA12" s="376" t="s">
        <v>248</v>
      </c>
      <c r="AB12" s="376" t="s">
        <v>249</v>
      </c>
      <c r="AC12" s="376" t="s">
        <v>250</v>
      </c>
      <c r="AD12" s="376" t="s">
        <v>251</v>
      </c>
      <c r="AE12" s="376" t="s">
        <v>247</v>
      </c>
      <c r="AF12" s="376" t="s">
        <v>176</v>
      </c>
      <c r="AG12" s="376" t="s">
        <v>252</v>
      </c>
      <c r="AH12" s="379">
        <v>138302</v>
      </c>
      <c r="AI12" s="381">
        <v>21439.200000000001</v>
      </c>
      <c r="AJ12" s="376" t="s">
        <v>191</v>
      </c>
      <c r="AK12" s="376" t="s">
        <v>192</v>
      </c>
      <c r="AL12" s="376" t="s">
        <v>179</v>
      </c>
      <c r="AM12" s="376" t="s">
        <v>179</v>
      </c>
      <c r="AN12" s="376" t="s">
        <v>68</v>
      </c>
      <c r="AO12" s="379">
        <v>80</v>
      </c>
      <c r="AP12" s="385">
        <v>1</v>
      </c>
      <c r="AQ12" s="385">
        <v>1</v>
      </c>
      <c r="AR12" s="383" t="s">
        <v>182</v>
      </c>
      <c r="AS12" s="387">
        <f t="shared" si="27"/>
        <v>1</v>
      </c>
      <c r="AT12">
        <f t="shared" si="28"/>
        <v>3</v>
      </c>
      <c r="AU12" s="387" t="str">
        <f>IF(AT12=0,"",IF(AND(AT12=1,M12="F",SUMIF(C2:C26,C12,AS2:AS26)&lt;=1),SUMIF(C2:C26,C12,AS2:AS26),IF(AND(AT12=1,M12="F",SUMIF(C2:C26,C12,AS2:AS26)&gt;1),1,"")))</f>
        <v/>
      </c>
      <c r="AV12" s="387">
        <f>IF(AT12=0,"",IF(AND(AT12=3,M12="F",SUMIF(C2:C26,C12,AS2:AS26)&lt;=1),SUMIF(C2:C26,C12,AS2:AS26),IF(AND(AT12=3,M12="F",SUMIF(C2:C26,C12,AS2:AS26)&gt;1),1,"")))</f>
        <v>1</v>
      </c>
      <c r="AW12" s="387">
        <f>SUMIF(C2:C26,C12,O2:O26)</f>
        <v>1</v>
      </c>
      <c r="AX12" s="387">
        <f>IF(AND(M12="F",AS12&lt;&gt;0),SUMIF(C2:C26,C12,W2:W26),0)</f>
        <v>138302</v>
      </c>
      <c r="AY12" s="387" t="str">
        <f t="shared" si="29"/>
        <v/>
      </c>
      <c r="AZ12" s="387">
        <f t="shared" si="30"/>
        <v>138302</v>
      </c>
      <c r="BA12" s="387">
        <f t="shared" si="31"/>
        <v>0</v>
      </c>
      <c r="BB12" s="387">
        <f t="shared" si="0"/>
        <v>0</v>
      </c>
      <c r="BC12" s="387">
        <f t="shared" si="1"/>
        <v>11650</v>
      </c>
      <c r="BD12" s="387">
        <f t="shared" si="2"/>
        <v>8537.4</v>
      </c>
      <c r="BE12" s="387">
        <f t="shared" si="3"/>
        <v>2005.3790000000001</v>
      </c>
      <c r="BF12" s="387">
        <f t="shared" si="4"/>
        <v>16513.2588</v>
      </c>
      <c r="BG12" s="387">
        <f t="shared" si="5"/>
        <v>997.15742</v>
      </c>
      <c r="BH12" s="387">
        <f t="shared" si="6"/>
        <v>0</v>
      </c>
      <c r="BI12" s="387">
        <f t="shared" si="7"/>
        <v>0</v>
      </c>
      <c r="BJ12" s="387">
        <f t="shared" si="8"/>
        <v>511.7174</v>
      </c>
      <c r="BK12" s="387">
        <f t="shared" si="9"/>
        <v>0</v>
      </c>
      <c r="BL12" s="387">
        <f t="shared" si="32"/>
        <v>0</v>
      </c>
      <c r="BM12" s="387">
        <f t="shared" si="33"/>
        <v>28564.912619999999</v>
      </c>
      <c r="BN12" s="387">
        <f t="shared" si="10"/>
        <v>0</v>
      </c>
      <c r="BO12" s="387">
        <f t="shared" si="11"/>
        <v>11650</v>
      </c>
      <c r="BP12" s="387">
        <f t="shared" si="12"/>
        <v>8574.7240000000002</v>
      </c>
      <c r="BQ12" s="387">
        <f t="shared" si="13"/>
        <v>2005.3790000000001</v>
      </c>
      <c r="BR12" s="387">
        <f t="shared" si="14"/>
        <v>16513.2588</v>
      </c>
      <c r="BS12" s="387">
        <f t="shared" si="15"/>
        <v>997.15742</v>
      </c>
      <c r="BT12" s="387">
        <f t="shared" si="16"/>
        <v>0</v>
      </c>
      <c r="BU12" s="387">
        <f t="shared" si="17"/>
        <v>0</v>
      </c>
      <c r="BV12" s="387">
        <f t="shared" si="18"/>
        <v>484.05700000000002</v>
      </c>
      <c r="BW12" s="387">
        <f t="shared" si="19"/>
        <v>0</v>
      </c>
      <c r="BX12" s="387">
        <f t="shared" si="34"/>
        <v>0</v>
      </c>
      <c r="BY12" s="387">
        <f t="shared" si="35"/>
        <v>28574.576219999999</v>
      </c>
      <c r="BZ12" s="387">
        <f t="shared" si="36"/>
        <v>0</v>
      </c>
      <c r="CA12" s="387">
        <f t="shared" si="37"/>
        <v>0</v>
      </c>
      <c r="CB12" s="387">
        <f t="shared" si="38"/>
        <v>37.324000000000524</v>
      </c>
      <c r="CC12" s="387">
        <f t="shared" si="20"/>
        <v>0</v>
      </c>
      <c r="CD12" s="387">
        <f t="shared" si="21"/>
        <v>0</v>
      </c>
      <c r="CE12" s="387">
        <f t="shared" si="22"/>
        <v>0</v>
      </c>
      <c r="CF12" s="387">
        <f t="shared" si="23"/>
        <v>0</v>
      </c>
      <c r="CG12" s="387">
        <f t="shared" si="24"/>
        <v>0</v>
      </c>
      <c r="CH12" s="387">
        <f t="shared" si="25"/>
        <v>-27.660400000000013</v>
      </c>
      <c r="CI12" s="387">
        <f t="shared" si="26"/>
        <v>0</v>
      </c>
      <c r="CJ12" s="387">
        <f t="shared" si="39"/>
        <v>0</v>
      </c>
      <c r="CK12" s="387">
        <f t="shared" si="40"/>
        <v>9.6636000000005104</v>
      </c>
      <c r="CL12" s="387" t="str">
        <f t="shared" si="41"/>
        <v/>
      </c>
      <c r="CM12" s="387" t="str">
        <f t="shared" si="42"/>
        <v/>
      </c>
      <c r="CN12" s="387" t="str">
        <f t="shared" si="43"/>
        <v>0001-00</v>
      </c>
    </row>
    <row r="13" spans="1:92" ht="15.75" thickBot="1" x14ac:dyDescent="0.3">
      <c r="A13" s="376" t="s">
        <v>161</v>
      </c>
      <c r="B13" s="376" t="s">
        <v>162</v>
      </c>
      <c r="C13" s="376" t="s">
        <v>253</v>
      </c>
      <c r="D13" s="376" t="s">
        <v>184</v>
      </c>
      <c r="E13" s="376" t="s">
        <v>165</v>
      </c>
      <c r="F13" s="377" t="s">
        <v>166</v>
      </c>
      <c r="G13" s="376" t="s">
        <v>167</v>
      </c>
      <c r="H13" s="378"/>
      <c r="I13" s="378"/>
      <c r="J13" s="376" t="s">
        <v>168</v>
      </c>
      <c r="K13" s="376" t="s">
        <v>254</v>
      </c>
      <c r="L13" s="376" t="s">
        <v>166</v>
      </c>
      <c r="M13" s="376" t="s">
        <v>239</v>
      </c>
      <c r="N13" s="376" t="s">
        <v>171</v>
      </c>
      <c r="O13" s="379">
        <v>0</v>
      </c>
      <c r="P13" s="385">
        <v>1</v>
      </c>
      <c r="Q13" s="385">
        <v>1</v>
      </c>
      <c r="R13" s="380">
        <v>80</v>
      </c>
      <c r="S13" s="385">
        <v>1</v>
      </c>
      <c r="T13" s="380">
        <v>33752.28</v>
      </c>
      <c r="U13" s="380">
        <v>0</v>
      </c>
      <c r="V13" s="380">
        <v>18670.2</v>
      </c>
      <c r="W13" s="380">
        <v>29998.799999999999</v>
      </c>
      <c r="X13" s="380">
        <v>13139.47</v>
      </c>
      <c r="Y13" s="380">
        <v>29998.799999999999</v>
      </c>
      <c r="Z13" s="380">
        <v>12989.48</v>
      </c>
      <c r="AA13" s="378"/>
      <c r="AB13" s="376" t="s">
        <v>45</v>
      </c>
      <c r="AC13" s="376" t="s">
        <v>45</v>
      </c>
      <c r="AD13" s="378"/>
      <c r="AE13" s="378"/>
      <c r="AF13" s="378"/>
      <c r="AG13" s="378"/>
      <c r="AH13" s="379">
        <v>0</v>
      </c>
      <c r="AI13" s="379">
        <v>0</v>
      </c>
      <c r="AJ13" s="378"/>
      <c r="AK13" s="378"/>
      <c r="AL13" s="376" t="s">
        <v>179</v>
      </c>
      <c r="AM13" s="378"/>
      <c r="AN13" s="378"/>
      <c r="AO13" s="379">
        <v>0</v>
      </c>
      <c r="AP13" s="385">
        <v>0</v>
      </c>
      <c r="AQ13" s="385">
        <v>0</v>
      </c>
      <c r="AR13" s="384"/>
      <c r="AS13" s="387">
        <f t="shared" si="27"/>
        <v>0</v>
      </c>
      <c r="AT13">
        <f t="shared" si="28"/>
        <v>0</v>
      </c>
      <c r="AU13" s="387" t="str">
        <f>IF(AT13=0,"",IF(AND(AT13=1,M13="F",SUMIF(C2:C26,C13,AS2:AS26)&lt;=1),SUMIF(C2:C26,C13,AS2:AS26),IF(AND(AT13=1,M13="F",SUMIF(C2:C26,C13,AS2:AS26)&gt;1),1,"")))</f>
        <v/>
      </c>
      <c r="AV13" s="387" t="str">
        <f>IF(AT13=0,"",IF(AND(AT13=3,M13="F",SUMIF(C2:C26,C13,AS2:AS26)&lt;=1),SUMIF(C2:C26,C13,AS2:AS26),IF(AND(AT13=3,M13="F",SUMIF(C2:C26,C13,AS2:AS26)&gt;1),1,"")))</f>
        <v/>
      </c>
      <c r="AW13" s="387">
        <f>SUMIF(C2:C26,C13,O2:O26)</f>
        <v>0</v>
      </c>
      <c r="AX13" s="387">
        <f>IF(AND(M13="F",AS13&lt;&gt;0),SUMIF(C2:C26,C13,W2:W26),0)</f>
        <v>0</v>
      </c>
      <c r="AY13" s="387" t="str">
        <f t="shared" si="29"/>
        <v/>
      </c>
      <c r="AZ13" s="387" t="str">
        <f t="shared" si="30"/>
        <v/>
      </c>
      <c r="BA13" s="387">
        <f t="shared" si="31"/>
        <v>0</v>
      </c>
      <c r="BB13" s="387">
        <f t="shared" si="0"/>
        <v>0</v>
      </c>
      <c r="BC13" s="387">
        <f t="shared" si="1"/>
        <v>0</v>
      </c>
      <c r="BD13" s="387">
        <f t="shared" si="2"/>
        <v>0</v>
      </c>
      <c r="BE13" s="387">
        <f t="shared" si="3"/>
        <v>0</v>
      </c>
      <c r="BF13" s="387">
        <f t="shared" si="4"/>
        <v>0</v>
      </c>
      <c r="BG13" s="387">
        <f t="shared" si="5"/>
        <v>0</v>
      </c>
      <c r="BH13" s="387">
        <f t="shared" si="6"/>
        <v>0</v>
      </c>
      <c r="BI13" s="387">
        <f t="shared" si="7"/>
        <v>0</v>
      </c>
      <c r="BJ13" s="387">
        <f t="shared" si="8"/>
        <v>0</v>
      </c>
      <c r="BK13" s="387">
        <f t="shared" si="9"/>
        <v>0</v>
      </c>
      <c r="BL13" s="387">
        <f t="shared" si="32"/>
        <v>0</v>
      </c>
      <c r="BM13" s="387">
        <f t="shared" si="33"/>
        <v>0</v>
      </c>
      <c r="BN13" s="387">
        <f t="shared" si="10"/>
        <v>0</v>
      </c>
      <c r="BO13" s="387">
        <f t="shared" si="11"/>
        <v>0</v>
      </c>
      <c r="BP13" s="387">
        <f t="shared" si="12"/>
        <v>0</v>
      </c>
      <c r="BQ13" s="387">
        <f t="shared" si="13"/>
        <v>0</v>
      </c>
      <c r="BR13" s="387">
        <f t="shared" si="14"/>
        <v>0</v>
      </c>
      <c r="BS13" s="387">
        <f t="shared" si="15"/>
        <v>0</v>
      </c>
      <c r="BT13" s="387">
        <f t="shared" si="16"/>
        <v>0</v>
      </c>
      <c r="BU13" s="387">
        <f t="shared" si="17"/>
        <v>0</v>
      </c>
      <c r="BV13" s="387">
        <f t="shared" si="18"/>
        <v>0</v>
      </c>
      <c r="BW13" s="387">
        <f t="shared" si="19"/>
        <v>0</v>
      </c>
      <c r="BX13" s="387">
        <f t="shared" si="34"/>
        <v>0</v>
      </c>
      <c r="BY13" s="387">
        <f t="shared" si="35"/>
        <v>0</v>
      </c>
      <c r="BZ13" s="387">
        <f t="shared" si="36"/>
        <v>0</v>
      </c>
      <c r="CA13" s="387">
        <f t="shared" si="37"/>
        <v>0</v>
      </c>
      <c r="CB13" s="387">
        <f t="shared" si="38"/>
        <v>0</v>
      </c>
      <c r="CC13" s="387">
        <f t="shared" si="20"/>
        <v>0</v>
      </c>
      <c r="CD13" s="387">
        <f t="shared" si="21"/>
        <v>0</v>
      </c>
      <c r="CE13" s="387">
        <f t="shared" si="22"/>
        <v>0</v>
      </c>
      <c r="CF13" s="387">
        <f t="shared" si="23"/>
        <v>0</v>
      </c>
      <c r="CG13" s="387">
        <f t="shared" si="24"/>
        <v>0</v>
      </c>
      <c r="CH13" s="387">
        <f t="shared" si="25"/>
        <v>0</v>
      </c>
      <c r="CI13" s="387">
        <f t="shared" si="26"/>
        <v>0</v>
      </c>
      <c r="CJ13" s="387">
        <f t="shared" si="39"/>
        <v>0</v>
      </c>
      <c r="CK13" s="387" t="str">
        <f t="shared" si="40"/>
        <v/>
      </c>
      <c r="CL13" s="387" t="str">
        <f t="shared" si="41"/>
        <v/>
      </c>
      <c r="CM13" s="387" t="str">
        <f t="shared" si="42"/>
        <v/>
      </c>
      <c r="CN13" s="387" t="str">
        <f t="shared" si="43"/>
        <v>0001-00</v>
      </c>
    </row>
    <row r="14" spans="1:92" ht="15.75" thickBot="1" x14ac:dyDescent="0.3">
      <c r="A14" s="376" t="s">
        <v>161</v>
      </c>
      <c r="B14" s="376" t="s">
        <v>162</v>
      </c>
      <c r="C14" s="376" t="s">
        <v>255</v>
      </c>
      <c r="D14" s="376" t="s">
        <v>256</v>
      </c>
      <c r="E14" s="376" t="s">
        <v>165</v>
      </c>
      <c r="F14" s="377" t="s">
        <v>166</v>
      </c>
      <c r="G14" s="376" t="s">
        <v>167</v>
      </c>
      <c r="H14" s="378"/>
      <c r="I14" s="378"/>
      <c r="J14" s="376" t="s">
        <v>168</v>
      </c>
      <c r="K14" s="376" t="s">
        <v>257</v>
      </c>
      <c r="L14" s="376" t="s">
        <v>166</v>
      </c>
      <c r="M14" s="376" t="s">
        <v>239</v>
      </c>
      <c r="N14" s="376" t="s">
        <v>171</v>
      </c>
      <c r="O14" s="379">
        <v>0</v>
      </c>
      <c r="P14" s="385">
        <v>1</v>
      </c>
      <c r="Q14" s="385">
        <v>1</v>
      </c>
      <c r="R14" s="380">
        <v>80</v>
      </c>
      <c r="S14" s="385">
        <v>1</v>
      </c>
      <c r="T14" s="380">
        <v>63788.4</v>
      </c>
      <c r="U14" s="380">
        <v>0</v>
      </c>
      <c r="V14" s="380">
        <v>23263.32</v>
      </c>
      <c r="W14" s="380">
        <v>70574.399999999994</v>
      </c>
      <c r="X14" s="380">
        <v>30911.58</v>
      </c>
      <c r="Y14" s="380">
        <v>70574.399999999994</v>
      </c>
      <c r="Z14" s="380">
        <v>30558.71</v>
      </c>
      <c r="AA14" s="378"/>
      <c r="AB14" s="376" t="s">
        <v>45</v>
      </c>
      <c r="AC14" s="376" t="s">
        <v>45</v>
      </c>
      <c r="AD14" s="378"/>
      <c r="AE14" s="378"/>
      <c r="AF14" s="378"/>
      <c r="AG14" s="378"/>
      <c r="AH14" s="379">
        <v>0</v>
      </c>
      <c r="AI14" s="379">
        <v>0</v>
      </c>
      <c r="AJ14" s="378"/>
      <c r="AK14" s="378"/>
      <c r="AL14" s="376" t="s">
        <v>179</v>
      </c>
      <c r="AM14" s="378"/>
      <c r="AN14" s="378"/>
      <c r="AO14" s="379">
        <v>0</v>
      </c>
      <c r="AP14" s="385">
        <v>0</v>
      </c>
      <c r="AQ14" s="385">
        <v>0</v>
      </c>
      <c r="AR14" s="384"/>
      <c r="AS14" s="387">
        <f t="shared" si="27"/>
        <v>0</v>
      </c>
      <c r="AT14">
        <f t="shared" si="28"/>
        <v>0</v>
      </c>
      <c r="AU14" s="387" t="str">
        <f>IF(AT14=0,"",IF(AND(AT14=1,M14="F",SUMIF(C2:C26,C14,AS2:AS26)&lt;=1),SUMIF(C2:C26,C14,AS2:AS26),IF(AND(AT14=1,M14="F",SUMIF(C2:C26,C14,AS2:AS26)&gt;1),1,"")))</f>
        <v/>
      </c>
      <c r="AV14" s="387" t="str">
        <f>IF(AT14=0,"",IF(AND(AT14=3,M14="F",SUMIF(C2:C26,C14,AS2:AS26)&lt;=1),SUMIF(C2:C26,C14,AS2:AS26),IF(AND(AT14=3,M14="F",SUMIF(C2:C26,C14,AS2:AS26)&gt;1),1,"")))</f>
        <v/>
      </c>
      <c r="AW14" s="387">
        <f>SUMIF(C2:C26,C14,O2:O26)</f>
        <v>0</v>
      </c>
      <c r="AX14" s="387">
        <f>IF(AND(M14="F",AS14&lt;&gt;0),SUMIF(C2:C26,C14,W2:W26),0)</f>
        <v>0</v>
      </c>
      <c r="AY14" s="387" t="str">
        <f t="shared" si="29"/>
        <v/>
      </c>
      <c r="AZ14" s="387" t="str">
        <f t="shared" si="30"/>
        <v/>
      </c>
      <c r="BA14" s="387">
        <f t="shared" si="31"/>
        <v>0</v>
      </c>
      <c r="BB14" s="387">
        <f t="shared" si="0"/>
        <v>0</v>
      </c>
      <c r="BC14" s="387">
        <f t="shared" si="1"/>
        <v>0</v>
      </c>
      <c r="BD14" s="387">
        <f t="shared" si="2"/>
        <v>0</v>
      </c>
      <c r="BE14" s="387">
        <f t="shared" si="3"/>
        <v>0</v>
      </c>
      <c r="BF14" s="387">
        <f t="shared" si="4"/>
        <v>0</v>
      </c>
      <c r="BG14" s="387">
        <f t="shared" si="5"/>
        <v>0</v>
      </c>
      <c r="BH14" s="387">
        <f t="shared" si="6"/>
        <v>0</v>
      </c>
      <c r="BI14" s="387">
        <f t="shared" si="7"/>
        <v>0</v>
      </c>
      <c r="BJ14" s="387">
        <f t="shared" si="8"/>
        <v>0</v>
      </c>
      <c r="BK14" s="387">
        <f t="shared" si="9"/>
        <v>0</v>
      </c>
      <c r="BL14" s="387">
        <f t="shared" si="32"/>
        <v>0</v>
      </c>
      <c r="BM14" s="387">
        <f t="shared" si="33"/>
        <v>0</v>
      </c>
      <c r="BN14" s="387">
        <f t="shared" si="10"/>
        <v>0</v>
      </c>
      <c r="BO14" s="387">
        <f t="shared" si="11"/>
        <v>0</v>
      </c>
      <c r="BP14" s="387">
        <f t="shared" si="12"/>
        <v>0</v>
      </c>
      <c r="BQ14" s="387">
        <f t="shared" si="13"/>
        <v>0</v>
      </c>
      <c r="BR14" s="387">
        <f t="shared" si="14"/>
        <v>0</v>
      </c>
      <c r="BS14" s="387">
        <f t="shared" si="15"/>
        <v>0</v>
      </c>
      <c r="BT14" s="387">
        <f t="shared" si="16"/>
        <v>0</v>
      </c>
      <c r="BU14" s="387">
        <f t="shared" si="17"/>
        <v>0</v>
      </c>
      <c r="BV14" s="387">
        <f t="shared" si="18"/>
        <v>0</v>
      </c>
      <c r="BW14" s="387">
        <f t="shared" si="19"/>
        <v>0</v>
      </c>
      <c r="BX14" s="387">
        <f t="shared" si="34"/>
        <v>0</v>
      </c>
      <c r="BY14" s="387">
        <f t="shared" si="35"/>
        <v>0</v>
      </c>
      <c r="BZ14" s="387">
        <f t="shared" si="36"/>
        <v>0</v>
      </c>
      <c r="CA14" s="387">
        <f t="shared" si="37"/>
        <v>0</v>
      </c>
      <c r="CB14" s="387">
        <f t="shared" si="38"/>
        <v>0</v>
      </c>
      <c r="CC14" s="387">
        <f t="shared" si="20"/>
        <v>0</v>
      </c>
      <c r="CD14" s="387">
        <f t="shared" si="21"/>
        <v>0</v>
      </c>
      <c r="CE14" s="387">
        <f t="shared" si="22"/>
        <v>0</v>
      </c>
      <c r="CF14" s="387">
        <f t="shared" si="23"/>
        <v>0</v>
      </c>
      <c r="CG14" s="387">
        <f t="shared" si="24"/>
        <v>0</v>
      </c>
      <c r="CH14" s="387">
        <f t="shared" si="25"/>
        <v>0</v>
      </c>
      <c r="CI14" s="387">
        <f t="shared" si="26"/>
        <v>0</v>
      </c>
      <c r="CJ14" s="387">
        <f t="shared" si="39"/>
        <v>0</v>
      </c>
      <c r="CK14" s="387" t="str">
        <f t="shared" si="40"/>
        <v/>
      </c>
      <c r="CL14" s="387" t="str">
        <f t="shared" si="41"/>
        <v/>
      </c>
      <c r="CM14" s="387" t="str">
        <f t="shared" si="42"/>
        <v/>
      </c>
      <c r="CN14" s="387" t="str">
        <f t="shared" si="43"/>
        <v>0001-00</v>
      </c>
    </row>
    <row r="15" spans="1:92" ht="15.75" thickBot="1" x14ac:dyDescent="0.3">
      <c r="A15" s="376" t="s">
        <v>161</v>
      </c>
      <c r="B15" s="376" t="s">
        <v>162</v>
      </c>
      <c r="C15" s="376" t="s">
        <v>258</v>
      </c>
      <c r="D15" s="376" t="s">
        <v>201</v>
      </c>
      <c r="E15" s="376" t="s">
        <v>165</v>
      </c>
      <c r="F15" s="377" t="s">
        <v>166</v>
      </c>
      <c r="G15" s="376" t="s">
        <v>167</v>
      </c>
      <c r="H15" s="378"/>
      <c r="I15" s="378"/>
      <c r="J15" s="376" t="s">
        <v>168</v>
      </c>
      <c r="K15" s="376" t="s">
        <v>202</v>
      </c>
      <c r="L15" s="376" t="s">
        <v>166</v>
      </c>
      <c r="M15" s="376" t="s">
        <v>239</v>
      </c>
      <c r="N15" s="376" t="s">
        <v>171</v>
      </c>
      <c r="O15" s="379">
        <v>0</v>
      </c>
      <c r="P15" s="385">
        <v>1</v>
      </c>
      <c r="Q15" s="385">
        <v>1</v>
      </c>
      <c r="R15" s="380">
        <v>80</v>
      </c>
      <c r="S15" s="385">
        <v>1</v>
      </c>
      <c r="T15" s="380">
        <v>9826.83</v>
      </c>
      <c r="U15" s="380">
        <v>0</v>
      </c>
      <c r="V15" s="380">
        <v>4843.75</v>
      </c>
      <c r="W15" s="380">
        <v>30014.400000000001</v>
      </c>
      <c r="X15" s="380">
        <v>13146.3</v>
      </c>
      <c r="Y15" s="380">
        <v>30014.400000000001</v>
      </c>
      <c r="Z15" s="380">
        <v>12996.23</v>
      </c>
      <c r="AA15" s="378"/>
      <c r="AB15" s="376" t="s">
        <v>45</v>
      </c>
      <c r="AC15" s="376" t="s">
        <v>45</v>
      </c>
      <c r="AD15" s="378"/>
      <c r="AE15" s="378"/>
      <c r="AF15" s="378"/>
      <c r="AG15" s="378"/>
      <c r="AH15" s="379">
        <v>0</v>
      </c>
      <c r="AI15" s="379">
        <v>0</v>
      </c>
      <c r="AJ15" s="378"/>
      <c r="AK15" s="378"/>
      <c r="AL15" s="376" t="s">
        <v>179</v>
      </c>
      <c r="AM15" s="378"/>
      <c r="AN15" s="378"/>
      <c r="AO15" s="379">
        <v>0</v>
      </c>
      <c r="AP15" s="385">
        <v>0</v>
      </c>
      <c r="AQ15" s="385">
        <v>0</v>
      </c>
      <c r="AR15" s="384"/>
      <c r="AS15" s="387">
        <f t="shared" si="27"/>
        <v>0</v>
      </c>
      <c r="AT15">
        <f t="shared" si="28"/>
        <v>0</v>
      </c>
      <c r="AU15" s="387" t="str">
        <f>IF(AT15=0,"",IF(AND(AT15=1,M15="F",SUMIF(C2:C26,C15,AS2:AS26)&lt;=1),SUMIF(C2:C26,C15,AS2:AS26),IF(AND(AT15=1,M15="F",SUMIF(C2:C26,C15,AS2:AS26)&gt;1),1,"")))</f>
        <v/>
      </c>
      <c r="AV15" s="387" t="str">
        <f>IF(AT15=0,"",IF(AND(AT15=3,M15="F",SUMIF(C2:C26,C15,AS2:AS26)&lt;=1),SUMIF(C2:C26,C15,AS2:AS26),IF(AND(AT15=3,M15="F",SUMIF(C2:C26,C15,AS2:AS26)&gt;1),1,"")))</f>
        <v/>
      </c>
      <c r="AW15" s="387">
        <f>SUMIF(C2:C26,C15,O2:O26)</f>
        <v>0</v>
      </c>
      <c r="AX15" s="387">
        <f>IF(AND(M15="F",AS15&lt;&gt;0),SUMIF(C2:C26,C15,W2:W26),0)</f>
        <v>0</v>
      </c>
      <c r="AY15" s="387" t="str">
        <f t="shared" si="29"/>
        <v/>
      </c>
      <c r="AZ15" s="387" t="str">
        <f t="shared" si="30"/>
        <v/>
      </c>
      <c r="BA15" s="387">
        <f t="shared" si="31"/>
        <v>0</v>
      </c>
      <c r="BB15" s="387">
        <f t="shared" si="0"/>
        <v>0</v>
      </c>
      <c r="BC15" s="387">
        <f t="shared" si="1"/>
        <v>0</v>
      </c>
      <c r="BD15" s="387">
        <f t="shared" si="2"/>
        <v>0</v>
      </c>
      <c r="BE15" s="387">
        <f t="shared" si="3"/>
        <v>0</v>
      </c>
      <c r="BF15" s="387">
        <f t="shared" si="4"/>
        <v>0</v>
      </c>
      <c r="BG15" s="387">
        <f t="shared" si="5"/>
        <v>0</v>
      </c>
      <c r="BH15" s="387">
        <f t="shared" si="6"/>
        <v>0</v>
      </c>
      <c r="BI15" s="387">
        <f t="shared" si="7"/>
        <v>0</v>
      </c>
      <c r="BJ15" s="387">
        <f t="shared" si="8"/>
        <v>0</v>
      </c>
      <c r="BK15" s="387">
        <f t="shared" si="9"/>
        <v>0</v>
      </c>
      <c r="BL15" s="387">
        <f t="shared" si="32"/>
        <v>0</v>
      </c>
      <c r="BM15" s="387">
        <f t="shared" si="33"/>
        <v>0</v>
      </c>
      <c r="BN15" s="387">
        <f t="shared" si="10"/>
        <v>0</v>
      </c>
      <c r="BO15" s="387">
        <f t="shared" si="11"/>
        <v>0</v>
      </c>
      <c r="BP15" s="387">
        <f t="shared" si="12"/>
        <v>0</v>
      </c>
      <c r="BQ15" s="387">
        <f t="shared" si="13"/>
        <v>0</v>
      </c>
      <c r="BR15" s="387">
        <f t="shared" si="14"/>
        <v>0</v>
      </c>
      <c r="BS15" s="387">
        <f t="shared" si="15"/>
        <v>0</v>
      </c>
      <c r="BT15" s="387">
        <f t="shared" si="16"/>
        <v>0</v>
      </c>
      <c r="BU15" s="387">
        <f t="shared" si="17"/>
        <v>0</v>
      </c>
      <c r="BV15" s="387">
        <f t="shared" si="18"/>
        <v>0</v>
      </c>
      <c r="BW15" s="387">
        <f t="shared" si="19"/>
        <v>0</v>
      </c>
      <c r="BX15" s="387">
        <f t="shared" si="34"/>
        <v>0</v>
      </c>
      <c r="BY15" s="387">
        <f t="shared" si="35"/>
        <v>0</v>
      </c>
      <c r="BZ15" s="387">
        <f t="shared" si="36"/>
        <v>0</v>
      </c>
      <c r="CA15" s="387">
        <f t="shared" si="37"/>
        <v>0</v>
      </c>
      <c r="CB15" s="387">
        <f t="shared" si="38"/>
        <v>0</v>
      </c>
      <c r="CC15" s="387">
        <f t="shared" si="20"/>
        <v>0</v>
      </c>
      <c r="CD15" s="387">
        <f t="shared" si="21"/>
        <v>0</v>
      </c>
      <c r="CE15" s="387">
        <f t="shared" si="22"/>
        <v>0</v>
      </c>
      <c r="CF15" s="387">
        <f t="shared" si="23"/>
        <v>0</v>
      </c>
      <c r="CG15" s="387">
        <f t="shared" si="24"/>
        <v>0</v>
      </c>
      <c r="CH15" s="387">
        <f t="shared" si="25"/>
        <v>0</v>
      </c>
      <c r="CI15" s="387">
        <f t="shared" si="26"/>
        <v>0</v>
      </c>
      <c r="CJ15" s="387">
        <f t="shared" si="39"/>
        <v>0</v>
      </c>
      <c r="CK15" s="387" t="str">
        <f t="shared" si="40"/>
        <v/>
      </c>
      <c r="CL15" s="387" t="str">
        <f t="shared" si="41"/>
        <v/>
      </c>
      <c r="CM15" s="387" t="str">
        <f t="shared" si="42"/>
        <v/>
      </c>
      <c r="CN15" s="387" t="str">
        <f t="shared" si="43"/>
        <v>0001-00</v>
      </c>
    </row>
    <row r="16" spans="1:92" ht="15.75" thickBot="1" x14ac:dyDescent="0.3">
      <c r="A16" s="376" t="s">
        <v>161</v>
      </c>
      <c r="B16" s="376" t="s">
        <v>162</v>
      </c>
      <c r="C16" s="376" t="s">
        <v>259</v>
      </c>
      <c r="D16" s="376" t="s">
        <v>260</v>
      </c>
      <c r="E16" s="376" t="s">
        <v>165</v>
      </c>
      <c r="F16" s="377" t="s">
        <v>166</v>
      </c>
      <c r="G16" s="376" t="s">
        <v>167</v>
      </c>
      <c r="H16" s="378"/>
      <c r="I16" s="378"/>
      <c r="J16" s="376" t="s">
        <v>168</v>
      </c>
      <c r="K16" s="376" t="s">
        <v>261</v>
      </c>
      <c r="L16" s="376" t="s">
        <v>166</v>
      </c>
      <c r="M16" s="376" t="s">
        <v>170</v>
      </c>
      <c r="N16" s="376" t="s">
        <v>171</v>
      </c>
      <c r="O16" s="379">
        <v>1</v>
      </c>
      <c r="P16" s="385">
        <v>1</v>
      </c>
      <c r="Q16" s="385">
        <v>1</v>
      </c>
      <c r="R16" s="380">
        <v>80</v>
      </c>
      <c r="S16" s="385">
        <v>1</v>
      </c>
      <c r="T16" s="380">
        <v>55748.800000000003</v>
      </c>
      <c r="U16" s="380">
        <v>0</v>
      </c>
      <c r="V16" s="380">
        <v>22985.63</v>
      </c>
      <c r="W16" s="380">
        <v>57803.199999999997</v>
      </c>
      <c r="X16" s="380">
        <v>23887.49</v>
      </c>
      <c r="Y16" s="380">
        <v>57803.199999999997</v>
      </c>
      <c r="Z16" s="380">
        <v>23592.7</v>
      </c>
      <c r="AA16" s="376" t="s">
        <v>262</v>
      </c>
      <c r="AB16" s="376" t="s">
        <v>263</v>
      </c>
      <c r="AC16" s="376" t="s">
        <v>264</v>
      </c>
      <c r="AD16" s="376" t="s">
        <v>265</v>
      </c>
      <c r="AE16" s="376" t="s">
        <v>266</v>
      </c>
      <c r="AF16" s="376" t="s">
        <v>176</v>
      </c>
      <c r="AG16" s="376" t="s">
        <v>177</v>
      </c>
      <c r="AH16" s="381">
        <v>27.79</v>
      </c>
      <c r="AI16" s="381">
        <v>5209.5</v>
      </c>
      <c r="AJ16" s="376" t="s">
        <v>191</v>
      </c>
      <c r="AK16" s="376" t="s">
        <v>192</v>
      </c>
      <c r="AL16" s="376" t="s">
        <v>179</v>
      </c>
      <c r="AM16" s="376" t="s">
        <v>180</v>
      </c>
      <c r="AN16" s="376" t="s">
        <v>68</v>
      </c>
      <c r="AO16" s="379">
        <v>80</v>
      </c>
      <c r="AP16" s="385">
        <v>1</v>
      </c>
      <c r="AQ16" s="385">
        <v>1</v>
      </c>
      <c r="AR16" s="383" t="s">
        <v>182</v>
      </c>
      <c r="AS16" s="387">
        <f t="shared" si="27"/>
        <v>1</v>
      </c>
      <c r="AT16">
        <f t="shared" si="28"/>
        <v>1</v>
      </c>
      <c r="AU16" s="387">
        <f>IF(AT16=0,"",IF(AND(AT16=1,M16="F",SUMIF(C2:C26,C16,AS2:AS26)&lt;=1),SUMIF(C2:C26,C16,AS2:AS26),IF(AND(AT16=1,M16="F",SUMIF(C2:C26,C16,AS2:AS26)&gt;1),1,"")))</f>
        <v>1</v>
      </c>
      <c r="AV16" s="387" t="str">
        <f>IF(AT16=0,"",IF(AND(AT16=3,M16="F",SUMIF(C2:C26,C16,AS2:AS26)&lt;=1),SUMIF(C2:C26,C16,AS2:AS26),IF(AND(AT16=3,M16="F",SUMIF(C2:C26,C16,AS2:AS26)&gt;1),1,"")))</f>
        <v/>
      </c>
      <c r="AW16" s="387">
        <f>SUMIF(C2:C26,C16,O2:O26)</f>
        <v>1</v>
      </c>
      <c r="AX16" s="387">
        <f>IF(AND(M16="F",AS16&lt;&gt;0),SUMIF(C2:C26,C16,W2:W26),0)</f>
        <v>57803.199999999997</v>
      </c>
      <c r="AY16" s="387">
        <f t="shared" si="29"/>
        <v>57803.199999999997</v>
      </c>
      <c r="AZ16" s="387" t="str">
        <f t="shared" si="30"/>
        <v/>
      </c>
      <c r="BA16" s="387">
        <f t="shared" si="31"/>
        <v>0</v>
      </c>
      <c r="BB16" s="387">
        <f t="shared" si="0"/>
        <v>11650</v>
      </c>
      <c r="BC16" s="387">
        <f t="shared" si="1"/>
        <v>0</v>
      </c>
      <c r="BD16" s="387">
        <f t="shared" si="2"/>
        <v>3583.7983999999997</v>
      </c>
      <c r="BE16" s="387">
        <f t="shared" si="3"/>
        <v>838.14639999999997</v>
      </c>
      <c r="BF16" s="387">
        <f t="shared" si="4"/>
        <v>6901.70208</v>
      </c>
      <c r="BG16" s="387">
        <f t="shared" si="5"/>
        <v>416.76107200000001</v>
      </c>
      <c r="BH16" s="387">
        <f t="shared" si="6"/>
        <v>283.23568</v>
      </c>
      <c r="BI16" s="387">
        <f t="shared" si="7"/>
        <v>0</v>
      </c>
      <c r="BJ16" s="387">
        <f t="shared" si="8"/>
        <v>213.87183999999999</v>
      </c>
      <c r="BK16" s="387">
        <f t="shared" si="9"/>
        <v>0</v>
      </c>
      <c r="BL16" s="387">
        <f t="shared" si="32"/>
        <v>12237.515471999999</v>
      </c>
      <c r="BM16" s="387">
        <f t="shared" si="33"/>
        <v>0</v>
      </c>
      <c r="BN16" s="387">
        <f t="shared" si="10"/>
        <v>11650</v>
      </c>
      <c r="BO16" s="387">
        <f t="shared" si="11"/>
        <v>0</v>
      </c>
      <c r="BP16" s="387">
        <f t="shared" si="12"/>
        <v>3583.7983999999997</v>
      </c>
      <c r="BQ16" s="387">
        <f t="shared" si="13"/>
        <v>838.14639999999997</v>
      </c>
      <c r="BR16" s="387">
        <f t="shared" si="14"/>
        <v>6901.70208</v>
      </c>
      <c r="BS16" s="387">
        <f t="shared" si="15"/>
        <v>416.76107200000001</v>
      </c>
      <c r="BT16" s="387">
        <f t="shared" si="16"/>
        <v>0</v>
      </c>
      <c r="BU16" s="387">
        <f t="shared" si="17"/>
        <v>0</v>
      </c>
      <c r="BV16" s="387">
        <f t="shared" si="18"/>
        <v>202.31119999999999</v>
      </c>
      <c r="BW16" s="387">
        <f t="shared" si="19"/>
        <v>0</v>
      </c>
      <c r="BX16" s="387">
        <f t="shared" si="34"/>
        <v>11942.719152</v>
      </c>
      <c r="BY16" s="387">
        <f t="shared" si="35"/>
        <v>0</v>
      </c>
      <c r="BZ16" s="387">
        <f t="shared" si="36"/>
        <v>0</v>
      </c>
      <c r="CA16" s="387">
        <f t="shared" si="37"/>
        <v>0</v>
      </c>
      <c r="CB16" s="387">
        <f t="shared" si="38"/>
        <v>0</v>
      </c>
      <c r="CC16" s="387">
        <f t="shared" si="20"/>
        <v>0</v>
      </c>
      <c r="CD16" s="387">
        <f t="shared" si="21"/>
        <v>0</v>
      </c>
      <c r="CE16" s="387">
        <f t="shared" si="22"/>
        <v>0</v>
      </c>
      <c r="CF16" s="387">
        <f t="shared" si="23"/>
        <v>-283.23568</v>
      </c>
      <c r="CG16" s="387">
        <f t="shared" si="24"/>
        <v>0</v>
      </c>
      <c r="CH16" s="387">
        <f t="shared" si="25"/>
        <v>-11.560640000000005</v>
      </c>
      <c r="CI16" s="387">
        <f t="shared" si="26"/>
        <v>0</v>
      </c>
      <c r="CJ16" s="387">
        <f t="shared" si="39"/>
        <v>-294.79631999999998</v>
      </c>
      <c r="CK16" s="387" t="str">
        <f t="shared" si="40"/>
        <v/>
      </c>
      <c r="CL16" s="387" t="str">
        <f t="shared" si="41"/>
        <v/>
      </c>
      <c r="CM16" s="387" t="str">
        <f t="shared" si="42"/>
        <v/>
      </c>
      <c r="CN16" s="387" t="str">
        <f t="shared" si="43"/>
        <v>0001-00</v>
      </c>
    </row>
    <row r="17" spans="1:92" ht="15.75" thickBot="1" x14ac:dyDescent="0.3">
      <c r="A17" s="376" t="s">
        <v>161</v>
      </c>
      <c r="B17" s="376" t="s">
        <v>162</v>
      </c>
      <c r="C17" s="376" t="s">
        <v>267</v>
      </c>
      <c r="D17" s="376" t="s">
        <v>268</v>
      </c>
      <c r="E17" s="376" t="s">
        <v>165</v>
      </c>
      <c r="F17" s="377" t="s">
        <v>166</v>
      </c>
      <c r="G17" s="376" t="s">
        <v>167</v>
      </c>
      <c r="H17" s="378"/>
      <c r="I17" s="378"/>
      <c r="J17" s="376" t="s">
        <v>168</v>
      </c>
      <c r="K17" s="376" t="s">
        <v>269</v>
      </c>
      <c r="L17" s="376" t="s">
        <v>166</v>
      </c>
      <c r="M17" s="376" t="s">
        <v>170</v>
      </c>
      <c r="N17" s="376" t="s">
        <v>171</v>
      </c>
      <c r="O17" s="379">
        <v>1</v>
      </c>
      <c r="P17" s="385">
        <v>1</v>
      </c>
      <c r="Q17" s="385">
        <v>1</v>
      </c>
      <c r="R17" s="380">
        <v>80</v>
      </c>
      <c r="S17" s="385">
        <v>1</v>
      </c>
      <c r="T17" s="380">
        <v>124107.2</v>
      </c>
      <c r="U17" s="380">
        <v>0</v>
      </c>
      <c r="V17" s="380">
        <v>36893.49</v>
      </c>
      <c r="W17" s="380">
        <v>130582.39999999999</v>
      </c>
      <c r="X17" s="380">
        <v>39295.56</v>
      </c>
      <c r="Y17" s="380">
        <v>130582.39999999999</v>
      </c>
      <c r="Z17" s="380">
        <v>38629.589999999997</v>
      </c>
      <c r="AA17" s="376" t="s">
        <v>270</v>
      </c>
      <c r="AB17" s="376" t="s">
        <v>271</v>
      </c>
      <c r="AC17" s="376" t="s">
        <v>272</v>
      </c>
      <c r="AD17" s="376" t="s">
        <v>273</v>
      </c>
      <c r="AE17" s="376" t="s">
        <v>269</v>
      </c>
      <c r="AF17" s="376" t="s">
        <v>176</v>
      </c>
      <c r="AG17" s="376" t="s">
        <v>177</v>
      </c>
      <c r="AH17" s="381">
        <v>62.78</v>
      </c>
      <c r="AI17" s="379">
        <v>24075</v>
      </c>
      <c r="AJ17" s="376" t="s">
        <v>191</v>
      </c>
      <c r="AK17" s="376" t="s">
        <v>192</v>
      </c>
      <c r="AL17" s="376" t="s">
        <v>179</v>
      </c>
      <c r="AM17" s="376" t="s">
        <v>180</v>
      </c>
      <c r="AN17" s="376" t="s">
        <v>68</v>
      </c>
      <c r="AO17" s="379">
        <v>80</v>
      </c>
      <c r="AP17" s="385">
        <v>1</v>
      </c>
      <c r="AQ17" s="385">
        <v>1</v>
      </c>
      <c r="AR17" s="383" t="s">
        <v>182</v>
      </c>
      <c r="AS17" s="387">
        <f t="shared" si="27"/>
        <v>1</v>
      </c>
      <c r="AT17">
        <f t="shared" si="28"/>
        <v>1</v>
      </c>
      <c r="AU17" s="387">
        <f>IF(AT17=0,"",IF(AND(AT17=1,M17="F",SUMIF(C2:C26,C17,AS2:AS26)&lt;=1),SUMIF(C2:C26,C17,AS2:AS26),IF(AND(AT17=1,M17="F",SUMIF(C2:C26,C17,AS2:AS26)&gt;1),1,"")))</f>
        <v>1</v>
      </c>
      <c r="AV17" s="387" t="str">
        <f>IF(AT17=0,"",IF(AND(AT17=3,M17="F",SUMIF(C2:C26,C17,AS2:AS26)&lt;=1),SUMIF(C2:C26,C17,AS2:AS26),IF(AND(AT17=3,M17="F",SUMIF(C2:C26,C17,AS2:AS26)&gt;1),1,"")))</f>
        <v/>
      </c>
      <c r="AW17" s="387">
        <f>SUMIF(C2:C26,C17,O2:O26)</f>
        <v>1</v>
      </c>
      <c r="AX17" s="387">
        <f>IF(AND(M17="F",AS17&lt;&gt;0),SUMIF(C2:C26,C17,W2:W26),0)</f>
        <v>130582.39999999999</v>
      </c>
      <c r="AY17" s="387">
        <f t="shared" si="29"/>
        <v>130582.39999999999</v>
      </c>
      <c r="AZ17" s="387" t="str">
        <f t="shared" si="30"/>
        <v/>
      </c>
      <c r="BA17" s="387">
        <f t="shared" si="31"/>
        <v>0</v>
      </c>
      <c r="BB17" s="387">
        <f t="shared" si="0"/>
        <v>11650</v>
      </c>
      <c r="BC17" s="387">
        <f t="shared" si="1"/>
        <v>0</v>
      </c>
      <c r="BD17" s="387">
        <f t="shared" si="2"/>
        <v>8096.1088</v>
      </c>
      <c r="BE17" s="387">
        <f t="shared" si="3"/>
        <v>1893.4448</v>
      </c>
      <c r="BF17" s="387">
        <f t="shared" si="4"/>
        <v>15591.538560000001</v>
      </c>
      <c r="BG17" s="387">
        <f t="shared" si="5"/>
        <v>941.49910399999999</v>
      </c>
      <c r="BH17" s="387">
        <f t="shared" si="6"/>
        <v>639.85375999999997</v>
      </c>
      <c r="BI17" s="387">
        <f t="shared" si="7"/>
        <v>0</v>
      </c>
      <c r="BJ17" s="387">
        <f t="shared" si="8"/>
        <v>483.15487999999999</v>
      </c>
      <c r="BK17" s="387">
        <f t="shared" si="9"/>
        <v>0</v>
      </c>
      <c r="BL17" s="387">
        <f t="shared" si="32"/>
        <v>27645.599903999999</v>
      </c>
      <c r="BM17" s="387">
        <f t="shared" si="33"/>
        <v>0</v>
      </c>
      <c r="BN17" s="387">
        <f t="shared" si="10"/>
        <v>11650</v>
      </c>
      <c r="BO17" s="387">
        <f t="shared" si="11"/>
        <v>0</v>
      </c>
      <c r="BP17" s="387">
        <f t="shared" si="12"/>
        <v>8096.1088</v>
      </c>
      <c r="BQ17" s="387">
        <f t="shared" si="13"/>
        <v>1893.4448</v>
      </c>
      <c r="BR17" s="387">
        <f t="shared" si="14"/>
        <v>15591.538560000001</v>
      </c>
      <c r="BS17" s="387">
        <f t="shared" si="15"/>
        <v>941.49910399999999</v>
      </c>
      <c r="BT17" s="387">
        <f t="shared" si="16"/>
        <v>0</v>
      </c>
      <c r="BU17" s="387">
        <f t="shared" si="17"/>
        <v>0</v>
      </c>
      <c r="BV17" s="387">
        <f t="shared" si="18"/>
        <v>457.03839999999997</v>
      </c>
      <c r="BW17" s="387">
        <f t="shared" si="19"/>
        <v>0</v>
      </c>
      <c r="BX17" s="387">
        <f t="shared" si="34"/>
        <v>26979.629664</v>
      </c>
      <c r="BY17" s="387">
        <f t="shared" si="35"/>
        <v>0</v>
      </c>
      <c r="BZ17" s="387">
        <f t="shared" si="36"/>
        <v>0</v>
      </c>
      <c r="CA17" s="387">
        <f t="shared" si="37"/>
        <v>0</v>
      </c>
      <c r="CB17" s="387">
        <f t="shared" si="38"/>
        <v>0</v>
      </c>
      <c r="CC17" s="387">
        <f t="shared" si="20"/>
        <v>0</v>
      </c>
      <c r="CD17" s="387">
        <f t="shared" si="21"/>
        <v>0</v>
      </c>
      <c r="CE17" s="387">
        <f t="shared" si="22"/>
        <v>0</v>
      </c>
      <c r="CF17" s="387">
        <f t="shared" si="23"/>
        <v>-639.85375999999997</v>
      </c>
      <c r="CG17" s="387">
        <f t="shared" si="24"/>
        <v>0</v>
      </c>
      <c r="CH17" s="387">
        <f t="shared" si="25"/>
        <v>-26.11648000000001</v>
      </c>
      <c r="CI17" s="387">
        <f t="shared" si="26"/>
        <v>0</v>
      </c>
      <c r="CJ17" s="387">
        <f t="shared" si="39"/>
        <v>-665.97023999999999</v>
      </c>
      <c r="CK17" s="387" t="str">
        <f t="shared" si="40"/>
        <v/>
      </c>
      <c r="CL17" s="387" t="str">
        <f t="shared" si="41"/>
        <v/>
      </c>
      <c r="CM17" s="387" t="str">
        <f t="shared" si="42"/>
        <v/>
      </c>
      <c r="CN17" s="387" t="str">
        <f t="shared" si="43"/>
        <v>0001-00</v>
      </c>
    </row>
    <row r="18" spans="1:92" ht="15.75" thickBot="1" x14ac:dyDescent="0.3">
      <c r="A18" s="376" t="s">
        <v>161</v>
      </c>
      <c r="B18" s="376" t="s">
        <v>162</v>
      </c>
      <c r="C18" s="376" t="s">
        <v>274</v>
      </c>
      <c r="D18" s="376" t="s">
        <v>184</v>
      </c>
      <c r="E18" s="376" t="s">
        <v>165</v>
      </c>
      <c r="F18" s="377" t="s">
        <v>166</v>
      </c>
      <c r="G18" s="376" t="s">
        <v>167</v>
      </c>
      <c r="H18" s="378"/>
      <c r="I18" s="378"/>
      <c r="J18" s="376" t="s">
        <v>168</v>
      </c>
      <c r="K18" s="376" t="s">
        <v>254</v>
      </c>
      <c r="L18" s="376" t="s">
        <v>166</v>
      </c>
      <c r="M18" s="376" t="s">
        <v>170</v>
      </c>
      <c r="N18" s="376" t="s">
        <v>171</v>
      </c>
      <c r="O18" s="379">
        <v>1</v>
      </c>
      <c r="P18" s="385">
        <v>1</v>
      </c>
      <c r="Q18" s="385">
        <v>1</v>
      </c>
      <c r="R18" s="380">
        <v>80</v>
      </c>
      <c r="S18" s="385">
        <v>1</v>
      </c>
      <c r="T18" s="380">
        <v>103983.02</v>
      </c>
      <c r="U18" s="380">
        <v>0</v>
      </c>
      <c r="V18" s="380">
        <v>32712.58</v>
      </c>
      <c r="W18" s="380">
        <v>109803.2</v>
      </c>
      <c r="X18" s="380">
        <v>34896.410000000003</v>
      </c>
      <c r="Y18" s="380">
        <v>109803.2</v>
      </c>
      <c r="Z18" s="380">
        <v>34336.42</v>
      </c>
      <c r="AA18" s="376" t="s">
        <v>275</v>
      </c>
      <c r="AB18" s="376" t="s">
        <v>276</v>
      </c>
      <c r="AC18" s="376" t="s">
        <v>277</v>
      </c>
      <c r="AD18" s="376" t="s">
        <v>278</v>
      </c>
      <c r="AE18" s="376" t="s">
        <v>279</v>
      </c>
      <c r="AF18" s="376" t="s">
        <v>176</v>
      </c>
      <c r="AG18" s="376" t="s">
        <v>177</v>
      </c>
      <c r="AH18" s="381">
        <v>52.79</v>
      </c>
      <c r="AI18" s="379">
        <v>18747</v>
      </c>
      <c r="AJ18" s="376" t="s">
        <v>191</v>
      </c>
      <c r="AK18" s="376" t="s">
        <v>192</v>
      </c>
      <c r="AL18" s="376" t="s">
        <v>179</v>
      </c>
      <c r="AM18" s="376" t="s">
        <v>180</v>
      </c>
      <c r="AN18" s="376" t="s">
        <v>68</v>
      </c>
      <c r="AO18" s="379">
        <v>80</v>
      </c>
      <c r="AP18" s="385">
        <v>1</v>
      </c>
      <c r="AQ18" s="385">
        <v>1</v>
      </c>
      <c r="AR18" s="383" t="s">
        <v>182</v>
      </c>
      <c r="AS18" s="387">
        <f t="shared" si="27"/>
        <v>1</v>
      </c>
      <c r="AT18">
        <f t="shared" si="28"/>
        <v>1</v>
      </c>
      <c r="AU18" s="387">
        <f>IF(AT18=0,"",IF(AND(AT18=1,M18="F",SUMIF(C2:C26,C18,AS2:AS26)&lt;=1),SUMIF(C2:C26,C18,AS2:AS26),IF(AND(AT18=1,M18="F",SUMIF(C2:C26,C18,AS2:AS26)&gt;1),1,"")))</f>
        <v>1</v>
      </c>
      <c r="AV18" s="387" t="str">
        <f>IF(AT18=0,"",IF(AND(AT18=3,M18="F",SUMIF(C2:C26,C18,AS2:AS26)&lt;=1),SUMIF(C2:C26,C18,AS2:AS26),IF(AND(AT18=3,M18="F",SUMIF(C2:C26,C18,AS2:AS26)&gt;1),1,"")))</f>
        <v/>
      </c>
      <c r="AW18" s="387">
        <f>SUMIF(C2:C26,C18,O2:O26)</f>
        <v>1</v>
      </c>
      <c r="AX18" s="387">
        <f>IF(AND(M18="F",AS18&lt;&gt;0),SUMIF(C2:C26,C18,W2:W26),0)</f>
        <v>109803.2</v>
      </c>
      <c r="AY18" s="387">
        <f t="shared" si="29"/>
        <v>109803.2</v>
      </c>
      <c r="AZ18" s="387" t="str">
        <f t="shared" si="30"/>
        <v/>
      </c>
      <c r="BA18" s="387">
        <f t="shared" si="31"/>
        <v>0</v>
      </c>
      <c r="BB18" s="387">
        <f t="shared" si="0"/>
        <v>11650</v>
      </c>
      <c r="BC18" s="387">
        <f t="shared" si="1"/>
        <v>0</v>
      </c>
      <c r="BD18" s="387">
        <f t="shared" si="2"/>
        <v>6807.7983999999997</v>
      </c>
      <c r="BE18" s="387">
        <f t="shared" si="3"/>
        <v>1592.1464000000001</v>
      </c>
      <c r="BF18" s="387">
        <f t="shared" si="4"/>
        <v>13110.50208</v>
      </c>
      <c r="BG18" s="387">
        <f t="shared" si="5"/>
        <v>791.68107199999997</v>
      </c>
      <c r="BH18" s="387">
        <f t="shared" si="6"/>
        <v>538.03567999999996</v>
      </c>
      <c r="BI18" s="387">
        <f t="shared" si="7"/>
        <v>0</v>
      </c>
      <c r="BJ18" s="387">
        <f t="shared" si="8"/>
        <v>406.27184</v>
      </c>
      <c r="BK18" s="387">
        <f t="shared" si="9"/>
        <v>0</v>
      </c>
      <c r="BL18" s="387">
        <f t="shared" si="32"/>
        <v>23246.435472000001</v>
      </c>
      <c r="BM18" s="387">
        <f t="shared" si="33"/>
        <v>0</v>
      </c>
      <c r="BN18" s="387">
        <f t="shared" si="10"/>
        <v>11650</v>
      </c>
      <c r="BO18" s="387">
        <f t="shared" si="11"/>
        <v>0</v>
      </c>
      <c r="BP18" s="387">
        <f t="shared" si="12"/>
        <v>6807.7983999999997</v>
      </c>
      <c r="BQ18" s="387">
        <f t="shared" si="13"/>
        <v>1592.1464000000001</v>
      </c>
      <c r="BR18" s="387">
        <f t="shared" si="14"/>
        <v>13110.50208</v>
      </c>
      <c r="BS18" s="387">
        <f t="shared" si="15"/>
        <v>791.68107199999997</v>
      </c>
      <c r="BT18" s="387">
        <f t="shared" si="16"/>
        <v>0</v>
      </c>
      <c r="BU18" s="387">
        <f t="shared" si="17"/>
        <v>0</v>
      </c>
      <c r="BV18" s="387">
        <f t="shared" si="18"/>
        <v>384.31119999999999</v>
      </c>
      <c r="BW18" s="387">
        <f t="shared" si="19"/>
        <v>0</v>
      </c>
      <c r="BX18" s="387">
        <f t="shared" si="34"/>
        <v>22686.439151999999</v>
      </c>
      <c r="BY18" s="387">
        <f t="shared" si="35"/>
        <v>0</v>
      </c>
      <c r="BZ18" s="387">
        <f t="shared" si="36"/>
        <v>0</v>
      </c>
      <c r="CA18" s="387">
        <f t="shared" si="37"/>
        <v>0</v>
      </c>
      <c r="CB18" s="387">
        <f t="shared" si="38"/>
        <v>0</v>
      </c>
      <c r="CC18" s="387">
        <f t="shared" si="20"/>
        <v>0</v>
      </c>
      <c r="CD18" s="387">
        <f t="shared" si="21"/>
        <v>0</v>
      </c>
      <c r="CE18" s="387">
        <f t="shared" si="22"/>
        <v>0</v>
      </c>
      <c r="CF18" s="387">
        <f t="shared" si="23"/>
        <v>-538.03567999999996</v>
      </c>
      <c r="CG18" s="387">
        <f t="shared" si="24"/>
        <v>0</v>
      </c>
      <c r="CH18" s="387">
        <f t="shared" si="25"/>
        <v>-21.960640000000009</v>
      </c>
      <c r="CI18" s="387">
        <f t="shared" si="26"/>
        <v>0</v>
      </c>
      <c r="CJ18" s="387">
        <f t="shared" si="39"/>
        <v>-559.99631999999997</v>
      </c>
      <c r="CK18" s="387" t="str">
        <f t="shared" si="40"/>
        <v/>
      </c>
      <c r="CL18" s="387" t="str">
        <f t="shared" si="41"/>
        <v/>
      </c>
      <c r="CM18" s="387" t="str">
        <f t="shared" si="42"/>
        <v/>
      </c>
      <c r="CN18" s="387" t="str">
        <f t="shared" si="43"/>
        <v>0001-00</v>
      </c>
    </row>
    <row r="19" spans="1:92" ht="15.75" thickBot="1" x14ac:dyDescent="0.3">
      <c r="A19" s="376" t="s">
        <v>161</v>
      </c>
      <c r="B19" s="376" t="s">
        <v>162</v>
      </c>
      <c r="C19" s="376" t="s">
        <v>280</v>
      </c>
      <c r="D19" s="376" t="s">
        <v>281</v>
      </c>
      <c r="E19" s="376" t="s">
        <v>165</v>
      </c>
      <c r="F19" s="377" t="s">
        <v>166</v>
      </c>
      <c r="G19" s="376" t="s">
        <v>167</v>
      </c>
      <c r="H19" s="378"/>
      <c r="I19" s="378"/>
      <c r="J19" s="376" t="s">
        <v>168</v>
      </c>
      <c r="K19" s="376" t="s">
        <v>190</v>
      </c>
      <c r="L19" s="376" t="s">
        <v>166</v>
      </c>
      <c r="M19" s="376" t="s">
        <v>170</v>
      </c>
      <c r="N19" s="376" t="s">
        <v>171</v>
      </c>
      <c r="O19" s="379">
        <v>1</v>
      </c>
      <c r="P19" s="385">
        <v>1</v>
      </c>
      <c r="Q19" s="385">
        <v>1</v>
      </c>
      <c r="R19" s="380">
        <v>80</v>
      </c>
      <c r="S19" s="385">
        <v>1</v>
      </c>
      <c r="T19" s="380">
        <v>34586.720000000001</v>
      </c>
      <c r="U19" s="380">
        <v>0</v>
      </c>
      <c r="V19" s="380">
        <v>9942.41</v>
      </c>
      <c r="W19" s="380">
        <v>100568</v>
      </c>
      <c r="X19" s="380">
        <v>32941.22</v>
      </c>
      <c r="Y19" s="380">
        <v>100568</v>
      </c>
      <c r="Z19" s="380">
        <v>32428.32</v>
      </c>
      <c r="AA19" s="376" t="s">
        <v>282</v>
      </c>
      <c r="AB19" s="376" t="s">
        <v>283</v>
      </c>
      <c r="AC19" s="376" t="s">
        <v>284</v>
      </c>
      <c r="AD19" s="376" t="s">
        <v>285</v>
      </c>
      <c r="AE19" s="376" t="s">
        <v>190</v>
      </c>
      <c r="AF19" s="376" t="s">
        <v>176</v>
      </c>
      <c r="AG19" s="376" t="s">
        <v>177</v>
      </c>
      <c r="AH19" s="381">
        <v>48.35</v>
      </c>
      <c r="AI19" s="379">
        <v>41545</v>
      </c>
      <c r="AJ19" s="376" t="s">
        <v>191</v>
      </c>
      <c r="AK19" s="376" t="s">
        <v>192</v>
      </c>
      <c r="AL19" s="376" t="s">
        <v>179</v>
      </c>
      <c r="AM19" s="376" t="s">
        <v>180</v>
      </c>
      <c r="AN19" s="376" t="s">
        <v>68</v>
      </c>
      <c r="AO19" s="379">
        <v>80</v>
      </c>
      <c r="AP19" s="385">
        <v>1</v>
      </c>
      <c r="AQ19" s="385">
        <v>1</v>
      </c>
      <c r="AR19" s="383" t="s">
        <v>182</v>
      </c>
      <c r="AS19" s="387">
        <f t="shared" si="27"/>
        <v>1</v>
      </c>
      <c r="AT19">
        <f t="shared" si="28"/>
        <v>1</v>
      </c>
      <c r="AU19" s="387">
        <f>IF(AT19=0,"",IF(AND(AT19=1,M19="F",SUMIF(C2:C26,C19,AS2:AS26)&lt;=1),SUMIF(C2:C26,C19,AS2:AS26),IF(AND(AT19=1,M19="F",SUMIF(C2:C26,C19,AS2:AS26)&gt;1),1,"")))</f>
        <v>1</v>
      </c>
      <c r="AV19" s="387" t="str">
        <f>IF(AT19=0,"",IF(AND(AT19=3,M19="F",SUMIF(C2:C26,C19,AS2:AS26)&lt;=1),SUMIF(C2:C26,C19,AS2:AS26),IF(AND(AT19=3,M19="F",SUMIF(C2:C26,C19,AS2:AS26)&gt;1),1,"")))</f>
        <v/>
      </c>
      <c r="AW19" s="387">
        <f>SUMIF(C2:C26,C19,O2:O26)</f>
        <v>1</v>
      </c>
      <c r="AX19" s="387">
        <f>IF(AND(M19="F",AS19&lt;&gt;0),SUMIF(C2:C26,C19,W2:W26),0)</f>
        <v>100568</v>
      </c>
      <c r="AY19" s="387">
        <f t="shared" si="29"/>
        <v>100568</v>
      </c>
      <c r="AZ19" s="387" t="str">
        <f t="shared" si="30"/>
        <v/>
      </c>
      <c r="BA19" s="387">
        <f t="shared" si="31"/>
        <v>0</v>
      </c>
      <c r="BB19" s="387">
        <f t="shared" si="0"/>
        <v>11650</v>
      </c>
      <c r="BC19" s="387">
        <f t="shared" si="1"/>
        <v>0</v>
      </c>
      <c r="BD19" s="387">
        <f t="shared" si="2"/>
        <v>6235.2160000000003</v>
      </c>
      <c r="BE19" s="387">
        <f t="shared" si="3"/>
        <v>1458.2360000000001</v>
      </c>
      <c r="BF19" s="387">
        <f t="shared" si="4"/>
        <v>12007.8192</v>
      </c>
      <c r="BG19" s="387">
        <f t="shared" si="5"/>
        <v>725.09528</v>
      </c>
      <c r="BH19" s="387">
        <f t="shared" si="6"/>
        <v>492.78319999999997</v>
      </c>
      <c r="BI19" s="387">
        <f t="shared" si="7"/>
        <v>0</v>
      </c>
      <c r="BJ19" s="387">
        <f t="shared" si="8"/>
        <v>372.10160000000002</v>
      </c>
      <c r="BK19" s="387">
        <f t="shared" si="9"/>
        <v>0</v>
      </c>
      <c r="BL19" s="387">
        <f t="shared" si="32"/>
        <v>21291.251280000004</v>
      </c>
      <c r="BM19" s="387">
        <f t="shared" si="33"/>
        <v>0</v>
      </c>
      <c r="BN19" s="387">
        <f t="shared" si="10"/>
        <v>11650</v>
      </c>
      <c r="BO19" s="387">
        <f t="shared" si="11"/>
        <v>0</v>
      </c>
      <c r="BP19" s="387">
        <f t="shared" si="12"/>
        <v>6235.2160000000003</v>
      </c>
      <c r="BQ19" s="387">
        <f t="shared" si="13"/>
        <v>1458.2360000000001</v>
      </c>
      <c r="BR19" s="387">
        <f t="shared" si="14"/>
        <v>12007.8192</v>
      </c>
      <c r="BS19" s="387">
        <f t="shared" si="15"/>
        <v>725.09528</v>
      </c>
      <c r="BT19" s="387">
        <f t="shared" si="16"/>
        <v>0</v>
      </c>
      <c r="BU19" s="387">
        <f t="shared" si="17"/>
        <v>0</v>
      </c>
      <c r="BV19" s="387">
        <f t="shared" si="18"/>
        <v>351.988</v>
      </c>
      <c r="BW19" s="387">
        <f t="shared" si="19"/>
        <v>0</v>
      </c>
      <c r="BX19" s="387">
        <f t="shared" si="34"/>
        <v>20778.354480000002</v>
      </c>
      <c r="BY19" s="387">
        <f t="shared" si="35"/>
        <v>0</v>
      </c>
      <c r="BZ19" s="387">
        <f t="shared" si="36"/>
        <v>0</v>
      </c>
      <c r="CA19" s="387">
        <f t="shared" si="37"/>
        <v>0</v>
      </c>
      <c r="CB19" s="387">
        <f t="shared" si="38"/>
        <v>0</v>
      </c>
      <c r="CC19" s="387">
        <f t="shared" si="20"/>
        <v>0</v>
      </c>
      <c r="CD19" s="387">
        <f t="shared" si="21"/>
        <v>0</v>
      </c>
      <c r="CE19" s="387">
        <f t="shared" si="22"/>
        <v>0</v>
      </c>
      <c r="CF19" s="387">
        <f t="shared" si="23"/>
        <v>-492.78319999999997</v>
      </c>
      <c r="CG19" s="387">
        <f t="shared" si="24"/>
        <v>0</v>
      </c>
      <c r="CH19" s="387">
        <f t="shared" si="25"/>
        <v>-20.113600000000009</v>
      </c>
      <c r="CI19" s="387">
        <f t="shared" si="26"/>
        <v>0</v>
      </c>
      <c r="CJ19" s="387">
        <f t="shared" si="39"/>
        <v>-512.89679999999998</v>
      </c>
      <c r="CK19" s="387" t="str">
        <f t="shared" si="40"/>
        <v/>
      </c>
      <c r="CL19" s="387" t="str">
        <f t="shared" si="41"/>
        <v/>
      </c>
      <c r="CM19" s="387" t="str">
        <f t="shared" si="42"/>
        <v/>
      </c>
      <c r="CN19" s="387" t="str">
        <f t="shared" si="43"/>
        <v>0001-00</v>
      </c>
    </row>
    <row r="20" spans="1:92" ht="15.75" thickBot="1" x14ac:dyDescent="0.3">
      <c r="A20" s="376" t="s">
        <v>161</v>
      </c>
      <c r="B20" s="376" t="s">
        <v>162</v>
      </c>
      <c r="C20" s="376" t="s">
        <v>286</v>
      </c>
      <c r="D20" s="376" t="s">
        <v>184</v>
      </c>
      <c r="E20" s="376" t="s">
        <v>165</v>
      </c>
      <c r="F20" s="377" t="s">
        <v>166</v>
      </c>
      <c r="G20" s="376" t="s">
        <v>167</v>
      </c>
      <c r="H20" s="378"/>
      <c r="I20" s="378"/>
      <c r="J20" s="376" t="s">
        <v>168</v>
      </c>
      <c r="K20" s="376" t="s">
        <v>185</v>
      </c>
      <c r="L20" s="376" t="s">
        <v>166</v>
      </c>
      <c r="M20" s="376" t="s">
        <v>170</v>
      </c>
      <c r="N20" s="376" t="s">
        <v>171</v>
      </c>
      <c r="O20" s="379">
        <v>1</v>
      </c>
      <c r="P20" s="385">
        <v>1</v>
      </c>
      <c r="Q20" s="385">
        <v>1</v>
      </c>
      <c r="R20" s="380">
        <v>80</v>
      </c>
      <c r="S20" s="385">
        <v>1</v>
      </c>
      <c r="T20" s="380">
        <v>40796.129999999997</v>
      </c>
      <c r="U20" s="380">
        <v>0</v>
      </c>
      <c r="V20" s="380">
        <v>20046.18</v>
      </c>
      <c r="W20" s="380">
        <v>50003.199999999997</v>
      </c>
      <c r="X20" s="380">
        <v>22236.15</v>
      </c>
      <c r="Y20" s="380">
        <v>50003.199999999997</v>
      </c>
      <c r="Z20" s="380">
        <v>21981.14</v>
      </c>
      <c r="AA20" s="376" t="s">
        <v>287</v>
      </c>
      <c r="AB20" s="376" t="s">
        <v>288</v>
      </c>
      <c r="AC20" s="376" t="s">
        <v>289</v>
      </c>
      <c r="AD20" s="376" t="s">
        <v>290</v>
      </c>
      <c r="AE20" s="376" t="s">
        <v>185</v>
      </c>
      <c r="AF20" s="376" t="s">
        <v>176</v>
      </c>
      <c r="AG20" s="376" t="s">
        <v>177</v>
      </c>
      <c r="AH20" s="381">
        <v>24.04</v>
      </c>
      <c r="AI20" s="381">
        <v>5288.5</v>
      </c>
      <c r="AJ20" s="376" t="s">
        <v>191</v>
      </c>
      <c r="AK20" s="376" t="s">
        <v>192</v>
      </c>
      <c r="AL20" s="376" t="s">
        <v>179</v>
      </c>
      <c r="AM20" s="376" t="s">
        <v>180</v>
      </c>
      <c r="AN20" s="376" t="s">
        <v>68</v>
      </c>
      <c r="AO20" s="379">
        <v>80</v>
      </c>
      <c r="AP20" s="385">
        <v>1</v>
      </c>
      <c r="AQ20" s="385">
        <v>1</v>
      </c>
      <c r="AR20" s="383" t="s">
        <v>182</v>
      </c>
      <c r="AS20" s="387">
        <f t="shared" si="27"/>
        <v>1</v>
      </c>
      <c r="AT20">
        <f t="shared" si="28"/>
        <v>1</v>
      </c>
      <c r="AU20" s="387">
        <f>IF(AT20=0,"",IF(AND(AT20=1,M20="F",SUMIF(C2:C26,C20,AS2:AS26)&lt;=1),SUMIF(C2:C26,C20,AS2:AS26),IF(AND(AT20=1,M20="F",SUMIF(C2:C26,C20,AS2:AS26)&gt;1),1,"")))</f>
        <v>1</v>
      </c>
      <c r="AV20" s="387" t="str">
        <f>IF(AT20=0,"",IF(AND(AT20=3,M20="F",SUMIF(C2:C26,C20,AS2:AS26)&lt;=1),SUMIF(C2:C26,C20,AS2:AS26),IF(AND(AT20=3,M20="F",SUMIF(C2:C26,C20,AS2:AS26)&gt;1),1,"")))</f>
        <v/>
      </c>
      <c r="AW20" s="387">
        <f>SUMIF(C2:C26,C20,O2:O26)</f>
        <v>1</v>
      </c>
      <c r="AX20" s="387">
        <f>IF(AND(M20="F",AS20&lt;&gt;0),SUMIF(C2:C26,C20,W2:W26),0)</f>
        <v>50003.199999999997</v>
      </c>
      <c r="AY20" s="387">
        <f t="shared" si="29"/>
        <v>50003.199999999997</v>
      </c>
      <c r="AZ20" s="387" t="str">
        <f t="shared" si="30"/>
        <v/>
      </c>
      <c r="BA20" s="387">
        <f t="shared" si="31"/>
        <v>0</v>
      </c>
      <c r="BB20" s="387">
        <f t="shared" si="0"/>
        <v>11650</v>
      </c>
      <c r="BC20" s="387">
        <f t="shared" si="1"/>
        <v>0</v>
      </c>
      <c r="BD20" s="387">
        <f t="shared" si="2"/>
        <v>3100.1983999999998</v>
      </c>
      <c r="BE20" s="387">
        <f t="shared" si="3"/>
        <v>725.04639999999995</v>
      </c>
      <c r="BF20" s="387">
        <f t="shared" si="4"/>
        <v>5970.3820800000003</v>
      </c>
      <c r="BG20" s="387">
        <f t="shared" si="5"/>
        <v>360.52307200000001</v>
      </c>
      <c r="BH20" s="387">
        <f t="shared" si="6"/>
        <v>245.01567999999997</v>
      </c>
      <c r="BI20" s="387">
        <f t="shared" si="7"/>
        <v>0</v>
      </c>
      <c r="BJ20" s="387">
        <f t="shared" si="8"/>
        <v>185.01184000000001</v>
      </c>
      <c r="BK20" s="387">
        <f t="shared" si="9"/>
        <v>0</v>
      </c>
      <c r="BL20" s="387">
        <f t="shared" si="32"/>
        <v>10586.177471999999</v>
      </c>
      <c r="BM20" s="387">
        <f t="shared" si="33"/>
        <v>0</v>
      </c>
      <c r="BN20" s="387">
        <f t="shared" si="10"/>
        <v>11650</v>
      </c>
      <c r="BO20" s="387">
        <f t="shared" si="11"/>
        <v>0</v>
      </c>
      <c r="BP20" s="387">
        <f t="shared" si="12"/>
        <v>3100.1983999999998</v>
      </c>
      <c r="BQ20" s="387">
        <f t="shared" si="13"/>
        <v>725.04639999999995</v>
      </c>
      <c r="BR20" s="387">
        <f t="shared" si="14"/>
        <v>5970.3820800000003</v>
      </c>
      <c r="BS20" s="387">
        <f t="shared" si="15"/>
        <v>360.52307200000001</v>
      </c>
      <c r="BT20" s="387">
        <f t="shared" si="16"/>
        <v>0</v>
      </c>
      <c r="BU20" s="387">
        <f t="shared" si="17"/>
        <v>0</v>
      </c>
      <c r="BV20" s="387">
        <f t="shared" si="18"/>
        <v>175.0112</v>
      </c>
      <c r="BW20" s="387">
        <f t="shared" si="19"/>
        <v>0</v>
      </c>
      <c r="BX20" s="387">
        <f t="shared" si="34"/>
        <v>10331.161152000001</v>
      </c>
      <c r="BY20" s="387">
        <f t="shared" si="35"/>
        <v>0</v>
      </c>
      <c r="BZ20" s="387">
        <f t="shared" si="36"/>
        <v>0</v>
      </c>
      <c r="CA20" s="387">
        <f t="shared" si="37"/>
        <v>0</v>
      </c>
      <c r="CB20" s="387">
        <f t="shared" si="38"/>
        <v>0</v>
      </c>
      <c r="CC20" s="387">
        <f t="shared" si="20"/>
        <v>0</v>
      </c>
      <c r="CD20" s="387">
        <f t="shared" si="21"/>
        <v>0</v>
      </c>
      <c r="CE20" s="387">
        <f t="shared" si="22"/>
        <v>0</v>
      </c>
      <c r="CF20" s="387">
        <f t="shared" si="23"/>
        <v>-245.01567999999997</v>
      </c>
      <c r="CG20" s="387">
        <f t="shared" si="24"/>
        <v>0</v>
      </c>
      <c r="CH20" s="387">
        <f t="shared" si="25"/>
        <v>-10.000640000000004</v>
      </c>
      <c r="CI20" s="387">
        <f t="shared" si="26"/>
        <v>0</v>
      </c>
      <c r="CJ20" s="387">
        <f t="shared" si="39"/>
        <v>-255.01631999999998</v>
      </c>
      <c r="CK20" s="387" t="str">
        <f t="shared" si="40"/>
        <v/>
      </c>
      <c r="CL20" s="387" t="str">
        <f t="shared" si="41"/>
        <v/>
      </c>
      <c r="CM20" s="387" t="str">
        <f t="shared" si="42"/>
        <v/>
      </c>
      <c r="CN20" s="387" t="str">
        <f t="shared" si="43"/>
        <v>0001-00</v>
      </c>
    </row>
    <row r="21" spans="1:92" ht="15.75" thickBot="1" x14ac:dyDescent="0.3">
      <c r="A21" s="376" t="s">
        <v>161</v>
      </c>
      <c r="B21" s="376" t="s">
        <v>162</v>
      </c>
      <c r="C21" s="376" t="s">
        <v>291</v>
      </c>
      <c r="D21" s="376" t="s">
        <v>292</v>
      </c>
      <c r="E21" s="376" t="s">
        <v>165</v>
      </c>
      <c r="F21" s="377" t="s">
        <v>166</v>
      </c>
      <c r="G21" s="376" t="s">
        <v>167</v>
      </c>
      <c r="H21" s="378"/>
      <c r="I21" s="378"/>
      <c r="J21" s="376" t="s">
        <v>168</v>
      </c>
      <c r="K21" s="376" t="s">
        <v>293</v>
      </c>
      <c r="L21" s="376" t="s">
        <v>166</v>
      </c>
      <c r="M21" s="376" t="s">
        <v>170</v>
      </c>
      <c r="N21" s="376" t="s">
        <v>171</v>
      </c>
      <c r="O21" s="379">
        <v>1</v>
      </c>
      <c r="P21" s="385">
        <v>1</v>
      </c>
      <c r="Q21" s="385">
        <v>1</v>
      </c>
      <c r="R21" s="380">
        <v>80</v>
      </c>
      <c r="S21" s="385">
        <v>1</v>
      </c>
      <c r="T21" s="380">
        <v>40384.44</v>
      </c>
      <c r="U21" s="380">
        <v>0</v>
      </c>
      <c r="V21" s="380">
        <v>19986.14</v>
      </c>
      <c r="W21" s="380">
        <v>50003.199999999997</v>
      </c>
      <c r="X21" s="380">
        <v>22236.15</v>
      </c>
      <c r="Y21" s="380">
        <v>50003.199999999997</v>
      </c>
      <c r="Z21" s="380">
        <v>21981.14</v>
      </c>
      <c r="AA21" s="376" t="s">
        <v>294</v>
      </c>
      <c r="AB21" s="376" t="s">
        <v>295</v>
      </c>
      <c r="AC21" s="376" t="s">
        <v>296</v>
      </c>
      <c r="AD21" s="376" t="s">
        <v>297</v>
      </c>
      <c r="AE21" s="376" t="s">
        <v>298</v>
      </c>
      <c r="AF21" s="376" t="s">
        <v>176</v>
      </c>
      <c r="AG21" s="376" t="s">
        <v>177</v>
      </c>
      <c r="AH21" s="381">
        <v>24.04</v>
      </c>
      <c r="AI21" s="381">
        <v>5310.5</v>
      </c>
      <c r="AJ21" s="376" t="s">
        <v>191</v>
      </c>
      <c r="AK21" s="376" t="s">
        <v>192</v>
      </c>
      <c r="AL21" s="376" t="s">
        <v>179</v>
      </c>
      <c r="AM21" s="376" t="s">
        <v>180</v>
      </c>
      <c r="AN21" s="376" t="s">
        <v>68</v>
      </c>
      <c r="AO21" s="379">
        <v>80</v>
      </c>
      <c r="AP21" s="385">
        <v>1</v>
      </c>
      <c r="AQ21" s="385">
        <v>1</v>
      </c>
      <c r="AR21" s="383" t="s">
        <v>182</v>
      </c>
      <c r="AS21" s="387">
        <f t="shared" si="27"/>
        <v>1</v>
      </c>
      <c r="AT21">
        <f t="shared" si="28"/>
        <v>1</v>
      </c>
      <c r="AU21" s="387">
        <f>IF(AT21=0,"",IF(AND(AT21=1,M21="F",SUMIF(C2:C26,C21,AS2:AS26)&lt;=1),SUMIF(C2:C26,C21,AS2:AS26),IF(AND(AT21=1,M21="F",SUMIF(C2:C26,C21,AS2:AS26)&gt;1),1,"")))</f>
        <v>1</v>
      </c>
      <c r="AV21" s="387" t="str">
        <f>IF(AT21=0,"",IF(AND(AT21=3,M21="F",SUMIF(C2:C26,C21,AS2:AS26)&lt;=1),SUMIF(C2:C26,C21,AS2:AS26),IF(AND(AT21=3,M21="F",SUMIF(C2:C26,C21,AS2:AS26)&gt;1),1,"")))</f>
        <v/>
      </c>
      <c r="AW21" s="387">
        <f>SUMIF(C2:C26,C21,O2:O26)</f>
        <v>1</v>
      </c>
      <c r="AX21" s="387">
        <f>IF(AND(M21="F",AS21&lt;&gt;0),SUMIF(C2:C26,C21,W2:W26),0)</f>
        <v>50003.199999999997</v>
      </c>
      <c r="AY21" s="387">
        <f t="shared" si="29"/>
        <v>50003.199999999997</v>
      </c>
      <c r="AZ21" s="387" t="str">
        <f t="shared" si="30"/>
        <v/>
      </c>
      <c r="BA21" s="387">
        <f t="shared" si="31"/>
        <v>0</v>
      </c>
      <c r="BB21" s="387">
        <f t="shared" si="0"/>
        <v>11650</v>
      </c>
      <c r="BC21" s="387">
        <f t="shared" si="1"/>
        <v>0</v>
      </c>
      <c r="BD21" s="387">
        <f t="shared" si="2"/>
        <v>3100.1983999999998</v>
      </c>
      <c r="BE21" s="387">
        <f t="shared" si="3"/>
        <v>725.04639999999995</v>
      </c>
      <c r="BF21" s="387">
        <f t="shared" si="4"/>
        <v>5970.3820800000003</v>
      </c>
      <c r="BG21" s="387">
        <f t="shared" si="5"/>
        <v>360.52307200000001</v>
      </c>
      <c r="BH21" s="387">
        <f t="shared" si="6"/>
        <v>245.01567999999997</v>
      </c>
      <c r="BI21" s="387">
        <f t="shared" si="7"/>
        <v>0</v>
      </c>
      <c r="BJ21" s="387">
        <f t="shared" si="8"/>
        <v>185.01184000000001</v>
      </c>
      <c r="BK21" s="387">
        <f t="shared" si="9"/>
        <v>0</v>
      </c>
      <c r="BL21" s="387">
        <f t="shared" si="32"/>
        <v>10586.177471999999</v>
      </c>
      <c r="BM21" s="387">
        <f t="shared" si="33"/>
        <v>0</v>
      </c>
      <c r="BN21" s="387">
        <f t="shared" si="10"/>
        <v>11650</v>
      </c>
      <c r="BO21" s="387">
        <f t="shared" si="11"/>
        <v>0</v>
      </c>
      <c r="BP21" s="387">
        <f t="shared" si="12"/>
        <v>3100.1983999999998</v>
      </c>
      <c r="BQ21" s="387">
        <f t="shared" si="13"/>
        <v>725.04639999999995</v>
      </c>
      <c r="BR21" s="387">
        <f t="shared" si="14"/>
        <v>5970.3820800000003</v>
      </c>
      <c r="BS21" s="387">
        <f t="shared" si="15"/>
        <v>360.52307200000001</v>
      </c>
      <c r="BT21" s="387">
        <f t="shared" si="16"/>
        <v>0</v>
      </c>
      <c r="BU21" s="387">
        <f t="shared" si="17"/>
        <v>0</v>
      </c>
      <c r="BV21" s="387">
        <f t="shared" si="18"/>
        <v>175.0112</v>
      </c>
      <c r="BW21" s="387">
        <f t="shared" si="19"/>
        <v>0</v>
      </c>
      <c r="BX21" s="387">
        <f t="shared" si="34"/>
        <v>10331.161152000001</v>
      </c>
      <c r="BY21" s="387">
        <f t="shared" si="35"/>
        <v>0</v>
      </c>
      <c r="BZ21" s="387">
        <f t="shared" si="36"/>
        <v>0</v>
      </c>
      <c r="CA21" s="387">
        <f t="shared" si="37"/>
        <v>0</v>
      </c>
      <c r="CB21" s="387">
        <f t="shared" si="38"/>
        <v>0</v>
      </c>
      <c r="CC21" s="387">
        <f t="shared" si="20"/>
        <v>0</v>
      </c>
      <c r="CD21" s="387">
        <f t="shared" si="21"/>
        <v>0</v>
      </c>
      <c r="CE21" s="387">
        <f t="shared" si="22"/>
        <v>0</v>
      </c>
      <c r="CF21" s="387">
        <f t="shared" si="23"/>
        <v>-245.01567999999997</v>
      </c>
      <c r="CG21" s="387">
        <f t="shared" si="24"/>
        <v>0</v>
      </c>
      <c r="CH21" s="387">
        <f t="shared" si="25"/>
        <v>-10.000640000000004</v>
      </c>
      <c r="CI21" s="387">
        <f t="shared" si="26"/>
        <v>0</v>
      </c>
      <c r="CJ21" s="387">
        <f t="shared" si="39"/>
        <v>-255.01631999999998</v>
      </c>
      <c r="CK21" s="387" t="str">
        <f t="shared" si="40"/>
        <v/>
      </c>
      <c r="CL21" s="387" t="str">
        <f t="shared" si="41"/>
        <v/>
      </c>
      <c r="CM21" s="387" t="str">
        <f t="shared" si="42"/>
        <v/>
      </c>
      <c r="CN21" s="387" t="str">
        <f t="shared" si="43"/>
        <v>0001-00</v>
      </c>
    </row>
    <row r="22" spans="1:92" ht="15.75" thickBot="1" x14ac:dyDescent="0.3">
      <c r="A22" s="376" t="s">
        <v>161</v>
      </c>
      <c r="B22" s="376" t="s">
        <v>162</v>
      </c>
      <c r="C22" s="376" t="s">
        <v>299</v>
      </c>
      <c r="D22" s="376" t="s">
        <v>184</v>
      </c>
      <c r="E22" s="376" t="s">
        <v>165</v>
      </c>
      <c r="F22" s="377" t="s">
        <v>166</v>
      </c>
      <c r="G22" s="376" t="s">
        <v>167</v>
      </c>
      <c r="H22" s="378"/>
      <c r="I22" s="378"/>
      <c r="J22" s="376" t="s">
        <v>168</v>
      </c>
      <c r="K22" s="376" t="s">
        <v>185</v>
      </c>
      <c r="L22" s="376" t="s">
        <v>166</v>
      </c>
      <c r="M22" s="376" t="s">
        <v>170</v>
      </c>
      <c r="N22" s="376" t="s">
        <v>171</v>
      </c>
      <c r="O22" s="379">
        <v>1</v>
      </c>
      <c r="P22" s="385">
        <v>1</v>
      </c>
      <c r="Q22" s="385">
        <v>1</v>
      </c>
      <c r="R22" s="380">
        <v>80</v>
      </c>
      <c r="S22" s="385">
        <v>1</v>
      </c>
      <c r="T22" s="380">
        <v>46047.71</v>
      </c>
      <c r="U22" s="380">
        <v>0</v>
      </c>
      <c r="V22" s="380">
        <v>20141.54</v>
      </c>
      <c r="W22" s="380">
        <v>42036.800000000003</v>
      </c>
      <c r="X22" s="380">
        <v>20549.59</v>
      </c>
      <c r="Y22" s="380">
        <v>42036.800000000003</v>
      </c>
      <c r="Z22" s="380">
        <v>20335.2</v>
      </c>
      <c r="AA22" s="376" t="s">
        <v>300</v>
      </c>
      <c r="AB22" s="376" t="s">
        <v>301</v>
      </c>
      <c r="AC22" s="376" t="s">
        <v>302</v>
      </c>
      <c r="AD22" s="376" t="s">
        <v>303</v>
      </c>
      <c r="AE22" s="376" t="s">
        <v>185</v>
      </c>
      <c r="AF22" s="376" t="s">
        <v>176</v>
      </c>
      <c r="AG22" s="376" t="s">
        <v>177</v>
      </c>
      <c r="AH22" s="381">
        <v>20.21</v>
      </c>
      <c r="AI22" s="381">
        <v>4401.7</v>
      </c>
      <c r="AJ22" s="376" t="s">
        <v>191</v>
      </c>
      <c r="AK22" s="376" t="s">
        <v>192</v>
      </c>
      <c r="AL22" s="376" t="s">
        <v>179</v>
      </c>
      <c r="AM22" s="376" t="s">
        <v>180</v>
      </c>
      <c r="AN22" s="376" t="s">
        <v>68</v>
      </c>
      <c r="AO22" s="379">
        <v>80</v>
      </c>
      <c r="AP22" s="385">
        <v>1</v>
      </c>
      <c r="AQ22" s="385">
        <v>1</v>
      </c>
      <c r="AR22" s="383" t="s">
        <v>182</v>
      </c>
      <c r="AS22" s="387">
        <f t="shared" si="27"/>
        <v>1</v>
      </c>
      <c r="AT22">
        <f t="shared" si="28"/>
        <v>1</v>
      </c>
      <c r="AU22" s="387">
        <f>IF(AT22=0,"",IF(AND(AT22=1,M22="F",SUMIF(C2:C26,C22,AS2:AS26)&lt;=1),SUMIF(C2:C26,C22,AS2:AS26),IF(AND(AT22=1,M22="F",SUMIF(C2:C26,C22,AS2:AS26)&gt;1),1,"")))</f>
        <v>1</v>
      </c>
      <c r="AV22" s="387" t="str">
        <f>IF(AT22=0,"",IF(AND(AT22=3,M22="F",SUMIF(C2:C26,C22,AS2:AS26)&lt;=1),SUMIF(C2:C26,C22,AS2:AS26),IF(AND(AT22=3,M22="F",SUMIF(C2:C26,C22,AS2:AS26)&gt;1),1,"")))</f>
        <v/>
      </c>
      <c r="AW22" s="387">
        <f>SUMIF(C2:C26,C22,O2:O26)</f>
        <v>1</v>
      </c>
      <c r="AX22" s="387">
        <f>IF(AND(M22="F",AS22&lt;&gt;0),SUMIF(C2:C26,C22,W2:W26),0)</f>
        <v>42036.800000000003</v>
      </c>
      <c r="AY22" s="387">
        <f t="shared" si="29"/>
        <v>42036.800000000003</v>
      </c>
      <c r="AZ22" s="387" t="str">
        <f t="shared" si="30"/>
        <v/>
      </c>
      <c r="BA22" s="387">
        <f t="shared" si="31"/>
        <v>0</v>
      </c>
      <c r="BB22" s="387">
        <f t="shared" si="0"/>
        <v>11650</v>
      </c>
      <c r="BC22" s="387">
        <f t="shared" si="1"/>
        <v>0</v>
      </c>
      <c r="BD22" s="387">
        <f t="shared" si="2"/>
        <v>2606.2816000000003</v>
      </c>
      <c r="BE22" s="387">
        <f t="shared" si="3"/>
        <v>609.53360000000009</v>
      </c>
      <c r="BF22" s="387">
        <f t="shared" si="4"/>
        <v>5019.1939200000006</v>
      </c>
      <c r="BG22" s="387">
        <f t="shared" si="5"/>
        <v>303.085328</v>
      </c>
      <c r="BH22" s="387">
        <f t="shared" si="6"/>
        <v>205.98032000000001</v>
      </c>
      <c r="BI22" s="387">
        <f t="shared" si="7"/>
        <v>0</v>
      </c>
      <c r="BJ22" s="387">
        <f t="shared" si="8"/>
        <v>155.53616000000002</v>
      </c>
      <c r="BK22" s="387">
        <f t="shared" si="9"/>
        <v>0</v>
      </c>
      <c r="BL22" s="387">
        <f t="shared" si="32"/>
        <v>8899.6109280000001</v>
      </c>
      <c r="BM22" s="387">
        <f t="shared" si="33"/>
        <v>0</v>
      </c>
      <c r="BN22" s="387">
        <f t="shared" si="10"/>
        <v>11650</v>
      </c>
      <c r="BO22" s="387">
        <f t="shared" si="11"/>
        <v>0</v>
      </c>
      <c r="BP22" s="387">
        <f t="shared" si="12"/>
        <v>2606.2816000000003</v>
      </c>
      <c r="BQ22" s="387">
        <f t="shared" si="13"/>
        <v>609.53360000000009</v>
      </c>
      <c r="BR22" s="387">
        <f t="shared" si="14"/>
        <v>5019.1939200000006</v>
      </c>
      <c r="BS22" s="387">
        <f t="shared" si="15"/>
        <v>303.085328</v>
      </c>
      <c r="BT22" s="387">
        <f t="shared" si="16"/>
        <v>0</v>
      </c>
      <c r="BU22" s="387">
        <f t="shared" si="17"/>
        <v>0</v>
      </c>
      <c r="BV22" s="387">
        <f t="shared" si="18"/>
        <v>147.12880000000001</v>
      </c>
      <c r="BW22" s="387">
        <f t="shared" si="19"/>
        <v>0</v>
      </c>
      <c r="BX22" s="387">
        <f t="shared" si="34"/>
        <v>8685.2232480000002</v>
      </c>
      <c r="BY22" s="387">
        <f t="shared" si="35"/>
        <v>0</v>
      </c>
      <c r="BZ22" s="387">
        <f t="shared" si="36"/>
        <v>0</v>
      </c>
      <c r="CA22" s="387">
        <f t="shared" si="37"/>
        <v>0</v>
      </c>
      <c r="CB22" s="387">
        <f t="shared" si="38"/>
        <v>0</v>
      </c>
      <c r="CC22" s="387">
        <f t="shared" si="20"/>
        <v>0</v>
      </c>
      <c r="CD22" s="387">
        <f t="shared" si="21"/>
        <v>0</v>
      </c>
      <c r="CE22" s="387">
        <f t="shared" si="22"/>
        <v>0</v>
      </c>
      <c r="CF22" s="387">
        <f t="shared" si="23"/>
        <v>-205.98032000000001</v>
      </c>
      <c r="CG22" s="387">
        <f t="shared" si="24"/>
        <v>0</v>
      </c>
      <c r="CH22" s="387">
        <f t="shared" si="25"/>
        <v>-8.4073600000000042</v>
      </c>
      <c r="CI22" s="387">
        <f t="shared" si="26"/>
        <v>0</v>
      </c>
      <c r="CJ22" s="387">
        <f t="shared" si="39"/>
        <v>-214.38768000000002</v>
      </c>
      <c r="CK22" s="387" t="str">
        <f t="shared" si="40"/>
        <v/>
      </c>
      <c r="CL22" s="387" t="str">
        <f t="shared" si="41"/>
        <v/>
      </c>
      <c r="CM22" s="387" t="str">
        <f t="shared" si="42"/>
        <v/>
      </c>
      <c r="CN22" s="387" t="str">
        <f t="shared" si="43"/>
        <v>0001-00</v>
      </c>
    </row>
    <row r="23" spans="1:92" ht="15.75" thickBot="1" x14ac:dyDescent="0.3">
      <c r="A23" s="376" t="s">
        <v>161</v>
      </c>
      <c r="B23" s="376" t="s">
        <v>162</v>
      </c>
      <c r="C23" s="376" t="s">
        <v>304</v>
      </c>
      <c r="D23" s="376" t="s">
        <v>268</v>
      </c>
      <c r="E23" s="376" t="s">
        <v>165</v>
      </c>
      <c r="F23" s="377" t="s">
        <v>166</v>
      </c>
      <c r="G23" s="376" t="s">
        <v>167</v>
      </c>
      <c r="H23" s="378"/>
      <c r="I23" s="378"/>
      <c r="J23" s="376" t="s">
        <v>168</v>
      </c>
      <c r="K23" s="376" t="s">
        <v>269</v>
      </c>
      <c r="L23" s="376" t="s">
        <v>166</v>
      </c>
      <c r="M23" s="376" t="s">
        <v>170</v>
      </c>
      <c r="N23" s="376" t="s">
        <v>171</v>
      </c>
      <c r="O23" s="379">
        <v>1</v>
      </c>
      <c r="P23" s="385">
        <v>1</v>
      </c>
      <c r="Q23" s="385">
        <v>1</v>
      </c>
      <c r="R23" s="380">
        <v>80</v>
      </c>
      <c r="S23" s="385">
        <v>1</v>
      </c>
      <c r="T23" s="380">
        <v>18155.25</v>
      </c>
      <c r="U23" s="380">
        <v>0</v>
      </c>
      <c r="V23" s="380">
        <v>7003.47</v>
      </c>
      <c r="W23" s="380">
        <v>57803.199999999997</v>
      </c>
      <c r="X23" s="380">
        <v>23887.49</v>
      </c>
      <c r="Y23" s="380">
        <v>57803.199999999997</v>
      </c>
      <c r="Z23" s="380">
        <v>23592.7</v>
      </c>
      <c r="AA23" s="376" t="s">
        <v>305</v>
      </c>
      <c r="AB23" s="376" t="s">
        <v>306</v>
      </c>
      <c r="AC23" s="376" t="s">
        <v>307</v>
      </c>
      <c r="AD23" s="376" t="s">
        <v>308</v>
      </c>
      <c r="AE23" s="376" t="s">
        <v>298</v>
      </c>
      <c r="AF23" s="376" t="s">
        <v>176</v>
      </c>
      <c r="AG23" s="376" t="s">
        <v>177</v>
      </c>
      <c r="AH23" s="381">
        <v>27.79</v>
      </c>
      <c r="AI23" s="381">
        <v>5692.3</v>
      </c>
      <c r="AJ23" s="376" t="s">
        <v>191</v>
      </c>
      <c r="AK23" s="376" t="s">
        <v>192</v>
      </c>
      <c r="AL23" s="376" t="s">
        <v>179</v>
      </c>
      <c r="AM23" s="376" t="s">
        <v>180</v>
      </c>
      <c r="AN23" s="376" t="s">
        <v>68</v>
      </c>
      <c r="AO23" s="379">
        <v>80</v>
      </c>
      <c r="AP23" s="385">
        <v>1</v>
      </c>
      <c r="AQ23" s="385">
        <v>1</v>
      </c>
      <c r="AR23" s="383" t="s">
        <v>182</v>
      </c>
      <c r="AS23" s="387">
        <f t="shared" si="27"/>
        <v>1</v>
      </c>
      <c r="AT23">
        <f t="shared" si="28"/>
        <v>1</v>
      </c>
      <c r="AU23" s="387">
        <f>IF(AT23=0,"",IF(AND(AT23=1,M23="F",SUMIF(C2:C26,C23,AS2:AS26)&lt;=1),SUMIF(C2:C26,C23,AS2:AS26),IF(AND(AT23=1,M23="F",SUMIF(C2:C26,C23,AS2:AS26)&gt;1),1,"")))</f>
        <v>1</v>
      </c>
      <c r="AV23" s="387" t="str">
        <f>IF(AT23=0,"",IF(AND(AT23=3,M23="F",SUMIF(C2:C26,C23,AS2:AS26)&lt;=1),SUMIF(C2:C26,C23,AS2:AS26),IF(AND(AT23=3,M23="F",SUMIF(C2:C26,C23,AS2:AS26)&gt;1),1,"")))</f>
        <v/>
      </c>
      <c r="AW23" s="387">
        <f>SUMIF(C2:C26,C23,O2:O26)</f>
        <v>1</v>
      </c>
      <c r="AX23" s="387">
        <f>IF(AND(M23="F",AS23&lt;&gt;0),SUMIF(C2:C26,C23,W2:W26),0)</f>
        <v>57803.199999999997</v>
      </c>
      <c r="AY23" s="387">
        <f t="shared" si="29"/>
        <v>57803.199999999997</v>
      </c>
      <c r="AZ23" s="387" t="str">
        <f t="shared" si="30"/>
        <v/>
      </c>
      <c r="BA23" s="387">
        <f t="shared" si="31"/>
        <v>0</v>
      </c>
      <c r="BB23" s="387">
        <f t="shared" si="0"/>
        <v>11650</v>
      </c>
      <c r="BC23" s="387">
        <f t="shared" si="1"/>
        <v>0</v>
      </c>
      <c r="BD23" s="387">
        <f t="shared" si="2"/>
        <v>3583.7983999999997</v>
      </c>
      <c r="BE23" s="387">
        <f t="shared" si="3"/>
        <v>838.14639999999997</v>
      </c>
      <c r="BF23" s="387">
        <f t="shared" si="4"/>
        <v>6901.70208</v>
      </c>
      <c r="BG23" s="387">
        <f t="shared" si="5"/>
        <v>416.76107200000001</v>
      </c>
      <c r="BH23" s="387">
        <f t="shared" si="6"/>
        <v>283.23568</v>
      </c>
      <c r="BI23" s="387">
        <f t="shared" si="7"/>
        <v>0</v>
      </c>
      <c r="BJ23" s="387">
        <f t="shared" si="8"/>
        <v>213.87183999999999</v>
      </c>
      <c r="BK23" s="387">
        <f t="shared" si="9"/>
        <v>0</v>
      </c>
      <c r="BL23" s="387">
        <f t="shared" si="32"/>
        <v>12237.515471999999</v>
      </c>
      <c r="BM23" s="387">
        <f t="shared" si="33"/>
        <v>0</v>
      </c>
      <c r="BN23" s="387">
        <f t="shared" si="10"/>
        <v>11650</v>
      </c>
      <c r="BO23" s="387">
        <f t="shared" si="11"/>
        <v>0</v>
      </c>
      <c r="BP23" s="387">
        <f t="shared" si="12"/>
        <v>3583.7983999999997</v>
      </c>
      <c r="BQ23" s="387">
        <f t="shared" si="13"/>
        <v>838.14639999999997</v>
      </c>
      <c r="BR23" s="387">
        <f t="shared" si="14"/>
        <v>6901.70208</v>
      </c>
      <c r="BS23" s="387">
        <f t="shared" si="15"/>
        <v>416.76107200000001</v>
      </c>
      <c r="BT23" s="387">
        <f t="shared" si="16"/>
        <v>0</v>
      </c>
      <c r="BU23" s="387">
        <f t="shared" si="17"/>
        <v>0</v>
      </c>
      <c r="BV23" s="387">
        <f t="shared" si="18"/>
        <v>202.31119999999999</v>
      </c>
      <c r="BW23" s="387">
        <f t="shared" si="19"/>
        <v>0</v>
      </c>
      <c r="BX23" s="387">
        <f t="shared" si="34"/>
        <v>11942.719152</v>
      </c>
      <c r="BY23" s="387">
        <f t="shared" si="35"/>
        <v>0</v>
      </c>
      <c r="BZ23" s="387">
        <f t="shared" si="36"/>
        <v>0</v>
      </c>
      <c r="CA23" s="387">
        <f t="shared" si="37"/>
        <v>0</v>
      </c>
      <c r="CB23" s="387">
        <f t="shared" si="38"/>
        <v>0</v>
      </c>
      <c r="CC23" s="387">
        <f t="shared" si="20"/>
        <v>0</v>
      </c>
      <c r="CD23" s="387">
        <f t="shared" si="21"/>
        <v>0</v>
      </c>
      <c r="CE23" s="387">
        <f t="shared" si="22"/>
        <v>0</v>
      </c>
      <c r="CF23" s="387">
        <f t="shared" si="23"/>
        <v>-283.23568</v>
      </c>
      <c r="CG23" s="387">
        <f t="shared" si="24"/>
        <v>0</v>
      </c>
      <c r="CH23" s="387">
        <f t="shared" si="25"/>
        <v>-11.560640000000005</v>
      </c>
      <c r="CI23" s="387">
        <f t="shared" si="26"/>
        <v>0</v>
      </c>
      <c r="CJ23" s="387">
        <f t="shared" si="39"/>
        <v>-294.79631999999998</v>
      </c>
      <c r="CK23" s="387" t="str">
        <f t="shared" si="40"/>
        <v/>
      </c>
      <c r="CL23" s="387" t="str">
        <f t="shared" si="41"/>
        <v/>
      </c>
      <c r="CM23" s="387" t="str">
        <f t="shared" si="42"/>
        <v/>
      </c>
      <c r="CN23" s="387" t="str">
        <f t="shared" si="43"/>
        <v>0001-00</v>
      </c>
    </row>
    <row r="24" spans="1:92" ht="15.75" thickBot="1" x14ac:dyDescent="0.3">
      <c r="A24" s="376" t="s">
        <v>161</v>
      </c>
      <c r="B24" s="376" t="s">
        <v>162</v>
      </c>
      <c r="C24" s="376" t="s">
        <v>309</v>
      </c>
      <c r="D24" s="376" t="s">
        <v>237</v>
      </c>
      <c r="E24" s="376" t="s">
        <v>310</v>
      </c>
      <c r="F24" s="382" t="s">
        <v>311</v>
      </c>
      <c r="G24" s="376" t="s">
        <v>312</v>
      </c>
      <c r="H24" s="378"/>
      <c r="I24" s="378"/>
      <c r="J24" s="376" t="s">
        <v>168</v>
      </c>
      <c r="K24" s="376" t="s">
        <v>238</v>
      </c>
      <c r="L24" s="376" t="s">
        <v>166</v>
      </c>
      <c r="M24" s="376" t="s">
        <v>239</v>
      </c>
      <c r="N24" s="376" t="s">
        <v>240</v>
      </c>
      <c r="O24" s="379">
        <v>0</v>
      </c>
      <c r="P24" s="385">
        <v>1</v>
      </c>
      <c r="Q24" s="385">
        <v>0</v>
      </c>
      <c r="R24" s="380">
        <v>0</v>
      </c>
      <c r="S24" s="385">
        <v>0</v>
      </c>
      <c r="T24" s="380">
        <v>0</v>
      </c>
      <c r="U24" s="380">
        <v>0</v>
      </c>
      <c r="V24" s="380">
        <v>0</v>
      </c>
      <c r="W24" s="380">
        <v>0</v>
      </c>
      <c r="X24" s="380">
        <v>0</v>
      </c>
      <c r="Y24" s="380">
        <v>0</v>
      </c>
      <c r="Z24" s="380">
        <v>0</v>
      </c>
      <c r="AA24" s="378"/>
      <c r="AB24" s="376" t="s">
        <v>45</v>
      </c>
      <c r="AC24" s="376" t="s">
        <v>45</v>
      </c>
      <c r="AD24" s="378"/>
      <c r="AE24" s="378"/>
      <c r="AF24" s="378"/>
      <c r="AG24" s="378"/>
      <c r="AH24" s="379">
        <v>0</v>
      </c>
      <c r="AI24" s="379">
        <v>0</v>
      </c>
      <c r="AJ24" s="378"/>
      <c r="AK24" s="378"/>
      <c r="AL24" s="376" t="s">
        <v>179</v>
      </c>
      <c r="AM24" s="378"/>
      <c r="AN24" s="378"/>
      <c r="AO24" s="379">
        <v>0</v>
      </c>
      <c r="AP24" s="385">
        <v>0</v>
      </c>
      <c r="AQ24" s="385">
        <v>0</v>
      </c>
      <c r="AR24" s="384"/>
      <c r="AS24" s="387">
        <f t="shared" si="27"/>
        <v>0</v>
      </c>
      <c r="AT24">
        <f t="shared" si="28"/>
        <v>0</v>
      </c>
      <c r="AU24" s="387" t="str">
        <f>IF(AT24=0,"",IF(AND(AT24=1,M24="F",SUMIF(C2:C26,C24,AS2:AS26)&lt;=1),SUMIF(C2:C26,C24,AS2:AS26),IF(AND(AT24=1,M24="F",SUMIF(C2:C26,C24,AS2:AS26)&gt;1),1,"")))</f>
        <v/>
      </c>
      <c r="AV24" s="387" t="str">
        <f>IF(AT24=0,"",IF(AND(AT24=3,M24="F",SUMIF(C2:C26,C24,AS2:AS26)&lt;=1),SUMIF(C2:C26,C24,AS2:AS26),IF(AND(AT24=3,M24="F",SUMIF(C2:C26,C24,AS2:AS26)&gt;1),1,"")))</f>
        <v/>
      </c>
      <c r="AW24" s="387">
        <f>SUMIF(C2:C26,C24,O2:O26)</f>
        <v>0</v>
      </c>
      <c r="AX24" s="387">
        <f>IF(AND(M24="F",AS24&lt;&gt;0),SUMIF(C2:C26,C24,W2:W26),0)</f>
        <v>0</v>
      </c>
      <c r="AY24" s="387" t="str">
        <f t="shared" si="29"/>
        <v/>
      </c>
      <c r="AZ24" s="387" t="str">
        <f t="shared" si="30"/>
        <v/>
      </c>
      <c r="BA24" s="387">
        <f t="shared" si="31"/>
        <v>0</v>
      </c>
      <c r="BB24" s="387">
        <f t="shared" si="0"/>
        <v>0</v>
      </c>
      <c r="BC24" s="387">
        <f t="shared" si="1"/>
        <v>0</v>
      </c>
      <c r="BD24" s="387">
        <f t="shared" si="2"/>
        <v>0</v>
      </c>
      <c r="BE24" s="387">
        <f t="shared" si="3"/>
        <v>0</v>
      </c>
      <c r="BF24" s="387">
        <f t="shared" si="4"/>
        <v>0</v>
      </c>
      <c r="BG24" s="387">
        <f t="shared" si="5"/>
        <v>0</v>
      </c>
      <c r="BH24" s="387">
        <f t="shared" si="6"/>
        <v>0</v>
      </c>
      <c r="BI24" s="387">
        <f t="shared" si="7"/>
        <v>0</v>
      </c>
      <c r="BJ24" s="387">
        <f t="shared" si="8"/>
        <v>0</v>
      </c>
      <c r="BK24" s="387">
        <f t="shared" si="9"/>
        <v>0</v>
      </c>
      <c r="BL24" s="387">
        <f t="shared" si="32"/>
        <v>0</v>
      </c>
      <c r="BM24" s="387">
        <f t="shared" si="33"/>
        <v>0</v>
      </c>
      <c r="BN24" s="387">
        <f t="shared" si="10"/>
        <v>0</v>
      </c>
      <c r="BO24" s="387">
        <f t="shared" si="11"/>
        <v>0</v>
      </c>
      <c r="BP24" s="387">
        <f t="shared" si="12"/>
        <v>0</v>
      </c>
      <c r="BQ24" s="387">
        <f t="shared" si="13"/>
        <v>0</v>
      </c>
      <c r="BR24" s="387">
        <f t="shared" si="14"/>
        <v>0</v>
      </c>
      <c r="BS24" s="387">
        <f t="shared" si="15"/>
        <v>0</v>
      </c>
      <c r="BT24" s="387">
        <f t="shared" si="16"/>
        <v>0</v>
      </c>
      <c r="BU24" s="387">
        <f t="shared" si="17"/>
        <v>0</v>
      </c>
      <c r="BV24" s="387">
        <f t="shared" si="18"/>
        <v>0</v>
      </c>
      <c r="BW24" s="387">
        <f t="shared" si="19"/>
        <v>0</v>
      </c>
      <c r="BX24" s="387">
        <f t="shared" si="34"/>
        <v>0</v>
      </c>
      <c r="BY24" s="387">
        <f t="shared" si="35"/>
        <v>0</v>
      </c>
      <c r="BZ24" s="387">
        <f t="shared" si="36"/>
        <v>0</v>
      </c>
      <c r="CA24" s="387">
        <f t="shared" si="37"/>
        <v>0</v>
      </c>
      <c r="CB24" s="387">
        <f t="shared" si="38"/>
        <v>0</v>
      </c>
      <c r="CC24" s="387">
        <f t="shared" si="20"/>
        <v>0</v>
      </c>
      <c r="CD24" s="387">
        <f t="shared" si="21"/>
        <v>0</v>
      </c>
      <c r="CE24" s="387">
        <f t="shared" si="22"/>
        <v>0</v>
      </c>
      <c r="CF24" s="387">
        <f t="shared" si="23"/>
        <v>0</v>
      </c>
      <c r="CG24" s="387">
        <f t="shared" si="24"/>
        <v>0</v>
      </c>
      <c r="CH24" s="387">
        <f t="shared" si="25"/>
        <v>0</v>
      </c>
      <c r="CI24" s="387">
        <f t="shared" si="26"/>
        <v>0</v>
      </c>
      <c r="CJ24" s="387">
        <f t="shared" si="39"/>
        <v>0</v>
      </c>
      <c r="CK24" s="387" t="str">
        <f t="shared" si="40"/>
        <v/>
      </c>
      <c r="CL24" s="387">
        <f t="shared" si="41"/>
        <v>0</v>
      </c>
      <c r="CM24" s="387">
        <f t="shared" si="42"/>
        <v>0</v>
      </c>
      <c r="CN24" s="387" t="str">
        <f t="shared" si="43"/>
        <v>0150-01</v>
      </c>
    </row>
    <row r="25" spans="1:92" ht="15.75" thickBot="1" x14ac:dyDescent="0.3">
      <c r="A25" s="376" t="s">
        <v>161</v>
      </c>
      <c r="B25" s="376" t="s">
        <v>162</v>
      </c>
      <c r="C25" s="376" t="s">
        <v>313</v>
      </c>
      <c r="D25" s="376" t="s">
        <v>314</v>
      </c>
      <c r="E25" s="376" t="s">
        <v>310</v>
      </c>
      <c r="F25" s="382" t="s">
        <v>311</v>
      </c>
      <c r="G25" s="376" t="s">
        <v>312</v>
      </c>
      <c r="H25" s="378"/>
      <c r="I25" s="378"/>
      <c r="J25" s="376" t="s">
        <v>168</v>
      </c>
      <c r="K25" s="376" t="s">
        <v>315</v>
      </c>
      <c r="L25" s="376" t="s">
        <v>192</v>
      </c>
      <c r="M25" s="376" t="s">
        <v>239</v>
      </c>
      <c r="N25" s="376" t="s">
        <v>240</v>
      </c>
      <c r="O25" s="379">
        <v>0</v>
      </c>
      <c r="P25" s="385">
        <v>1</v>
      </c>
      <c r="Q25" s="385">
        <v>0</v>
      </c>
      <c r="R25" s="380">
        <v>0</v>
      </c>
      <c r="S25" s="385">
        <v>0</v>
      </c>
      <c r="T25" s="380">
        <v>0</v>
      </c>
      <c r="U25" s="380">
        <v>0</v>
      </c>
      <c r="V25" s="380">
        <v>0</v>
      </c>
      <c r="W25" s="380">
        <v>0</v>
      </c>
      <c r="X25" s="380">
        <v>0</v>
      </c>
      <c r="Y25" s="380">
        <v>0</v>
      </c>
      <c r="Z25" s="380">
        <v>0</v>
      </c>
      <c r="AA25" s="378"/>
      <c r="AB25" s="376" t="s">
        <v>45</v>
      </c>
      <c r="AC25" s="376" t="s">
        <v>45</v>
      </c>
      <c r="AD25" s="378"/>
      <c r="AE25" s="378"/>
      <c r="AF25" s="378"/>
      <c r="AG25" s="378"/>
      <c r="AH25" s="379">
        <v>0</v>
      </c>
      <c r="AI25" s="379">
        <v>0</v>
      </c>
      <c r="AJ25" s="378"/>
      <c r="AK25" s="378"/>
      <c r="AL25" s="376" t="s">
        <v>179</v>
      </c>
      <c r="AM25" s="378"/>
      <c r="AN25" s="378"/>
      <c r="AO25" s="379">
        <v>0</v>
      </c>
      <c r="AP25" s="385">
        <v>0</v>
      </c>
      <c r="AQ25" s="385">
        <v>0</v>
      </c>
      <c r="AR25" s="384"/>
      <c r="AS25" s="387">
        <f t="shared" si="27"/>
        <v>0</v>
      </c>
      <c r="AT25">
        <f t="shared" si="28"/>
        <v>0</v>
      </c>
      <c r="AU25" s="387" t="str">
        <f>IF(AT25=0,"",IF(AND(AT25=1,M25="F",SUMIF(C2:C26,C25,AS2:AS26)&lt;=1),SUMIF(C2:C26,C25,AS2:AS26),IF(AND(AT25=1,M25="F",SUMIF(C2:C26,C25,AS2:AS26)&gt;1),1,"")))</f>
        <v/>
      </c>
      <c r="AV25" s="387" t="str">
        <f>IF(AT25=0,"",IF(AND(AT25=3,M25="F",SUMIF(C2:C26,C25,AS2:AS26)&lt;=1),SUMIF(C2:C26,C25,AS2:AS26),IF(AND(AT25=3,M25="F",SUMIF(C2:C26,C25,AS2:AS26)&gt;1),1,"")))</f>
        <v/>
      </c>
      <c r="AW25" s="387">
        <f>SUMIF(C2:C26,C25,O2:O26)</f>
        <v>0</v>
      </c>
      <c r="AX25" s="387">
        <f>IF(AND(M25="F",AS25&lt;&gt;0),SUMIF(C2:C26,C25,W2:W26),0)</f>
        <v>0</v>
      </c>
      <c r="AY25" s="387" t="str">
        <f t="shared" si="29"/>
        <v/>
      </c>
      <c r="AZ25" s="387" t="str">
        <f t="shared" si="30"/>
        <v/>
      </c>
      <c r="BA25" s="387">
        <f t="shared" si="31"/>
        <v>0</v>
      </c>
      <c r="BB25" s="387">
        <f t="shared" si="0"/>
        <v>0</v>
      </c>
      <c r="BC25" s="387">
        <f t="shared" si="1"/>
        <v>0</v>
      </c>
      <c r="BD25" s="387">
        <f t="shared" si="2"/>
        <v>0</v>
      </c>
      <c r="BE25" s="387">
        <f t="shared" si="3"/>
        <v>0</v>
      </c>
      <c r="BF25" s="387">
        <f t="shared" si="4"/>
        <v>0</v>
      </c>
      <c r="BG25" s="387">
        <f t="shared" si="5"/>
        <v>0</v>
      </c>
      <c r="BH25" s="387">
        <f t="shared" si="6"/>
        <v>0</v>
      </c>
      <c r="BI25" s="387">
        <f t="shared" si="7"/>
        <v>0</v>
      </c>
      <c r="BJ25" s="387">
        <f t="shared" si="8"/>
        <v>0</v>
      </c>
      <c r="BK25" s="387">
        <f t="shared" si="9"/>
        <v>0</v>
      </c>
      <c r="BL25" s="387">
        <f t="shared" si="32"/>
        <v>0</v>
      </c>
      <c r="BM25" s="387">
        <f t="shared" si="33"/>
        <v>0</v>
      </c>
      <c r="BN25" s="387">
        <f t="shared" si="10"/>
        <v>0</v>
      </c>
      <c r="BO25" s="387">
        <f t="shared" si="11"/>
        <v>0</v>
      </c>
      <c r="BP25" s="387">
        <f t="shared" si="12"/>
        <v>0</v>
      </c>
      <c r="BQ25" s="387">
        <f t="shared" si="13"/>
        <v>0</v>
      </c>
      <c r="BR25" s="387">
        <f t="shared" si="14"/>
        <v>0</v>
      </c>
      <c r="BS25" s="387">
        <f t="shared" si="15"/>
        <v>0</v>
      </c>
      <c r="BT25" s="387">
        <f t="shared" si="16"/>
        <v>0</v>
      </c>
      <c r="BU25" s="387">
        <f t="shared" si="17"/>
        <v>0</v>
      </c>
      <c r="BV25" s="387">
        <f t="shared" si="18"/>
        <v>0</v>
      </c>
      <c r="BW25" s="387">
        <f t="shared" si="19"/>
        <v>0</v>
      </c>
      <c r="BX25" s="387">
        <f t="shared" si="34"/>
        <v>0</v>
      </c>
      <c r="BY25" s="387">
        <f t="shared" si="35"/>
        <v>0</v>
      </c>
      <c r="BZ25" s="387">
        <f t="shared" si="36"/>
        <v>0</v>
      </c>
      <c r="CA25" s="387">
        <f t="shared" si="37"/>
        <v>0</v>
      </c>
      <c r="CB25" s="387">
        <f t="shared" si="38"/>
        <v>0</v>
      </c>
      <c r="CC25" s="387">
        <f t="shared" si="20"/>
        <v>0</v>
      </c>
      <c r="CD25" s="387">
        <f t="shared" si="21"/>
        <v>0</v>
      </c>
      <c r="CE25" s="387">
        <f t="shared" si="22"/>
        <v>0</v>
      </c>
      <c r="CF25" s="387">
        <f t="shared" si="23"/>
        <v>0</v>
      </c>
      <c r="CG25" s="387">
        <f t="shared" si="24"/>
        <v>0</v>
      </c>
      <c r="CH25" s="387">
        <f t="shared" si="25"/>
        <v>0</v>
      </c>
      <c r="CI25" s="387">
        <f t="shared" si="26"/>
        <v>0</v>
      </c>
      <c r="CJ25" s="387">
        <f t="shared" si="39"/>
        <v>0</v>
      </c>
      <c r="CK25" s="387" t="str">
        <f t="shared" si="40"/>
        <v/>
      </c>
      <c r="CL25" s="387">
        <f t="shared" si="41"/>
        <v>0</v>
      </c>
      <c r="CM25" s="387">
        <f t="shared" si="42"/>
        <v>0</v>
      </c>
      <c r="CN25" s="387" t="str">
        <f t="shared" si="43"/>
        <v>0150-01</v>
      </c>
    </row>
    <row r="26" spans="1:92" ht="15.75" thickBot="1" x14ac:dyDescent="0.3">
      <c r="A26" s="376" t="s">
        <v>161</v>
      </c>
      <c r="B26" s="376" t="s">
        <v>162</v>
      </c>
      <c r="C26" s="376" t="s">
        <v>316</v>
      </c>
      <c r="D26" s="376" t="s">
        <v>317</v>
      </c>
      <c r="E26" s="376" t="s">
        <v>165</v>
      </c>
      <c r="F26" s="377" t="s">
        <v>166</v>
      </c>
      <c r="G26" s="376" t="s">
        <v>318</v>
      </c>
      <c r="H26" s="378"/>
      <c r="I26" s="378"/>
      <c r="J26" s="376" t="s">
        <v>168</v>
      </c>
      <c r="K26" s="376" t="s">
        <v>319</v>
      </c>
      <c r="L26" s="376" t="s">
        <v>166</v>
      </c>
      <c r="M26" s="376" t="s">
        <v>170</v>
      </c>
      <c r="N26" s="376" t="s">
        <v>240</v>
      </c>
      <c r="O26" s="379">
        <v>0</v>
      </c>
      <c r="P26" s="385">
        <v>1</v>
      </c>
      <c r="Q26" s="385">
        <v>0</v>
      </c>
      <c r="R26" s="380">
        <v>0</v>
      </c>
      <c r="S26" s="385">
        <v>0</v>
      </c>
      <c r="T26" s="380">
        <v>1278.01</v>
      </c>
      <c r="U26" s="380">
        <v>0</v>
      </c>
      <c r="V26" s="380">
        <v>122.71</v>
      </c>
      <c r="W26" s="380">
        <v>1278.01</v>
      </c>
      <c r="X26" s="380">
        <v>122.71</v>
      </c>
      <c r="Y26" s="380">
        <v>1278.01</v>
      </c>
      <c r="Z26" s="380">
        <v>122.71</v>
      </c>
      <c r="AA26" s="378"/>
      <c r="AB26" s="376" t="s">
        <v>45</v>
      </c>
      <c r="AC26" s="376" t="s">
        <v>45</v>
      </c>
      <c r="AD26" s="378"/>
      <c r="AE26" s="378"/>
      <c r="AF26" s="378"/>
      <c r="AG26" s="378"/>
      <c r="AH26" s="379">
        <v>0</v>
      </c>
      <c r="AI26" s="379">
        <v>0</v>
      </c>
      <c r="AJ26" s="378"/>
      <c r="AK26" s="378"/>
      <c r="AL26" s="376" t="s">
        <v>179</v>
      </c>
      <c r="AM26" s="378"/>
      <c r="AN26" s="378"/>
      <c r="AO26" s="379">
        <v>0</v>
      </c>
      <c r="AP26" s="385">
        <v>0</v>
      </c>
      <c r="AQ26" s="385">
        <v>0</v>
      </c>
      <c r="AR26" s="384"/>
      <c r="AS26" s="387">
        <f t="shared" si="27"/>
        <v>0</v>
      </c>
      <c r="AT26">
        <f t="shared" si="28"/>
        <v>0</v>
      </c>
      <c r="AU26" s="387" t="str">
        <f>IF(AT26=0,"",IF(AND(AT26=1,M26="F",SUMIF(C2:C26,C26,AS2:AS26)&lt;=1),SUMIF(C2:C26,C26,AS2:AS26),IF(AND(AT26=1,M26="F",SUMIF(C2:C26,C26,AS2:AS26)&gt;1),1,"")))</f>
        <v/>
      </c>
      <c r="AV26" s="387" t="str">
        <f>IF(AT26=0,"",IF(AND(AT26=3,M26="F",SUMIF(C2:C26,C26,AS2:AS26)&lt;=1),SUMIF(C2:C26,C26,AS2:AS26),IF(AND(AT26=3,M26="F",SUMIF(C2:C26,C26,AS2:AS26)&gt;1),1,"")))</f>
        <v/>
      </c>
      <c r="AW26" s="387">
        <f>SUMIF(C2:C26,C26,O2:O26)</f>
        <v>0</v>
      </c>
      <c r="AX26" s="387">
        <f>IF(AND(M26="F",AS26&lt;&gt;0),SUMIF(C2:C26,C26,W2:W26),0)</f>
        <v>0</v>
      </c>
      <c r="AY26" s="387" t="str">
        <f t="shared" si="29"/>
        <v/>
      </c>
      <c r="AZ26" s="387" t="str">
        <f t="shared" si="30"/>
        <v/>
      </c>
      <c r="BA26" s="387">
        <f t="shared" si="31"/>
        <v>0</v>
      </c>
      <c r="BB26" s="387">
        <f t="shared" si="0"/>
        <v>0</v>
      </c>
      <c r="BC26" s="387">
        <f t="shared" si="1"/>
        <v>0</v>
      </c>
      <c r="BD26" s="387">
        <f t="shared" si="2"/>
        <v>0</v>
      </c>
      <c r="BE26" s="387">
        <f t="shared" si="3"/>
        <v>0</v>
      </c>
      <c r="BF26" s="387">
        <f t="shared" si="4"/>
        <v>0</v>
      </c>
      <c r="BG26" s="387">
        <f t="shared" si="5"/>
        <v>0</v>
      </c>
      <c r="BH26" s="387">
        <f t="shared" si="6"/>
        <v>0</v>
      </c>
      <c r="BI26" s="387">
        <f t="shared" si="7"/>
        <v>0</v>
      </c>
      <c r="BJ26" s="387">
        <f t="shared" si="8"/>
        <v>0</v>
      </c>
      <c r="BK26" s="387">
        <f t="shared" si="9"/>
        <v>0</v>
      </c>
      <c r="BL26" s="387">
        <f t="shared" si="32"/>
        <v>0</v>
      </c>
      <c r="BM26" s="387">
        <f t="shared" si="33"/>
        <v>0</v>
      </c>
      <c r="BN26" s="387">
        <f t="shared" si="10"/>
        <v>0</v>
      </c>
      <c r="BO26" s="387">
        <f t="shared" si="11"/>
        <v>0</v>
      </c>
      <c r="BP26" s="387">
        <f t="shared" si="12"/>
        <v>0</v>
      </c>
      <c r="BQ26" s="387">
        <f t="shared" si="13"/>
        <v>0</v>
      </c>
      <c r="BR26" s="387">
        <f t="shared" si="14"/>
        <v>0</v>
      </c>
      <c r="BS26" s="387">
        <f t="shared" si="15"/>
        <v>0</v>
      </c>
      <c r="BT26" s="387">
        <f t="shared" si="16"/>
        <v>0</v>
      </c>
      <c r="BU26" s="387">
        <f t="shared" si="17"/>
        <v>0</v>
      </c>
      <c r="BV26" s="387">
        <f t="shared" si="18"/>
        <v>0</v>
      </c>
      <c r="BW26" s="387">
        <f t="shared" si="19"/>
        <v>0</v>
      </c>
      <c r="BX26" s="387">
        <f t="shared" si="34"/>
        <v>0</v>
      </c>
      <c r="BY26" s="387">
        <f t="shared" si="35"/>
        <v>0</v>
      </c>
      <c r="BZ26" s="387">
        <f t="shared" si="36"/>
        <v>0</v>
      </c>
      <c r="CA26" s="387">
        <f t="shared" si="37"/>
        <v>0</v>
      </c>
      <c r="CB26" s="387">
        <f t="shared" si="38"/>
        <v>0</v>
      </c>
      <c r="CC26" s="387">
        <f t="shared" si="20"/>
        <v>0</v>
      </c>
      <c r="CD26" s="387">
        <f t="shared" si="21"/>
        <v>0</v>
      </c>
      <c r="CE26" s="387">
        <f t="shared" si="22"/>
        <v>0</v>
      </c>
      <c r="CF26" s="387">
        <f t="shared" si="23"/>
        <v>0</v>
      </c>
      <c r="CG26" s="387">
        <f t="shared" si="24"/>
        <v>0</v>
      </c>
      <c r="CH26" s="387">
        <f t="shared" si="25"/>
        <v>0</v>
      </c>
      <c r="CI26" s="387">
        <f t="shared" si="26"/>
        <v>0</v>
      </c>
      <c r="CJ26" s="387">
        <f t="shared" si="39"/>
        <v>0</v>
      </c>
      <c r="CK26" s="387" t="str">
        <f t="shared" si="40"/>
        <v/>
      </c>
      <c r="CL26" s="387">
        <f t="shared" si="41"/>
        <v>1278.01</v>
      </c>
      <c r="CM26" s="387">
        <f t="shared" si="42"/>
        <v>122.71</v>
      </c>
      <c r="CN26" s="387" t="str">
        <f t="shared" si="43"/>
        <v>0001-00</v>
      </c>
    </row>
    <row r="28" spans="1:92" ht="21" x14ac:dyDescent="0.35">
      <c r="AQ28" s="251" t="s">
        <v>381</v>
      </c>
    </row>
    <row r="29" spans="1:92" ht="15.75" thickBot="1" x14ac:dyDescent="0.3">
      <c r="AR29" t="s">
        <v>368</v>
      </c>
      <c r="AS29" s="387">
        <f>SUMIFS(AS2:AS26,G2:G26,"GVAA",E2:E26,"0001",F2:F26,"00",AT2:AT26,1)</f>
        <v>16.287500000000001</v>
      </c>
      <c r="AT29" s="387">
        <f>SUMIFS(AS2:AS26,G2:G26,"GVAA",E2:E26,"0001",F2:F26,"00",AT2:AT26,3)</f>
        <v>1</v>
      </c>
      <c r="AU29" s="387">
        <f>SUMIFS(AU2:AU26,G2:G26,"GVAA",E2:E26,"0001",F2:F26,"00")</f>
        <v>16.287500000000001</v>
      </c>
      <c r="AV29" s="387">
        <f>SUMIFS(AV2:AV26,G2:G26,"GVAA",E2:E26,"0001",F2:F26,"00")</f>
        <v>1</v>
      </c>
      <c r="AW29" s="387">
        <f>SUMIFS(AW2:AW26,G2:G26,"GVAA",E2:E26,"0001",F2:F26,"00")</f>
        <v>18</v>
      </c>
      <c r="AX29" s="387">
        <f>SUMIFS(AX2:AX26,G2:G26,"GVAA",E2:E26,"0001",F2:F26,"00")</f>
        <v>1373618.94</v>
      </c>
      <c r="AY29" s="387">
        <f>SUMIFS(AY2:AY26,G2:G26,"GVAA",E2:E26,"0001",F2:F26,"00")</f>
        <v>1235316.94</v>
      </c>
      <c r="AZ29" s="387">
        <f>SUMIFS(AZ2:AZ26,G2:G26,"GVAA",E2:E26,"0001",F2:F26,"00")</f>
        <v>138302</v>
      </c>
      <c r="BA29" s="387">
        <f>SUMIFS(BA2:BA26,G2:G26,"GVAA",E2:E26,"0001",F2:F26,"00")</f>
        <v>0</v>
      </c>
      <c r="BB29" s="387">
        <f>SUMIFS(BB2:BB26,G2:G26,"GVAA",E2:E26,"0001",F2:F26,"00")</f>
        <v>186400</v>
      </c>
      <c r="BC29" s="387">
        <f>SUMIFS(BC2:BC26,G2:G26,"GVAA",E2:E26,"0001",F2:F26,"00")</f>
        <v>11650</v>
      </c>
      <c r="BD29" s="387">
        <f>SUMIFS(BD2:BD26,G2:G26,"GVAA",E2:E26,"0001",F2:F26,"00")</f>
        <v>83108.032679999989</v>
      </c>
      <c r="BE29" s="387">
        <f>SUMIFS(BE2:BE26,G2:G26,"GVAA",E2:E26,"0001",F2:F26,"00")</f>
        <v>19917.474630000001</v>
      </c>
      <c r="BF29" s="387">
        <f>SUMIFS(BF2:BF26,G2:G26,"GVAA",E2:E26,"0001",F2:F26,"00")</f>
        <v>161040.21508800003</v>
      </c>
      <c r="BG29" s="387">
        <f>SUMIFS(BG2:BG26,G2:G26,"GVAA",E2:E26,"0001",F2:F26,"00")</f>
        <v>9724.4551991999997</v>
      </c>
      <c r="BH29" s="387">
        <f>SUMIFS(BH2:BH26,G2:G26,"GVAA",E2:E26,"0001",F2:F26,"00")</f>
        <v>5260.319246</v>
      </c>
      <c r="BI29" s="387">
        <f>SUMIFS(BI2:BI26,G2:G26,"GVAA",E2:E26,"0001",F2:F26,"00")</f>
        <v>0</v>
      </c>
      <c r="BJ29" s="387">
        <f>SUMIFS(BJ2:BJ26,G2:G26,"GVAA",E2:E26,"0001",F2:F26,"00")</f>
        <v>5082.3900779999994</v>
      </c>
      <c r="BK29" s="387">
        <f>SUMIFS(BK2:BK26,G2:G26,"GVAA",E2:E26,"0001",F2:F26,"00")</f>
        <v>0</v>
      </c>
      <c r="BL29" s="387">
        <f>SUMIFS(BL2:BL26,G2:G26,"GVAA",E2:E26,"0001",F2:F26,"00")</f>
        <v>255567.97430120001</v>
      </c>
      <c r="BM29" s="387">
        <f>SUMIFS(BM2:BM26,G2:G26,"GVAA",E2:E26,"0001",F2:F26,"00")</f>
        <v>28564.912619999999</v>
      </c>
      <c r="BN29" s="387">
        <f>SUMIFS(BN2:BN26,G2:G26,"GVAA",E2:E26,"0001",F2:F26,"00")</f>
        <v>186400</v>
      </c>
      <c r="BO29" s="387">
        <f>SUMIFS(BO2:BO26,G2:G26,"GVAA",E2:E26,"0001",F2:F26,"00")</f>
        <v>11650</v>
      </c>
      <c r="BP29" s="387">
        <f>SUMIFS(BP2:BP26,G2:G26,"GVAA",E2:E26,"0001",F2:F26,"00")</f>
        <v>83777.756680000006</v>
      </c>
      <c r="BQ29" s="387">
        <f>SUMIFS(BQ2:BQ26,G2:G26,"GVAA",E2:E26,"0001",F2:F26,"00")</f>
        <v>19917.474630000001</v>
      </c>
      <c r="BR29" s="387">
        <f>SUMIFS(BR2:BR26,G2:G26,"GVAA",E2:E26,"0001",F2:F26,"00")</f>
        <v>161040.21508800003</v>
      </c>
      <c r="BS29" s="387">
        <f>SUMIFS(BS2:BS26,G2:G26,"GVAA",E2:E26,"0001",F2:F26,"00")</f>
        <v>9724.4551991999997</v>
      </c>
      <c r="BT29" s="387">
        <f>SUMIFS(BT2:BT26,G2:G26,"GVAA",E2:E26,"0001",F2:F26,"00")</f>
        <v>0</v>
      </c>
      <c r="BU29" s="387">
        <f>SUMIFS(BU2:BU26,G2:G26,"GVAA",E2:E26,"0001",F2:F26,"00")</f>
        <v>0</v>
      </c>
      <c r="BV29" s="387">
        <f>SUMIFS(BV2:BV26,G2:G26,"GVAA",E2:E26,"0001",F2:F26,"00")</f>
        <v>4807.6662900000001</v>
      </c>
      <c r="BW29" s="387">
        <f>SUMIFS(BW2:BW26,G2:G26,"GVAA",E2:E26,"0001",F2:F26,"00")</f>
        <v>0</v>
      </c>
      <c r="BX29" s="387">
        <f>SUMIFS(BX2:BX26,G2:G26,"GVAA",E2:E26,"0001",F2:F26,"00")</f>
        <v>250692.9916672</v>
      </c>
      <c r="BY29" s="387">
        <f>SUMIFS(BY2:BY26,G2:G26,"GVAA",E2:E26,"0001",F2:F26,"00")</f>
        <v>28574.576219999999</v>
      </c>
      <c r="BZ29" s="387">
        <f>SUMIFS(BZ2:BZ26,G2:G26,"GVAA",E2:E26,"0001",F2:F26,"00")</f>
        <v>0</v>
      </c>
      <c r="CA29" s="387">
        <f>SUMIFS(CA2:CA26,G2:G26,"GVAA",E2:E26,"0001",F2:F26,"00")</f>
        <v>0</v>
      </c>
      <c r="CB29" s="387">
        <f>SUMIFS(CB2:CB26,G2:G26,"GVAA",E2:E26,"0001",F2:F26,"00")</f>
        <v>669.72400000000198</v>
      </c>
      <c r="CC29" s="387">
        <f>SUMIFS(CC2:CC26,G2:G26,"GVAA",E2:E26,"0001",F2:F26,"00")</f>
        <v>0</v>
      </c>
      <c r="CD29" s="387">
        <f>SUMIFS(CD2:CD26,G2:G26,"GVAA",E2:E26,"0001",F2:F26,"00")</f>
        <v>0</v>
      </c>
      <c r="CE29" s="387">
        <f>SUMIFS(CE2:CE26,G2:G26,"GVAA",E2:E26,"0001",F2:F26,"00")</f>
        <v>0</v>
      </c>
      <c r="CF29" s="387">
        <f>SUMIFS(CF2:CF26,G2:G26,"GVAA",E2:E26,"0001",F2:F26,"00")</f>
        <v>-5260.319246</v>
      </c>
      <c r="CG29" s="387">
        <f>SUMIFS(CG2:CG26,G2:G26,"GVAA",E2:E26,"0001",F2:F26,"00")</f>
        <v>0</v>
      </c>
      <c r="CH29" s="387">
        <f>SUMIFS(CH2:CH26,G2:G26,"GVAA",E2:E26,"0001",F2:F26,"00")</f>
        <v>-274.72378800000007</v>
      </c>
      <c r="CI29" s="387">
        <f>SUMIFS(CI2:CI26,G2:G26,"GVAA",E2:E26,"0001",F2:F26,"00")</f>
        <v>0</v>
      </c>
      <c r="CJ29" s="387">
        <f>SUMIFS(CJ2:CJ26,G2:G26,"GVAA",E2:E26,"0001",F2:F26,"00")</f>
        <v>-4874.9826339999991</v>
      </c>
      <c r="CK29" s="387">
        <f>SUMIFS(CK2:CK26,G2:G26,"GVAA",E2:E26,"0001",F2:F26,"00")</f>
        <v>9.6636000000005104</v>
      </c>
      <c r="CL29" s="387">
        <f>SUMIFS(CL2:CL26,G2:G26,"GVAA",E2:E26,"0001",F2:F26,"00")</f>
        <v>0</v>
      </c>
      <c r="CM29" s="387">
        <f>SUMIFS(CM2:CM26,G2:G26,"GVAA",E2:E26,"0001",F2:F26,"00")</f>
        <v>0</v>
      </c>
    </row>
    <row r="30" spans="1:92" ht="18.75" x14ac:dyDescent="0.3">
      <c r="AQ30" s="393" t="s">
        <v>369</v>
      </c>
      <c r="AS30" s="394">
        <f t="shared" ref="AS30:CM30" si="44">SUM(AS29:AS29)</f>
        <v>16.287500000000001</v>
      </c>
      <c r="AT30" s="394">
        <f t="shared" si="44"/>
        <v>1</v>
      </c>
      <c r="AU30" s="394">
        <f t="shared" si="44"/>
        <v>16.287500000000001</v>
      </c>
      <c r="AV30" s="394">
        <f t="shared" si="44"/>
        <v>1</v>
      </c>
      <c r="AW30" s="394">
        <f t="shared" si="44"/>
        <v>18</v>
      </c>
      <c r="AX30" s="394">
        <f t="shared" si="44"/>
        <v>1373618.94</v>
      </c>
      <c r="AY30" s="394">
        <f t="shared" si="44"/>
        <v>1235316.94</v>
      </c>
      <c r="AZ30" s="394">
        <f t="shared" si="44"/>
        <v>138302</v>
      </c>
      <c r="BA30" s="394">
        <f t="shared" si="44"/>
        <v>0</v>
      </c>
      <c r="BB30" s="394">
        <f t="shared" si="44"/>
        <v>186400</v>
      </c>
      <c r="BC30" s="394">
        <f t="shared" si="44"/>
        <v>11650</v>
      </c>
      <c r="BD30" s="394">
        <f t="shared" si="44"/>
        <v>83108.032679999989</v>
      </c>
      <c r="BE30" s="394">
        <f t="shared" si="44"/>
        <v>19917.474630000001</v>
      </c>
      <c r="BF30" s="394">
        <f t="shared" si="44"/>
        <v>161040.21508800003</v>
      </c>
      <c r="BG30" s="394">
        <f t="shared" si="44"/>
        <v>9724.4551991999997</v>
      </c>
      <c r="BH30" s="394">
        <f t="shared" si="44"/>
        <v>5260.319246</v>
      </c>
      <c r="BI30" s="394">
        <f t="shared" si="44"/>
        <v>0</v>
      </c>
      <c r="BJ30" s="394">
        <f t="shared" si="44"/>
        <v>5082.3900779999994</v>
      </c>
      <c r="BK30" s="394">
        <f t="shared" si="44"/>
        <v>0</v>
      </c>
      <c r="BL30" s="394">
        <f t="shared" si="44"/>
        <v>255567.97430120001</v>
      </c>
      <c r="BM30" s="394">
        <f t="shared" si="44"/>
        <v>28564.912619999999</v>
      </c>
      <c r="BN30" s="394">
        <f t="shared" si="44"/>
        <v>186400</v>
      </c>
      <c r="BO30" s="394">
        <f t="shared" si="44"/>
        <v>11650</v>
      </c>
      <c r="BP30" s="394">
        <f t="shared" si="44"/>
        <v>83777.756680000006</v>
      </c>
      <c r="BQ30" s="394">
        <f t="shared" si="44"/>
        <v>19917.474630000001</v>
      </c>
      <c r="BR30" s="394">
        <f t="shared" si="44"/>
        <v>161040.21508800003</v>
      </c>
      <c r="BS30" s="394">
        <f t="shared" si="44"/>
        <v>9724.4551991999997</v>
      </c>
      <c r="BT30" s="394">
        <f t="shared" si="44"/>
        <v>0</v>
      </c>
      <c r="BU30" s="394">
        <f t="shared" si="44"/>
        <v>0</v>
      </c>
      <c r="BV30" s="394">
        <f t="shared" si="44"/>
        <v>4807.6662900000001</v>
      </c>
      <c r="BW30" s="394">
        <f t="shared" si="44"/>
        <v>0</v>
      </c>
      <c r="BX30" s="394">
        <f t="shared" si="44"/>
        <v>250692.9916672</v>
      </c>
      <c r="BY30" s="394">
        <f t="shared" si="44"/>
        <v>28574.576219999999</v>
      </c>
      <c r="BZ30" s="394">
        <f t="shared" si="44"/>
        <v>0</v>
      </c>
      <c r="CA30" s="394">
        <f t="shared" si="44"/>
        <v>0</v>
      </c>
      <c r="CB30" s="394">
        <f t="shared" si="44"/>
        <v>669.72400000000198</v>
      </c>
      <c r="CC30" s="394">
        <f t="shared" si="44"/>
        <v>0</v>
      </c>
      <c r="CD30" s="394">
        <f t="shared" si="44"/>
        <v>0</v>
      </c>
      <c r="CE30" s="394">
        <f t="shared" si="44"/>
        <v>0</v>
      </c>
      <c r="CF30" s="394">
        <f t="shared" si="44"/>
        <v>-5260.319246</v>
      </c>
      <c r="CG30" s="394">
        <f t="shared" si="44"/>
        <v>0</v>
      </c>
      <c r="CH30" s="394">
        <f t="shared" si="44"/>
        <v>-274.72378800000007</v>
      </c>
      <c r="CI30" s="394">
        <f t="shared" si="44"/>
        <v>0</v>
      </c>
      <c r="CJ30" s="394">
        <f t="shared" si="44"/>
        <v>-4874.9826339999991</v>
      </c>
      <c r="CK30" s="394">
        <f t="shared" si="44"/>
        <v>9.6636000000005104</v>
      </c>
      <c r="CL30" s="394">
        <f t="shared" si="44"/>
        <v>0</v>
      </c>
      <c r="CM30" s="394">
        <f t="shared" si="44"/>
        <v>0</v>
      </c>
    </row>
    <row r="31" spans="1:92" ht="15.75" thickBot="1" x14ac:dyDescent="0.3">
      <c r="AR31" t="s">
        <v>377</v>
      </c>
      <c r="AS31" s="387">
        <f>SUMIFS(AS2:AS26,G2:G26,"GVAM",E2:E26,"0001",F2:F26,"00",AT2:AT26,1)</f>
        <v>0</v>
      </c>
      <c r="AT31" s="387">
        <f>SUMIFS(AS2:AS26,G2:G26,"GVAM",E2:E26,"0001",F2:F26,"00",AT2:AT26,3)</f>
        <v>0</v>
      </c>
      <c r="AU31" s="387">
        <f>SUMIFS(AU2:AU26,G2:G26,"GVAM",E2:E26,"0001",F2:F26,"00")</f>
        <v>0</v>
      </c>
      <c r="AV31" s="387">
        <f>SUMIFS(AV2:AV26,G2:G26,"GVAM",E2:E26,"0001",F2:F26,"00")</f>
        <v>0</v>
      </c>
      <c r="AW31" s="387">
        <f>SUMIFS(AW2:AW26,G2:G26,"GVAM",E2:E26,"0001",F2:F26,"00")</f>
        <v>0</v>
      </c>
      <c r="AX31" s="387">
        <f>SUMIFS(AX2:AX26,G2:G26,"GVAM",E2:E26,"0001",F2:F26,"00")</f>
        <v>0</v>
      </c>
      <c r="AY31" s="387">
        <f>SUMIFS(AY2:AY26,G2:G26,"GVAM",E2:E26,"0001",F2:F26,"00")</f>
        <v>0</v>
      </c>
      <c r="AZ31" s="387">
        <f>SUMIFS(AZ2:AZ26,G2:G26,"GVAM",E2:E26,"0001",F2:F26,"00")</f>
        <v>0</v>
      </c>
      <c r="BA31" s="387">
        <f>SUMIFS(BA2:BA26,G2:G26,"GVAM",E2:E26,"0001",F2:F26,"00")</f>
        <v>0</v>
      </c>
      <c r="BB31" s="387">
        <f>SUMIFS(BB2:BB26,G2:G26,"GVAM",E2:E26,"0001",F2:F26,"00")</f>
        <v>0</v>
      </c>
      <c r="BC31" s="387">
        <f>SUMIFS(BC2:BC26,G2:G26,"GVAM",E2:E26,"0001",F2:F26,"00")</f>
        <v>0</v>
      </c>
      <c r="BD31" s="387">
        <f>SUMIFS(BD2:BD26,G2:G26,"GVAM",E2:E26,"0001",F2:F26,"00")</f>
        <v>0</v>
      </c>
      <c r="BE31" s="387">
        <f>SUMIFS(BE2:BE26,G2:G26,"GVAM",E2:E26,"0001",F2:F26,"00")</f>
        <v>0</v>
      </c>
      <c r="BF31" s="387">
        <f>SUMIFS(BF2:BF26,G2:G26,"GVAM",E2:E26,"0001",F2:F26,"00")</f>
        <v>0</v>
      </c>
      <c r="BG31" s="387">
        <f>SUMIFS(BG2:BG26,G2:G26,"GVAM",E2:E26,"0001",F2:F26,"00")</f>
        <v>0</v>
      </c>
      <c r="BH31" s="387">
        <f>SUMIFS(BH2:BH26,G2:G26,"GVAM",E2:E26,"0001",F2:F26,"00")</f>
        <v>0</v>
      </c>
      <c r="BI31" s="387">
        <f>SUMIFS(BI2:BI26,G2:G26,"GVAM",E2:E26,"0001",F2:F26,"00")</f>
        <v>0</v>
      </c>
      <c r="BJ31" s="387">
        <f>SUMIFS(BJ2:BJ26,G2:G26,"GVAM",E2:E26,"0001",F2:F26,"00")</f>
        <v>0</v>
      </c>
      <c r="BK31" s="387">
        <f>SUMIFS(BK2:BK26,G2:G26,"GVAM",E2:E26,"0001",F2:F26,"00")</f>
        <v>0</v>
      </c>
      <c r="BL31" s="387">
        <f>SUMIFS(BL2:BL26,G2:G26,"GVAM",E2:E26,"0001",F2:F26,"00")</f>
        <v>0</v>
      </c>
      <c r="BM31" s="387">
        <f>SUMIFS(BM2:BM26,G2:G26,"GVAM",E2:E26,"0001",F2:F26,"00")</f>
        <v>0</v>
      </c>
      <c r="BN31" s="387">
        <f>SUMIFS(BN2:BN26,G2:G26,"GVAM",E2:E26,"0001",F2:F26,"00")</f>
        <v>0</v>
      </c>
      <c r="BO31" s="387">
        <f>SUMIFS(BO2:BO26,G2:G26,"GVAM",E2:E26,"0001",F2:F26,"00")</f>
        <v>0</v>
      </c>
      <c r="BP31" s="387">
        <f>SUMIFS(BP2:BP26,G2:G26,"GVAM",E2:E26,"0001",F2:F26,"00")</f>
        <v>0</v>
      </c>
      <c r="BQ31" s="387">
        <f>SUMIFS(BQ2:BQ26,G2:G26,"GVAM",E2:E26,"0001",F2:F26,"00")</f>
        <v>0</v>
      </c>
      <c r="BR31" s="387">
        <f>SUMIFS(BR2:BR26,G2:G26,"GVAM",E2:E26,"0001",F2:F26,"00")</f>
        <v>0</v>
      </c>
      <c r="BS31" s="387">
        <f>SUMIFS(BS2:BS26,G2:G26,"GVAM",E2:E26,"0001",F2:F26,"00")</f>
        <v>0</v>
      </c>
      <c r="BT31" s="387">
        <f>SUMIFS(BT2:BT26,G2:G26,"GVAM",E2:E26,"0001",F2:F26,"00")</f>
        <v>0</v>
      </c>
      <c r="BU31" s="387">
        <f>SUMIFS(BU2:BU26,G2:G26,"GVAM",E2:E26,"0001",F2:F26,"00")</f>
        <v>0</v>
      </c>
      <c r="BV31" s="387">
        <f>SUMIFS(BV2:BV26,G2:G26,"GVAM",E2:E26,"0001",F2:F26,"00")</f>
        <v>0</v>
      </c>
      <c r="BW31" s="387">
        <f>SUMIFS(BW2:BW26,G2:G26,"GVAM",E2:E26,"0001",F2:F26,"00")</f>
        <v>0</v>
      </c>
      <c r="BX31" s="387">
        <f>SUMIFS(BX2:BX26,G2:G26,"GVAM",E2:E26,"0001",F2:F26,"00")</f>
        <v>0</v>
      </c>
      <c r="BY31" s="387">
        <f>SUMIFS(BY2:BY26,G2:G26,"GVAM",E2:E26,"0001",F2:F26,"00")</f>
        <v>0</v>
      </c>
      <c r="BZ31" s="387">
        <f>SUMIFS(BZ2:BZ26,G2:G26,"GVAM",E2:E26,"0001",F2:F26,"00")</f>
        <v>0</v>
      </c>
      <c r="CA31" s="387">
        <f>SUMIFS(CA2:CA26,G2:G26,"GVAM",E2:E26,"0001",F2:F26,"00")</f>
        <v>0</v>
      </c>
      <c r="CB31" s="387">
        <f>SUMIFS(CB2:CB26,G2:G26,"GVAM",E2:E26,"0001",F2:F26,"00")</f>
        <v>0</v>
      </c>
      <c r="CC31" s="387">
        <f>SUMIFS(CC2:CC26,G2:G26,"GVAM",E2:E26,"0001",F2:F26,"00")</f>
        <v>0</v>
      </c>
      <c r="CD31" s="387">
        <f>SUMIFS(CD2:CD26,G2:G26,"GVAM",E2:E26,"0001",F2:F26,"00")</f>
        <v>0</v>
      </c>
      <c r="CE31" s="387">
        <f>SUMIFS(CE2:CE26,G2:G26,"GVAM",E2:E26,"0001",F2:F26,"00")</f>
        <v>0</v>
      </c>
      <c r="CF31" s="387">
        <f>SUMIFS(CF2:CF26,G2:G26,"GVAM",E2:E26,"0001",F2:F26,"00")</f>
        <v>0</v>
      </c>
      <c r="CG31" s="387">
        <f>SUMIFS(CG2:CG26,G2:G26,"GVAM",E2:E26,"0001",F2:F26,"00")</f>
        <v>0</v>
      </c>
      <c r="CH31" s="387">
        <f>SUMIFS(CH2:CH26,G2:G26,"GVAM",E2:E26,"0001",F2:F26,"00")</f>
        <v>0</v>
      </c>
      <c r="CI31" s="387">
        <f>SUMIFS(CI2:CI26,G2:G26,"GVAM",E2:E26,"0001",F2:F26,"00")</f>
        <v>0</v>
      </c>
      <c r="CJ31" s="387">
        <f>SUMIFS(CJ2:CJ26,G2:G26,"GVAM",E2:E26,"0001",F2:F26,"00")</f>
        <v>0</v>
      </c>
      <c r="CK31" s="387">
        <f>SUMIFS(CK2:CK26,G2:G26,"GVAM",E2:E26,"0001",F2:F26,"00")</f>
        <v>0</v>
      </c>
      <c r="CL31" s="387">
        <f>SUMIFS(CL2:CL26,G2:G26,"GVAM",E2:E26,"0001",F2:F26,"00")</f>
        <v>1278.01</v>
      </c>
      <c r="CM31" s="387">
        <f>SUMIFS(CM2:CM26,G2:G26,"GVAM",E2:E26,"0001",F2:F26,"00")</f>
        <v>122.71</v>
      </c>
    </row>
    <row r="32" spans="1:92" ht="18.75" x14ac:dyDescent="0.3">
      <c r="AQ32" s="393" t="s">
        <v>378</v>
      </c>
      <c r="AS32" s="394">
        <f t="shared" ref="AS32:CM32" si="45">SUM(AS31:AS31)</f>
        <v>0</v>
      </c>
      <c r="AT32" s="394">
        <f t="shared" si="45"/>
        <v>0</v>
      </c>
      <c r="AU32" s="394">
        <f t="shared" si="45"/>
        <v>0</v>
      </c>
      <c r="AV32" s="394">
        <f t="shared" si="45"/>
        <v>0</v>
      </c>
      <c r="AW32" s="394">
        <f t="shared" si="45"/>
        <v>0</v>
      </c>
      <c r="AX32" s="394">
        <f t="shared" si="45"/>
        <v>0</v>
      </c>
      <c r="AY32" s="394">
        <f t="shared" si="45"/>
        <v>0</v>
      </c>
      <c r="AZ32" s="394">
        <f t="shared" si="45"/>
        <v>0</v>
      </c>
      <c r="BA32" s="394">
        <f t="shared" si="45"/>
        <v>0</v>
      </c>
      <c r="BB32" s="394">
        <f t="shared" si="45"/>
        <v>0</v>
      </c>
      <c r="BC32" s="394">
        <f t="shared" si="45"/>
        <v>0</v>
      </c>
      <c r="BD32" s="394">
        <f t="shared" si="45"/>
        <v>0</v>
      </c>
      <c r="BE32" s="394">
        <f t="shared" si="45"/>
        <v>0</v>
      </c>
      <c r="BF32" s="394">
        <f t="shared" si="45"/>
        <v>0</v>
      </c>
      <c r="BG32" s="394">
        <f t="shared" si="45"/>
        <v>0</v>
      </c>
      <c r="BH32" s="394">
        <f t="shared" si="45"/>
        <v>0</v>
      </c>
      <c r="BI32" s="394">
        <f t="shared" si="45"/>
        <v>0</v>
      </c>
      <c r="BJ32" s="394">
        <f t="shared" si="45"/>
        <v>0</v>
      </c>
      <c r="BK32" s="394">
        <f t="shared" si="45"/>
        <v>0</v>
      </c>
      <c r="BL32" s="394">
        <f t="shared" si="45"/>
        <v>0</v>
      </c>
      <c r="BM32" s="394">
        <f t="shared" si="45"/>
        <v>0</v>
      </c>
      <c r="BN32" s="394">
        <f t="shared" si="45"/>
        <v>0</v>
      </c>
      <c r="BO32" s="394">
        <f t="shared" si="45"/>
        <v>0</v>
      </c>
      <c r="BP32" s="394">
        <f t="shared" si="45"/>
        <v>0</v>
      </c>
      <c r="BQ32" s="394">
        <f t="shared" si="45"/>
        <v>0</v>
      </c>
      <c r="BR32" s="394">
        <f t="shared" si="45"/>
        <v>0</v>
      </c>
      <c r="BS32" s="394">
        <f t="shared" si="45"/>
        <v>0</v>
      </c>
      <c r="BT32" s="394">
        <f t="shared" si="45"/>
        <v>0</v>
      </c>
      <c r="BU32" s="394">
        <f t="shared" si="45"/>
        <v>0</v>
      </c>
      <c r="BV32" s="394">
        <f t="shared" si="45"/>
        <v>0</v>
      </c>
      <c r="BW32" s="394">
        <f t="shared" si="45"/>
        <v>0</v>
      </c>
      <c r="BX32" s="394">
        <f t="shared" si="45"/>
        <v>0</v>
      </c>
      <c r="BY32" s="394">
        <f t="shared" si="45"/>
        <v>0</v>
      </c>
      <c r="BZ32" s="394">
        <f t="shared" si="45"/>
        <v>0</v>
      </c>
      <c r="CA32" s="394">
        <f t="shared" si="45"/>
        <v>0</v>
      </c>
      <c r="CB32" s="394">
        <f t="shared" si="45"/>
        <v>0</v>
      </c>
      <c r="CC32" s="394">
        <f t="shared" si="45"/>
        <v>0</v>
      </c>
      <c r="CD32" s="394">
        <f t="shared" si="45"/>
        <v>0</v>
      </c>
      <c r="CE32" s="394">
        <f t="shared" si="45"/>
        <v>0</v>
      </c>
      <c r="CF32" s="394">
        <f t="shared" si="45"/>
        <v>0</v>
      </c>
      <c r="CG32" s="394">
        <f t="shared" si="45"/>
        <v>0</v>
      </c>
      <c r="CH32" s="394">
        <f t="shared" si="45"/>
        <v>0</v>
      </c>
      <c r="CI32" s="394">
        <f t="shared" si="45"/>
        <v>0</v>
      </c>
      <c r="CJ32" s="394">
        <f t="shared" si="45"/>
        <v>0</v>
      </c>
      <c r="CK32" s="394">
        <f t="shared" si="45"/>
        <v>0</v>
      </c>
      <c r="CL32" s="394">
        <f t="shared" si="45"/>
        <v>1278.01</v>
      </c>
      <c r="CM32" s="394">
        <f t="shared" si="45"/>
        <v>122.71</v>
      </c>
    </row>
    <row r="33" spans="41:91" x14ac:dyDescent="0.25">
      <c r="BB33" s="387"/>
      <c r="BC33" s="387"/>
      <c r="BD33" s="387"/>
      <c r="BE33" s="387"/>
      <c r="BF33" s="387"/>
      <c r="BG33" s="387"/>
      <c r="BH33" s="387"/>
      <c r="BI33" s="387"/>
      <c r="BJ33" s="387"/>
      <c r="BK33" s="387"/>
      <c r="BL33" s="387"/>
      <c r="BM33" s="387"/>
      <c r="BN33" s="387"/>
      <c r="BO33" s="387"/>
      <c r="BP33" s="387"/>
      <c r="BQ33" s="387"/>
      <c r="BR33" s="387"/>
      <c r="BS33" s="387"/>
      <c r="BT33" s="387"/>
      <c r="BU33" s="387"/>
      <c r="BV33" s="387"/>
      <c r="BW33" s="387"/>
      <c r="BX33" s="387"/>
      <c r="BY33" s="387"/>
      <c r="BZ33" s="387"/>
      <c r="CA33" s="387"/>
      <c r="CB33" s="387"/>
      <c r="CC33" s="387"/>
      <c r="CD33" s="387"/>
      <c r="CE33" s="387"/>
      <c r="CF33" s="387"/>
      <c r="CG33" s="387"/>
      <c r="CH33" s="387"/>
      <c r="CI33" s="387"/>
      <c r="CJ33" s="387"/>
      <c r="CK33" s="387"/>
      <c r="CL33" s="387"/>
      <c r="CM33" s="387"/>
    </row>
    <row r="34" spans="41:91" ht="21" x14ac:dyDescent="0.35">
      <c r="AO34" s="251" t="s">
        <v>97</v>
      </c>
      <c r="AP34" s="251"/>
      <c r="AQ34" s="251"/>
    </row>
    <row r="36" spans="41:91" ht="21" x14ac:dyDescent="0.35">
      <c r="AO36" s="252"/>
      <c r="AP36" s="252"/>
      <c r="AQ36" s="252"/>
    </row>
    <row r="37" spans="41:91" ht="15.75" x14ac:dyDescent="0.25">
      <c r="AS37" s="373" t="s">
        <v>83</v>
      </c>
      <c r="AT37" s="475" t="s">
        <v>384</v>
      </c>
      <c r="AU37" s="475"/>
      <c r="AV37" s="476" t="s">
        <v>382</v>
      </c>
      <c r="AW37" s="475" t="s">
        <v>385</v>
      </c>
      <c r="AX37" s="475"/>
      <c r="AY37" s="476" t="s">
        <v>383</v>
      </c>
      <c r="AZ37" s="475" t="s">
        <v>386</v>
      </c>
      <c r="BA37" s="475"/>
    </row>
    <row r="38" spans="41:91" ht="15.75" x14ac:dyDescent="0.25">
      <c r="AS38" s="249"/>
      <c r="AT38" s="373" t="s">
        <v>94</v>
      </c>
      <c r="AU38" s="372" t="s">
        <v>96</v>
      </c>
      <c r="AV38" s="477"/>
      <c r="AW38" s="373" t="s">
        <v>98</v>
      </c>
      <c r="AX38" s="372" t="s">
        <v>95</v>
      </c>
      <c r="AY38" s="477"/>
      <c r="AZ38" s="373" t="s">
        <v>98</v>
      </c>
      <c r="BA38" s="372" t="s">
        <v>95</v>
      </c>
    </row>
    <row r="39" spans="41:91" x14ac:dyDescent="0.25">
      <c r="AO39" s="392" t="s">
        <v>387</v>
      </c>
    </row>
    <row r="40" spans="41:91" x14ac:dyDescent="0.25">
      <c r="AQ40" t="s">
        <v>374</v>
      </c>
      <c r="AS40" s="387">
        <f>SUM(SUMIFS(AS2:AS26,CN2:CN26,AQ40,E2:E26,"0001",F2:F26,"00",AT2:AT26,{1,3}))</f>
        <v>17.287500000000001</v>
      </c>
      <c r="AT40" s="387">
        <f>SUMPRODUCT(--(CN2:CN26=AQ40),--(N2:N26&lt;&gt;"NG"),--(AG2:AG26&lt;&gt;"D"),--(AR2:AR26&lt;&gt;6),--(AR2:AR26&lt;&gt;36),--(AR2:AR26&lt;&gt;56),T2:T26)+SUMPRODUCT(--(CN2:CN26=AQ40),--(N2:N26&lt;&gt;"NG"),--(AG2:AG26&lt;&gt;"D"),--(AR2:AR26&lt;&gt;6),--(AR2:AR26&lt;&gt;36),--(AR2:AR26&lt;&gt;56),U2:U26)</f>
        <v>1314390.69</v>
      </c>
      <c r="AU40" s="387">
        <f>SUMPRODUCT(--(CN2:CN26=AQ40),--(N2:N26&lt;&gt;"NG"),--(AG2:AG26&lt;&gt;"D"),--(AR2:AR26&lt;&gt;6),--(AR2:AR26&lt;&gt;36),--(AR2:AR26&lt;&gt;56),V2:V26)</f>
        <v>473795.64999999997</v>
      </c>
      <c r="AV40" s="387">
        <f>SUMPRODUCT(--(CN2:CN26=AQ40),AY2:AY26)+SUMPRODUCT(--(CN2:CN26=AQ40),AZ2:AZ26)</f>
        <v>1373618.94</v>
      </c>
      <c r="AW40" s="387">
        <f>SUMPRODUCT(--(CN2:CN26=AQ40),BB2:BB26)+SUMPRODUCT(--(CN2:CN26=AQ40),BC2:BC26)</f>
        <v>198050</v>
      </c>
      <c r="AX40" s="387">
        <f>SUMPRODUCT(--(CN2:CN26=AQ40),BL2:BL26)+SUMPRODUCT(--(CN2:CN26=AQ40),BM2:BM26)</f>
        <v>284132.88692120003</v>
      </c>
      <c r="AY40" s="387">
        <f>SUMPRODUCT(--(CN2:CN26=AQ40),AY2:AY26)+SUMPRODUCT(--(CN2:CN26=AQ40),AZ2:AZ26)+SUMPRODUCT(--(CN2:CN26=AQ40),BA2:BA26)</f>
        <v>1373618.94</v>
      </c>
      <c r="AZ40" s="387">
        <f>SUMPRODUCT(--(CN2:CN26=AQ40),BN2:BN26)+SUMPRODUCT(--(CN2:CN26=AQ40),BO2:BO26)</f>
        <v>198050</v>
      </c>
      <c r="BA40" s="387">
        <f>SUMPRODUCT(--(CN2:CN26=AQ40),BX2:BX26)+SUMPRODUCT(--(CN2:CN26=AQ40),BY2:BY26)</f>
        <v>279267.56788719998</v>
      </c>
    </row>
    <row r="41" spans="41:91" x14ac:dyDescent="0.25">
      <c r="AP41" t="s">
        <v>388</v>
      </c>
      <c r="AS41" s="398">
        <f t="shared" ref="AS41:BA41" si="46">SUM(AS40:AS40)</f>
        <v>17.287500000000001</v>
      </c>
      <c r="AT41" s="398">
        <f t="shared" si="46"/>
        <v>1314390.69</v>
      </c>
      <c r="AU41" s="398">
        <f t="shared" si="46"/>
        <v>473795.64999999997</v>
      </c>
      <c r="AV41" s="398">
        <f t="shared" si="46"/>
        <v>1373618.94</v>
      </c>
      <c r="AW41" s="398">
        <f t="shared" si="46"/>
        <v>198050</v>
      </c>
      <c r="AX41" s="398">
        <f t="shared" si="46"/>
        <v>284132.88692120003</v>
      </c>
      <c r="AY41" s="398">
        <f t="shared" si="46"/>
        <v>1373618.94</v>
      </c>
      <c r="AZ41" s="398">
        <f t="shared" si="46"/>
        <v>198050</v>
      </c>
      <c r="BA41" s="398">
        <f t="shared" si="46"/>
        <v>279267.56788719998</v>
      </c>
    </row>
    <row r="42" spans="41:91" x14ac:dyDescent="0.25">
      <c r="AS42" s="387"/>
      <c r="AT42" s="387"/>
      <c r="AU42" s="387"/>
      <c r="AV42" s="387"/>
      <c r="AW42" s="387"/>
      <c r="AX42" s="387"/>
      <c r="AY42" s="387"/>
      <c r="AZ42" s="387"/>
      <c r="BA42" s="387"/>
    </row>
    <row r="43" spans="41:91" x14ac:dyDescent="0.25">
      <c r="AO43" s="396" t="s">
        <v>389</v>
      </c>
      <c r="AS43" s="399">
        <f t="shared" ref="AS43:BA43" si="47">SUM(AS41)</f>
        <v>17.287500000000001</v>
      </c>
      <c r="AT43" s="399">
        <f t="shared" si="47"/>
        <v>1314390.69</v>
      </c>
      <c r="AU43" s="399">
        <f t="shared" si="47"/>
        <v>473795.64999999997</v>
      </c>
      <c r="AV43" s="399">
        <f t="shared" si="47"/>
        <v>1373618.94</v>
      </c>
      <c r="AW43" s="399">
        <f t="shared" si="47"/>
        <v>198050</v>
      </c>
      <c r="AX43" s="399">
        <f t="shared" si="47"/>
        <v>284132.88692120003</v>
      </c>
      <c r="AY43" s="399">
        <f t="shared" si="47"/>
        <v>1373618.94</v>
      </c>
      <c r="AZ43" s="399">
        <f t="shared" si="47"/>
        <v>198050</v>
      </c>
      <c r="BA43" s="399">
        <f t="shared" si="47"/>
        <v>279267.56788719998</v>
      </c>
    </row>
    <row r="44" spans="41:91" x14ac:dyDescent="0.25">
      <c r="AS44" s="387"/>
      <c r="AT44" s="387"/>
      <c r="AU44" s="387"/>
      <c r="AV44" s="387"/>
      <c r="AW44" s="387"/>
      <c r="AX44" s="387"/>
      <c r="AY44" s="387"/>
      <c r="AZ44" s="387"/>
      <c r="BA44" s="387"/>
    </row>
    <row r="45" spans="41:91" x14ac:dyDescent="0.25">
      <c r="AO45" s="392" t="s">
        <v>390</v>
      </c>
      <c r="AS45" s="387"/>
      <c r="AT45" s="387"/>
      <c r="AU45" s="387"/>
      <c r="AV45" s="387"/>
      <c r="AW45" s="387"/>
      <c r="AX45" s="387"/>
      <c r="AY45" s="387"/>
      <c r="AZ45" s="387"/>
      <c r="BA45" s="387"/>
    </row>
    <row r="46" spans="41:91" x14ac:dyDescent="0.25">
      <c r="AQ46" t="s">
        <v>374</v>
      </c>
      <c r="AS46" s="387"/>
      <c r="AT46" s="387">
        <f>SUMIF(CN2:CN26,AQ46,CL2:CL26)</f>
        <v>1278.01</v>
      </c>
      <c r="AU46" s="387">
        <f>SUMIF(CN2:CN26,AQ46,CM2:CM26)</f>
        <v>122.71</v>
      </c>
      <c r="AV46" s="387">
        <f>SUMIF(CN2:CN26,AQ46,CL2:CL26)</f>
        <v>1278.01</v>
      </c>
      <c r="AW46" s="387">
        <v>0</v>
      </c>
      <c r="AX46" s="387">
        <f>SUMIF(CN2:CN26,AQ46,CM2:CM26)</f>
        <v>122.71</v>
      </c>
      <c r="AY46" s="387">
        <f>SUMIF(CN2:CN26,AQ46,CL2:CL26)</f>
        <v>1278.01</v>
      </c>
      <c r="AZ46" s="387">
        <v>0</v>
      </c>
      <c r="BA46" s="387">
        <f>SUMIF(CN2:CN26,AQ46,CM2:CM26)</f>
        <v>122.71</v>
      </c>
    </row>
    <row r="47" spans="41:91" x14ac:dyDescent="0.25">
      <c r="AP47" t="s">
        <v>388</v>
      </c>
      <c r="AS47" s="398"/>
      <c r="AT47" s="398">
        <f t="shared" ref="AT47:BA47" si="48">SUM(AT46:AT46)</f>
        <v>1278.01</v>
      </c>
      <c r="AU47" s="398">
        <f t="shared" si="48"/>
        <v>122.71</v>
      </c>
      <c r="AV47" s="398">
        <f t="shared" si="48"/>
        <v>1278.01</v>
      </c>
      <c r="AW47" s="398">
        <f t="shared" si="48"/>
        <v>0</v>
      </c>
      <c r="AX47" s="398">
        <f t="shared" si="48"/>
        <v>122.71</v>
      </c>
      <c r="AY47" s="398">
        <f t="shared" si="48"/>
        <v>1278.01</v>
      </c>
      <c r="AZ47" s="398">
        <f t="shared" si="48"/>
        <v>0</v>
      </c>
      <c r="BA47" s="398">
        <f t="shared" si="48"/>
        <v>122.71</v>
      </c>
    </row>
    <row r="48" spans="41:91" x14ac:dyDescent="0.25">
      <c r="AS48" s="387"/>
      <c r="AT48" s="387"/>
      <c r="AU48" s="387"/>
      <c r="AV48" s="387"/>
      <c r="AW48" s="387"/>
      <c r="AX48" s="387"/>
      <c r="AY48" s="387"/>
      <c r="AZ48" s="387"/>
      <c r="BA48" s="387"/>
    </row>
    <row r="49" spans="41:94" x14ac:dyDescent="0.25">
      <c r="AO49" s="396" t="s">
        <v>391</v>
      </c>
      <c r="AS49" s="399">
        <f t="shared" ref="AS49:BA49" si="49">SUM(AS47)</f>
        <v>0</v>
      </c>
      <c r="AT49" s="399">
        <f t="shared" si="49"/>
        <v>1278.01</v>
      </c>
      <c r="AU49" s="399">
        <f t="shared" si="49"/>
        <v>122.71</v>
      </c>
      <c r="AV49" s="399">
        <f t="shared" si="49"/>
        <v>1278.01</v>
      </c>
      <c r="AW49" s="399">
        <f t="shared" si="49"/>
        <v>0</v>
      </c>
      <c r="AX49" s="399">
        <f t="shared" si="49"/>
        <v>122.71</v>
      </c>
      <c r="AY49" s="399">
        <f t="shared" si="49"/>
        <v>1278.01</v>
      </c>
      <c r="AZ49" s="399">
        <f t="shared" si="49"/>
        <v>0</v>
      </c>
      <c r="BA49" s="399">
        <f t="shared" si="49"/>
        <v>122.71</v>
      </c>
      <c r="CJ49" s="392"/>
      <c r="CP49" s="392"/>
    </row>
    <row r="50" spans="41:94" x14ac:dyDescent="0.25">
      <c r="AS50" s="387"/>
      <c r="AT50" s="387"/>
      <c r="AU50" s="387"/>
      <c r="AV50" s="387"/>
      <c r="AW50" s="387"/>
      <c r="AX50" s="387"/>
      <c r="AY50" s="387"/>
      <c r="AZ50" s="387"/>
      <c r="BA50" s="387"/>
    </row>
    <row r="51" spans="41:94" x14ac:dyDescent="0.25">
      <c r="AO51" s="397" t="s">
        <v>392</v>
      </c>
      <c r="AS51" s="400">
        <f t="shared" ref="AS51:BA51" si="50">SUM(AS43,AS49)</f>
        <v>17.287500000000001</v>
      </c>
      <c r="AT51" s="401">
        <f t="shared" si="50"/>
        <v>1315668.7</v>
      </c>
      <c r="AU51" s="401">
        <f t="shared" si="50"/>
        <v>473918.36</v>
      </c>
      <c r="AV51" s="401">
        <f t="shared" si="50"/>
        <v>1374896.95</v>
      </c>
      <c r="AW51" s="401">
        <f t="shared" si="50"/>
        <v>198050</v>
      </c>
      <c r="AX51" s="401">
        <f t="shared" si="50"/>
        <v>284255.59692120005</v>
      </c>
      <c r="AY51" s="401">
        <f t="shared" si="50"/>
        <v>1374896.95</v>
      </c>
      <c r="AZ51" s="401">
        <f t="shared" si="50"/>
        <v>198050</v>
      </c>
      <c r="BA51" s="401">
        <f t="shared" si="50"/>
        <v>279390.27788720001</v>
      </c>
    </row>
  </sheetData>
  <mergeCells count="5">
    <mergeCell ref="AT37:AU37"/>
    <mergeCell ref="AV37:AV38"/>
    <mergeCell ref="AW37:AX37"/>
    <mergeCell ref="AY37:AY38"/>
    <mergeCell ref="AZ37:BA37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tabSelected="1" zoomScaleNormal="100" workbookViewId="0">
      <selection activeCell="G10" sqref="G10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78"/>
      <c r="B1" s="478"/>
      <c r="C1" s="478"/>
      <c r="D1" s="478"/>
      <c r="E1" s="478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2022</v>
      </c>
      <c r="D4" s="6">
        <f>FiscalYear</f>
        <v>2023</v>
      </c>
      <c r="E4" s="7" t="str">
        <f>"DIFFERENCE "&amp;D4&amp;" - "&amp;C4</f>
        <v>DIFFERENCE 2023 - 2022</v>
      </c>
      <c r="F4" s="247" t="str">
        <f>"MAX "&amp;C4</f>
        <v>MAX 2022</v>
      </c>
      <c r="G4" s="247" t="str">
        <f>"MAX "&amp;D4</f>
        <v>MAX 2023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137700</v>
      </c>
      <c r="G5" s="248">
        <v>142800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4.8999999999999998E-3</v>
      </c>
      <c r="D7" s="226">
        <v>0</v>
      </c>
      <c r="E7" s="313">
        <f t="shared" si="0"/>
        <v>-4.8999999999999998E-3</v>
      </c>
    </row>
    <row r="8" spans="1:15" x14ac:dyDescent="0.3">
      <c r="A8" s="3"/>
      <c r="B8" s="130" t="s">
        <v>5</v>
      </c>
      <c r="C8" s="235">
        <v>3.7000000000000002E-3</v>
      </c>
      <c r="D8" s="234">
        <v>3.5000000000000001E-3</v>
      </c>
      <c r="E8" s="314">
        <f t="shared" si="0"/>
        <v>-2.0000000000000009E-4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5.535E-3</v>
      </c>
      <c r="D11" s="348">
        <v>5.535E-3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9.7844999999999988E-2</v>
      </c>
      <c r="D12" s="234">
        <f>SUM(D5:D11)</f>
        <v>9.2744999999999994E-2</v>
      </c>
      <c r="E12" s="315">
        <f>D12-C12</f>
        <v>-5.0999999999999934E-3</v>
      </c>
      <c r="M12" s="320"/>
    </row>
    <row r="13" spans="1:15" x14ac:dyDescent="0.3">
      <c r="A13" s="3"/>
      <c r="B13" s="231" t="s">
        <v>9</v>
      </c>
      <c r="C13" s="226">
        <f>SUM(C5:C8)</f>
        <v>8.5099999999999995E-2</v>
      </c>
      <c r="D13" s="226">
        <f>SUM(D5:D8)</f>
        <v>0.08</v>
      </c>
      <c r="E13" s="313">
        <f t="shared" si="0"/>
        <v>-5.0999999999999934E-3</v>
      </c>
      <c r="F13" s="8"/>
    </row>
    <row r="14" spans="1:15" x14ac:dyDescent="0.3">
      <c r="A14" s="230"/>
      <c r="B14" s="232" t="s">
        <v>102</v>
      </c>
      <c r="C14" s="226">
        <f>SUM(C5:C6,C8:C9)</f>
        <v>8.7409999999999988E-2</v>
      </c>
      <c r="D14" s="226">
        <f>SUM(D5:D6,D8:D9)</f>
        <v>8.7209999999999996E-2</v>
      </c>
      <c r="E14" s="313">
        <f>D14-C14</f>
        <v>-1.9999999999999185E-4</v>
      </c>
      <c r="M14" s="320"/>
    </row>
    <row r="15" spans="1:15" x14ac:dyDescent="0.3">
      <c r="A15" s="3"/>
      <c r="B15" s="231" t="s">
        <v>12</v>
      </c>
      <c r="C15" s="228">
        <v>11650</v>
      </c>
      <c r="D15" s="228">
        <v>11650</v>
      </c>
      <c r="E15" s="311">
        <f t="shared" si="0"/>
        <v>0</v>
      </c>
      <c r="L15" s="8"/>
      <c r="O15" s="9"/>
    </row>
    <row r="16" spans="1:15" x14ac:dyDescent="0.3">
      <c r="A16" s="3"/>
      <c r="B16" s="231" t="s">
        <v>82</v>
      </c>
      <c r="C16" s="229">
        <v>9320</v>
      </c>
      <c r="D16" s="229">
        <v>9320</v>
      </c>
      <c r="E16" s="312">
        <f>PTHealthBY-PTHealth</f>
        <v>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81</v>
      </c>
      <c r="C19" s="227">
        <f>C4</f>
        <v>2022</v>
      </c>
      <c r="D19" s="227">
        <f>BudgetYear</f>
        <v>2023</v>
      </c>
      <c r="E19" s="11" t="str">
        <f>E4</f>
        <v>DIFFERENCE 2023 - 2022</v>
      </c>
    </row>
    <row r="20" spans="1:11" x14ac:dyDescent="0.3">
      <c r="A20" s="1" t="s">
        <v>68</v>
      </c>
      <c r="B20" s="216" t="s">
        <v>75</v>
      </c>
      <c r="C20" s="362">
        <v>0.11940000000000001</v>
      </c>
      <c r="D20" s="362">
        <v>0.11940000000000001</v>
      </c>
      <c r="E20" s="363">
        <f>D20-C20</f>
        <v>0</v>
      </c>
    </row>
    <row r="21" spans="1:11" x14ac:dyDescent="0.3">
      <c r="A21" s="1" t="s">
        <v>70</v>
      </c>
      <c r="B21" s="1" t="s">
        <v>76</v>
      </c>
      <c r="C21" s="362">
        <v>0.12280000000000001</v>
      </c>
      <c r="D21" s="362">
        <v>0.12280000000000001</v>
      </c>
      <c r="E21" s="363">
        <f t="shared" ref="E21" si="1">D21-C21</f>
        <v>0</v>
      </c>
    </row>
    <row r="22" spans="1:11" x14ac:dyDescent="0.3">
      <c r="A22" s="1" t="s">
        <v>71</v>
      </c>
      <c r="B22" s="1" t="s">
        <v>77</v>
      </c>
      <c r="C22" s="362">
        <v>0.11940000000000001</v>
      </c>
      <c r="D22" s="362">
        <v>0.11940000000000001</v>
      </c>
      <c r="E22" s="363">
        <f>D22-C22</f>
        <v>0</v>
      </c>
    </row>
    <row r="23" spans="1:11" hidden="1" x14ac:dyDescent="0.3">
      <c r="A23" s="1" t="s">
        <v>72</v>
      </c>
      <c r="B23" s="1" t="s">
        <v>78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69</v>
      </c>
      <c r="B24" s="1" t="s">
        <v>79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74</v>
      </c>
      <c r="B25" s="1" t="s">
        <v>80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73</v>
      </c>
      <c r="B26" s="1" t="s">
        <v>80</v>
      </c>
      <c r="C26" s="362">
        <v>0.1084</v>
      </c>
      <c r="D26" s="362">
        <v>0.1084</v>
      </c>
      <c r="E26" s="363">
        <f>D26-C26</f>
        <v>0</v>
      </c>
    </row>
    <row r="28" spans="1:11" x14ac:dyDescent="0.3">
      <c r="A28" s="479" t="s">
        <v>110</v>
      </c>
      <c r="B28" s="479"/>
      <c r="C28" s="479"/>
      <c r="D28" s="479"/>
      <c r="E28" s="479"/>
    </row>
    <row r="29" spans="1:11" x14ac:dyDescent="0.3">
      <c r="A29" s="479" t="s">
        <v>111</v>
      </c>
      <c r="B29" s="479"/>
      <c r="C29" s="479"/>
      <c r="D29" s="479"/>
      <c r="E29" s="479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88</v>
      </c>
      <c r="B31" s="316"/>
      <c r="C31" s="247"/>
      <c r="D31" s="247"/>
      <c r="E31" s="247"/>
    </row>
    <row r="32" spans="1:11" x14ac:dyDescent="0.3">
      <c r="A32" s="316"/>
      <c r="B32" s="316" t="s">
        <v>89</v>
      </c>
      <c r="C32" s="247"/>
      <c r="D32" s="247"/>
      <c r="E32" s="247"/>
    </row>
    <row r="33" spans="1:5" x14ac:dyDescent="0.3">
      <c r="A33" s="316"/>
      <c r="B33" s="316" t="s">
        <v>90</v>
      </c>
      <c r="C33" s="247"/>
      <c r="D33" s="247"/>
      <c r="E33" s="247"/>
    </row>
    <row r="34" spans="1:5" x14ac:dyDescent="0.3">
      <c r="A34" s="316"/>
      <c r="B34" s="316" t="s">
        <v>91</v>
      </c>
      <c r="C34" s="247"/>
      <c r="D34" s="247"/>
      <c r="E34" s="247"/>
    </row>
    <row r="35" spans="1:5" x14ac:dyDescent="0.3">
      <c r="A35" s="316"/>
      <c r="B35" s="316" t="s">
        <v>92</v>
      </c>
      <c r="C35" s="247"/>
      <c r="D35" s="247"/>
      <c r="E35" s="247"/>
    </row>
    <row r="36" spans="1:5" x14ac:dyDescent="0.3">
      <c r="A36" s="316"/>
      <c r="B36" s="316" t="s">
        <v>93</v>
      </c>
      <c r="C36" s="247"/>
      <c r="D36" s="247"/>
      <c r="E36" s="247"/>
    </row>
    <row r="38" spans="1:5" x14ac:dyDescent="0.3">
      <c r="B38" s="317" t="s">
        <v>103</v>
      </c>
      <c r="C38" s="318">
        <v>0.01</v>
      </c>
    </row>
    <row r="39" spans="1:5" x14ac:dyDescent="0.3">
      <c r="B39" s="341" t="s">
        <v>104</v>
      </c>
      <c r="C39" s="340">
        <v>0.01</v>
      </c>
    </row>
    <row r="40" spans="1:5" x14ac:dyDescent="0.3">
      <c r="B40" s="342" t="s">
        <v>109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68"/>
      <c r="N1" s="469"/>
      <c r="AA1" s="337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113</v>
      </c>
      <c r="M2" s="470"/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114</v>
      </c>
      <c r="M3" s="468"/>
      <c r="N3" s="469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/>
      <c r="J5" s="472"/>
      <c r="K5" s="472"/>
      <c r="L5" s="471"/>
      <c r="M5" s="352" t="s">
        <v>115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73" t="s">
        <v>22</v>
      </c>
      <c r="D8" s="474"/>
      <c r="E8" s="332" t="s">
        <v>23</v>
      </c>
      <c r="F8" s="49" t="s">
        <v>24</v>
      </c>
      <c r="G8" s="50" t="str">
        <f>"FY "&amp;[0]!FiscalYear-1&amp;" SALARY"</f>
        <v>FY 2022 SALARY</v>
      </c>
      <c r="H8" s="50" t="str">
        <f>"FY "&amp;[0]!FiscalYear-1&amp;" HEALTH BENEFITS"</f>
        <v>FY 2022 HEALTH BENEFITS</v>
      </c>
      <c r="I8" s="50" t="str">
        <f>"FY "&amp;[0]!FiscalYear-1&amp;" VAR BENEFITS"</f>
        <v>FY 2022 VAR BENEFITS</v>
      </c>
      <c r="J8" s="50" t="str">
        <f>"FY "&amp;[0]!FiscalYear-1&amp;" TOTAL"</f>
        <v>FY 2022 TOTAL</v>
      </c>
      <c r="K8" s="50" t="str">
        <f>"FY "&amp;[0]!FiscalYear&amp;" SALARY CHANGE"</f>
        <v>FY 2023 SALARY CHANGE</v>
      </c>
      <c r="L8" s="50" t="str">
        <f>"FY "&amp;[0]!FiscalYear&amp;" CHG HEALTH BENEFITS"</f>
        <v>FY 2023 CHG HEALTH BENEFITS</v>
      </c>
      <c r="M8" s="50" t="str">
        <f>"FY "&amp;[0]!FiscalYear&amp;"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2022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0</v>
      </c>
      <c r="G43" s="206">
        <f>ROUND(G51-G41,-2)</f>
        <v>0</v>
      </c>
      <c r="H43" s="159">
        <f>ROUND(H51-H41,-2)</f>
        <v>0</v>
      </c>
      <c r="I43" s="159">
        <f>ROUND(I51-I41,-2)</f>
        <v>0</v>
      </c>
      <c r="J43" s="159">
        <f>SUM(G43:I43)</f>
        <v>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ERROR! Enter Original Appropriation amount in DU 3.00!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0</v>
      </c>
      <c r="G44" s="206">
        <f>ROUND(G60-G41,-2)</f>
        <v>0</v>
      </c>
      <c r="H44" s="159">
        <f>ROUND(H60-H41,-2)</f>
        <v>0</v>
      </c>
      <c r="I44" s="159">
        <f>ROUND(I60-I41,-2)</f>
        <v>0</v>
      </c>
      <c r="J44" s="159">
        <f>SUM(G44:I44)</f>
        <v>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ERROR! Enter Original Appropriation amount in DU 3.00!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0</v>
      </c>
      <c r="H45" s="206">
        <f>ROUND(H67-H41-H63,-2)</f>
        <v>0</v>
      </c>
      <c r="I45" s="206">
        <f>ROUND(I67-I41-I63,-2)</f>
        <v>0</v>
      </c>
      <c r="J45" s="159">
        <f>SUM(G45:I45)</f>
        <v>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/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62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  <mergeCell ref="M1:N1"/>
    <mergeCell ref="M2:N2"/>
    <mergeCell ref="M3:N3"/>
    <mergeCell ref="M4:N4"/>
    <mergeCell ref="I5:L5"/>
    <mergeCell ref="C64:D64"/>
    <mergeCell ref="C57:D57"/>
    <mergeCell ref="C58:D58"/>
    <mergeCell ref="C59:D59"/>
    <mergeCell ref="K45:N45"/>
    <mergeCell ref="K46:N47"/>
    <mergeCell ref="E46:J47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</mergeCells>
  <conditionalFormatting sqref="K44">
    <cfRule type="expression" dxfId="6" priority="5">
      <formula>$J$44&lt;0</formula>
    </cfRule>
  </conditionalFormatting>
  <conditionalFormatting sqref="K43">
    <cfRule type="expression" dxfId="5" priority="4">
      <formula>$J$43&lt;0</formula>
    </cfRule>
  </conditionalFormatting>
  <conditionalFormatting sqref="L16">
    <cfRule type="expression" dxfId="4" priority="3">
      <formula>$J$16&lt;0</formula>
    </cfRule>
  </conditionalFormatting>
  <conditionalFormatting sqref="K45">
    <cfRule type="expression" dxfId="3" priority="2">
      <formula>$J$44&lt;0</formula>
    </cfRule>
  </conditionalFormatting>
  <conditionalFormatting sqref="K43:N45">
    <cfRule type="containsText" dxfId="2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21"/>
  <sheetViews>
    <sheetView workbookViewId="0">
      <selection activeCell="A13" sqref="A13:L21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5" t="s">
        <v>376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2" ht="39" x14ac:dyDescent="0.25">
      <c r="A2" s="473" t="s">
        <v>22</v>
      </c>
      <c r="B2" s="474"/>
      <c r="C2" s="370" t="s">
        <v>23</v>
      </c>
      <c r="D2" s="49" t="s">
        <v>24</v>
      </c>
      <c r="E2" s="50" t="str">
        <f>"FY "&amp;'GVAA|0001-00'!FiscalYear-1&amp;" SALARY"</f>
        <v>FY 2022 SALARY</v>
      </c>
      <c r="F2" s="50" t="str">
        <f>"FY "&amp;'GVAA|0001-00'!FiscalYear-1&amp;" HEALTH BENEFITS"</f>
        <v>FY 2022 HEALTH BENEFITS</v>
      </c>
      <c r="G2" s="50" t="str">
        <f>"FY "&amp;'GVAA|0001-00'!FiscalYear-1&amp;" VAR BENEFITS"</f>
        <v>FY 2022 VAR BENEFITS</v>
      </c>
      <c r="H2" s="50" t="str">
        <f>"FY "&amp;'GVAA|0001-00'!FiscalYear-1&amp;" TOTAL"</f>
        <v>FY 2022 TOTAL</v>
      </c>
      <c r="I2" s="50" t="str">
        <f>"FY "&amp;'GVAA|0001-00'!FiscalYear&amp;" SALARY CHANGE"</f>
        <v>FY 2023 SALARY CHANGE</v>
      </c>
      <c r="J2" s="50" t="str">
        <f>"FY "&amp;'GVAA|0001-00'!FiscalYear&amp;" CHG HEALTH BENEFITS"</f>
        <v>FY 2023 CHG HEALTH BENEFITS</v>
      </c>
      <c r="K2" s="50" t="str">
        <f>"FY "&amp;'GVAA|0001-00'!FiscalYear&amp;" CHG VAR BENEFITS"</f>
        <v>FY 2023 CHG VAR BENEFITS</v>
      </c>
      <c r="L2" s="50" t="s">
        <v>25</v>
      </c>
    </row>
    <row r="3" spans="1:12" x14ac:dyDescent="0.25">
      <c r="A3" s="465" t="s">
        <v>26</v>
      </c>
      <c r="B3" s="466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44" t="s">
        <v>27</v>
      </c>
      <c r="B4" s="467"/>
      <c r="C4" s="217">
        <v>1</v>
      </c>
      <c r="D4" s="288">
        <f>[0]!GVAA000100col_INC_FTI</f>
        <v>16.287500000000001</v>
      </c>
      <c r="E4" s="218">
        <f>[0]!GVAA000100col_FTI_SALARY_PERM</f>
        <v>1235316.94</v>
      </c>
      <c r="F4" s="218">
        <f>[0]!GVAA000100col_HEALTH_PERM</f>
        <v>186400</v>
      </c>
      <c r="G4" s="218">
        <f>[0]!GVAA000100col_TOT_VB_PERM</f>
        <v>255567.97430120001</v>
      </c>
      <c r="H4" s="219">
        <f>SUM(E4:G4)</f>
        <v>1677284.9143011998</v>
      </c>
      <c r="I4" s="219">
        <f>[0]!GVAA000100col_1_27TH_PP</f>
        <v>0</v>
      </c>
      <c r="J4" s="218">
        <f>[0]!GVAA000100col_HEALTH_PERM_CHG</f>
        <v>0</v>
      </c>
      <c r="K4" s="218">
        <f>[0]!GVAA000100col_TOT_VB_PERM_CHG</f>
        <v>-4874.9826339999991</v>
      </c>
      <c r="L4" s="218">
        <f>SUM(J4:K4)</f>
        <v>-4874.9826339999991</v>
      </c>
    </row>
    <row r="5" spans="1:12" x14ac:dyDescent="0.25">
      <c r="A5" s="444" t="s">
        <v>28</v>
      </c>
      <c r="B5" s="467"/>
      <c r="C5" s="217">
        <v>2</v>
      </c>
      <c r="D5" s="288"/>
      <c r="E5" s="218">
        <f>[0]!GVAA000100col_Group_Salary</f>
        <v>0</v>
      </c>
      <c r="F5" s="218">
        <v>0</v>
      </c>
      <c r="G5" s="218">
        <f>[0]!GVAA000100col_Group_Ben</f>
        <v>0</v>
      </c>
      <c r="H5" s="219">
        <f>SUM(E5:G5)</f>
        <v>0</v>
      </c>
      <c r="I5" s="268"/>
      <c r="J5" s="218"/>
      <c r="K5" s="218"/>
      <c r="L5" s="218"/>
    </row>
    <row r="6" spans="1:12" x14ac:dyDescent="0.25">
      <c r="A6" s="444" t="s">
        <v>29</v>
      </c>
      <c r="B6" s="445"/>
      <c r="C6" s="217">
        <v>3</v>
      </c>
      <c r="D6" s="288">
        <f>[0]!GVAA000100col_TOTAL_ELECT_PCN_FTI</f>
        <v>1</v>
      </c>
      <c r="E6" s="218">
        <f>[0]!GVAA000100col_FTI_SALARY_ELECT</f>
        <v>138302</v>
      </c>
      <c r="F6" s="218">
        <f>[0]!GVAA000100col_HEALTH_ELECT</f>
        <v>11650</v>
      </c>
      <c r="G6" s="218">
        <f>[0]!GVAA000100col_TOT_VB_ELECT</f>
        <v>28564.912619999999</v>
      </c>
      <c r="H6" s="219">
        <f>SUM(E6:G6)</f>
        <v>178516.91261999999</v>
      </c>
      <c r="I6" s="268"/>
      <c r="J6" s="218">
        <f>[0]!GVAA000100col_HEALTH_ELECT_CHG</f>
        <v>0</v>
      </c>
      <c r="K6" s="218">
        <f>[0]!GVAA000100col_TOT_VB_ELECT_CHG</f>
        <v>9.6636000000005104</v>
      </c>
      <c r="L6" s="219">
        <f>SUM(J6:K6)</f>
        <v>9.6636000000005104</v>
      </c>
    </row>
    <row r="7" spans="1:12" x14ac:dyDescent="0.25">
      <c r="A7" s="444" t="s">
        <v>30</v>
      </c>
      <c r="B7" s="467"/>
      <c r="C7" s="217"/>
      <c r="D7" s="220">
        <f>SUM(D4:D6)</f>
        <v>17.287500000000001</v>
      </c>
      <c r="E7" s="221">
        <f>SUM(E4:E6)</f>
        <v>1373618.94</v>
      </c>
      <c r="F7" s="221">
        <f>SUM(F4:F6)</f>
        <v>198050</v>
      </c>
      <c r="G7" s="221">
        <f>SUM(G4:G6)</f>
        <v>284132.88692120003</v>
      </c>
      <c r="H7" s="219">
        <f>SUM(E7:G7)</f>
        <v>1855801.8269211999</v>
      </c>
      <c r="I7" s="268"/>
      <c r="J7" s="219">
        <f>SUM(J4:J6)</f>
        <v>0</v>
      </c>
      <c r="K7" s="219">
        <f>SUM(K4:K6)</f>
        <v>-4865.3190339999983</v>
      </c>
      <c r="L7" s="219">
        <f>SUM(L4:L6)</f>
        <v>-4865.3190339999983</v>
      </c>
    </row>
    <row r="8" spans="1:12" x14ac:dyDescent="0.25">
      <c r="A8" s="365"/>
      <c r="B8" s="371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"&amp;'GVAA|0001-00'!FiscalYear-1</f>
        <v>FY 2022</v>
      </c>
      <c r="B9" s="158" t="s">
        <v>31</v>
      </c>
      <c r="C9" s="355">
        <v>2058000</v>
      </c>
      <c r="D9" s="55">
        <v>21</v>
      </c>
      <c r="E9" s="223">
        <f>IF('GVAA|0001-00'!OrigApprop=0,0,(E7/H7)*'GVAA|0001-00'!OrigApprop)</f>
        <v>1523281.0624019471</v>
      </c>
      <c r="F9" s="223">
        <f>IF('GVAA|0001-00'!OrigApprop=0,0,(F7/H7)*'GVAA|0001-00'!OrigApprop)</f>
        <v>219628.46144848995</v>
      </c>
      <c r="G9" s="223">
        <f>IF(E9=0,0,(G7/H7)*'GVAA|0001-00'!OrigApprop)</f>
        <v>315090.47614956292</v>
      </c>
      <c r="H9" s="223">
        <f>SUM(E9:G9)</f>
        <v>2058000</v>
      </c>
      <c r="I9" s="268"/>
      <c r="J9" s="224"/>
      <c r="K9" s="224"/>
      <c r="L9" s="224"/>
    </row>
    <row r="10" spans="1:12" x14ac:dyDescent="0.25">
      <c r="A10" s="454" t="s">
        <v>32</v>
      </c>
      <c r="B10" s="455"/>
      <c r="C10" s="160" t="s">
        <v>33</v>
      </c>
      <c r="D10" s="161">
        <f>D9-D7</f>
        <v>3.7124999999999986</v>
      </c>
      <c r="E10" s="162">
        <f>E9-E7</f>
        <v>149662.12240194716</v>
      </c>
      <c r="F10" s="162">
        <f>F9-F7</f>
        <v>21578.46144848995</v>
      </c>
      <c r="G10" s="162">
        <f>G9-G7</f>
        <v>30957.589228362893</v>
      </c>
      <c r="H10" s="162">
        <f>H9-H7</f>
        <v>202198.17307880009</v>
      </c>
      <c r="I10" s="269"/>
      <c r="J10" s="56" t="str">
        <f>IF('GVAA|0001-00'!OrigApprop=0,"ERROR! Enter Original Appropriation amount in DU 3.00!","Calculated "&amp;IF('GVAA|0001-00'!AdjustedTotal&gt;0,"overfunding ","underfunding ")&amp;"is "&amp;TEXT('GVAA|0001-00'!AdjustedTotal/'GVAA|0001-00'!AppropTotal,"#.0%;(#.0% );0% ;")&amp;" of Original Appropriation")</f>
        <v>Calculated overfunding is 9.8% of Original Appropriation</v>
      </c>
      <c r="K10" s="163"/>
      <c r="L10" s="164"/>
    </row>
    <row r="12" spans="1:12" x14ac:dyDescent="0.25">
      <c r="A12" s="395" t="s">
        <v>380</v>
      </c>
      <c r="B12" s="395"/>
      <c r="C12" s="395"/>
      <c r="D12" s="395"/>
      <c r="E12" s="395"/>
      <c r="F12" s="395"/>
      <c r="G12" s="395"/>
      <c r="H12" s="395"/>
      <c r="I12" s="395"/>
      <c r="J12" s="395"/>
      <c r="K12" s="395"/>
      <c r="L12" s="395"/>
    </row>
    <row r="13" spans="1:12" ht="39" x14ac:dyDescent="0.25">
      <c r="A13" s="473" t="s">
        <v>22</v>
      </c>
      <c r="B13" s="474"/>
      <c r="C13" s="370" t="s">
        <v>23</v>
      </c>
      <c r="D13" s="49" t="s">
        <v>24</v>
      </c>
      <c r="E13" s="50" t="str">
        <f>"FY "&amp;'GVAM|0001-00'!FiscalYear-1&amp;" SALARY"</f>
        <v>FY 2022 SALARY</v>
      </c>
      <c r="F13" s="50" t="str">
        <f>"FY "&amp;'GVAM|0001-00'!FiscalYear-1&amp;" HEALTH BENEFITS"</f>
        <v>FY 2022 HEALTH BENEFITS</v>
      </c>
      <c r="G13" s="50" t="str">
        <f>"FY "&amp;'GVAM|0001-00'!FiscalYear-1&amp;" VAR BENEFITS"</f>
        <v>FY 2022 VAR BENEFITS</v>
      </c>
      <c r="H13" s="50" t="str">
        <f>"FY "&amp;'GVAM|0001-00'!FiscalYear-1&amp;" TOTAL"</f>
        <v>FY 2022 TOTAL</v>
      </c>
      <c r="I13" s="50" t="str">
        <f>"FY "&amp;'GVAM|0001-00'!FiscalYear&amp;" SALARY CHANGE"</f>
        <v>FY 2023 SALARY CHANGE</v>
      </c>
      <c r="J13" s="50" t="str">
        <f>"FY "&amp;'GVAM|0001-00'!FiscalYear&amp;" CHG HEALTH BENEFITS"</f>
        <v>FY 2023 CHG HEALTH BENEFITS</v>
      </c>
      <c r="K13" s="50" t="str">
        <f>"FY "&amp;'GVAM|0001-00'!FiscalYear&amp;" CHG VAR BENEFITS"</f>
        <v>FY 2023 CHG VAR BENEFITS</v>
      </c>
      <c r="L13" s="50" t="s">
        <v>25</v>
      </c>
    </row>
    <row r="14" spans="1:12" x14ac:dyDescent="0.25">
      <c r="A14" s="465" t="s">
        <v>26</v>
      </c>
      <c r="B14" s="466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 x14ac:dyDescent="0.25">
      <c r="A15" s="444" t="s">
        <v>27</v>
      </c>
      <c r="B15" s="467"/>
      <c r="C15" s="217">
        <v>1</v>
      </c>
      <c r="D15" s="288">
        <f>[0]!GVAM000100col_INC_FTI</f>
        <v>0</v>
      </c>
      <c r="E15" s="218">
        <f>[0]!GVAM000100col_FTI_SALARY_PERM</f>
        <v>0</v>
      </c>
      <c r="F15" s="218">
        <f>[0]!GVAM000100col_HEALTH_PERM</f>
        <v>0</v>
      </c>
      <c r="G15" s="218">
        <f>[0]!GVAM000100col_TOT_VB_PERM</f>
        <v>0</v>
      </c>
      <c r="H15" s="219">
        <f>SUM(E15:G15)</f>
        <v>0</v>
      </c>
      <c r="I15" s="219">
        <f>[0]!GVAM000100col_1_27TH_PP</f>
        <v>0</v>
      </c>
      <c r="J15" s="218">
        <f>[0]!GVAM000100col_HEALTH_PERM_CHG</f>
        <v>0</v>
      </c>
      <c r="K15" s="218">
        <f>[0]!GVAM000100col_TOT_VB_PERM_CHG</f>
        <v>0</v>
      </c>
      <c r="L15" s="218">
        <f>SUM(J15:K15)</f>
        <v>0</v>
      </c>
    </row>
    <row r="16" spans="1:12" x14ac:dyDescent="0.25">
      <c r="A16" s="444" t="s">
        <v>28</v>
      </c>
      <c r="B16" s="467"/>
      <c r="C16" s="217">
        <v>2</v>
      </c>
      <c r="D16" s="288"/>
      <c r="E16" s="218">
        <f>[0]!GVAM000100col_Group_Salary</f>
        <v>1278.01</v>
      </c>
      <c r="F16" s="218">
        <v>0</v>
      </c>
      <c r="G16" s="218">
        <f>[0]!GVAM000100col_Group_Ben</f>
        <v>122.71</v>
      </c>
      <c r="H16" s="219">
        <f>SUM(E16:G16)</f>
        <v>1400.72</v>
      </c>
      <c r="I16" s="268"/>
      <c r="J16" s="218"/>
      <c r="K16" s="218"/>
      <c r="L16" s="218"/>
    </row>
    <row r="17" spans="1:12" x14ac:dyDescent="0.25">
      <c r="A17" s="444" t="s">
        <v>29</v>
      </c>
      <c r="B17" s="445"/>
      <c r="C17" s="217">
        <v>3</v>
      </c>
      <c r="D17" s="288">
        <f>[0]!GVAM000100col_TOTAL_ELECT_PCN_FTI</f>
        <v>0</v>
      </c>
      <c r="E17" s="218">
        <f>[0]!GVAM000100col_FTI_SALARY_ELECT</f>
        <v>0</v>
      </c>
      <c r="F17" s="218">
        <f>[0]!GVAM000100col_HEALTH_ELECT</f>
        <v>0</v>
      </c>
      <c r="G17" s="218">
        <f>[0]!GVAM000100col_TOT_VB_ELECT</f>
        <v>0</v>
      </c>
      <c r="H17" s="219">
        <f>SUM(E17:G17)</f>
        <v>0</v>
      </c>
      <c r="I17" s="268"/>
      <c r="J17" s="218">
        <f>[0]!GVAM000100col_HEALTH_ELECT_CHG</f>
        <v>0</v>
      </c>
      <c r="K17" s="218">
        <f>[0]!GVAM000100col_TOT_VB_ELECT_CHG</f>
        <v>0</v>
      </c>
      <c r="L17" s="219">
        <f>SUM(J17:K17)</f>
        <v>0</v>
      </c>
    </row>
    <row r="18" spans="1:12" x14ac:dyDescent="0.25">
      <c r="A18" s="444" t="s">
        <v>30</v>
      </c>
      <c r="B18" s="467"/>
      <c r="C18" s="217"/>
      <c r="D18" s="220">
        <f>SUM(D15:D17)</f>
        <v>0</v>
      </c>
      <c r="E18" s="221">
        <f>SUM(E15:E17)</f>
        <v>1278.01</v>
      </c>
      <c r="F18" s="221">
        <f>SUM(F15:F17)</f>
        <v>0</v>
      </c>
      <c r="G18" s="221">
        <f>SUM(G15:G17)</f>
        <v>122.71</v>
      </c>
      <c r="H18" s="219">
        <f>SUM(E18:G18)</f>
        <v>1400.72</v>
      </c>
      <c r="I18" s="268"/>
      <c r="J18" s="219">
        <f>SUM(J15:J17)</f>
        <v>0</v>
      </c>
      <c r="K18" s="219">
        <f>SUM(K15:K17)</f>
        <v>0</v>
      </c>
      <c r="L18" s="219">
        <f>SUM(L15:L17)</f>
        <v>0</v>
      </c>
    </row>
    <row r="19" spans="1:12" x14ac:dyDescent="0.25">
      <c r="A19" s="365"/>
      <c r="B19" s="371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 x14ac:dyDescent="0.25">
      <c r="A20" s="157" t="str">
        <f>"FY "&amp;'GVAM|0001-00'!FiscalYear-1</f>
        <v>FY 2022</v>
      </c>
      <c r="B20" s="158" t="s">
        <v>31</v>
      </c>
      <c r="C20" s="355">
        <v>17900</v>
      </c>
      <c r="D20" s="55">
        <v>0</v>
      </c>
      <c r="E20" s="223">
        <f>IF('GVAM|0001-00'!OrigApprop=0,0,(E18/H18)*'GVAM|0001-00'!OrigApprop)</f>
        <v>16331.871466103146</v>
      </c>
      <c r="F20" s="223">
        <f>IF('GVAM|0001-00'!OrigApprop=0,0,(F18/H18)*'GVAM|0001-00'!OrigApprop)</f>
        <v>0</v>
      </c>
      <c r="G20" s="223">
        <f>IF(E20=0,0,(G18/H18)*'GVAM|0001-00'!OrigApprop)</f>
        <v>1568.128533896853</v>
      </c>
      <c r="H20" s="223">
        <f>SUM(E20:G20)</f>
        <v>17900</v>
      </c>
      <c r="I20" s="268"/>
      <c r="J20" s="224"/>
      <c r="K20" s="224"/>
      <c r="L20" s="224"/>
    </row>
    <row r="21" spans="1:12" x14ac:dyDescent="0.25">
      <c r="A21" s="454" t="s">
        <v>32</v>
      </c>
      <c r="B21" s="455"/>
      <c r="C21" s="160" t="s">
        <v>33</v>
      </c>
      <c r="D21" s="161">
        <f>D20-D18</f>
        <v>0</v>
      </c>
      <c r="E21" s="162">
        <f>E20-E18</f>
        <v>15053.861466103146</v>
      </c>
      <c r="F21" s="162">
        <f>F20-F18</f>
        <v>0</v>
      </c>
      <c r="G21" s="162">
        <f>G20-G18</f>
        <v>1445.418533896853</v>
      </c>
      <c r="H21" s="162">
        <f>H20-H18</f>
        <v>16499.28</v>
      </c>
      <c r="I21" s="269"/>
      <c r="J21" s="56" t="str">
        <f>IF('GVAM|0001-00'!OrigApprop=0,"ERROR! Enter Original Appropriation amount in DU 3.00!","Calculated "&amp;IF('GVAM|0001-00'!AdjustedTotal&gt;0,"overfunding ","underfunding ")&amp;"is "&amp;TEXT('GVAM|0001-00'!AdjustedTotal/'GVAM|0001-00'!AppropTotal,"#.0%;(#.0% );0% ;")&amp;" of Original Appropriation")</f>
        <v>Calculated overfunding is 92.2% of Original Appropriation</v>
      </c>
      <c r="K21" s="163"/>
      <c r="L21" s="164"/>
    </row>
  </sheetData>
  <mergeCells count="14">
    <mergeCell ref="A7:B7"/>
    <mergeCell ref="A2:B2"/>
    <mergeCell ref="A3:B3"/>
    <mergeCell ref="A4:B4"/>
    <mergeCell ref="A5:B5"/>
    <mergeCell ref="A6:B6"/>
    <mergeCell ref="A18:B18"/>
    <mergeCell ref="A21:B21"/>
    <mergeCell ref="A10:B10"/>
    <mergeCell ref="A13:B13"/>
    <mergeCell ref="A14:B14"/>
    <mergeCell ref="A15:B15"/>
    <mergeCell ref="A16:B16"/>
    <mergeCell ref="A17:B17"/>
  </mergeCells>
  <conditionalFormatting sqref="J10">
    <cfRule type="expression" dxfId="1" priority="2">
      <formula>$J$16&lt;0</formula>
    </cfRule>
  </conditionalFormatting>
  <conditionalFormatting sqref="J21">
    <cfRule type="expression" dxfId="0" priority="1">
      <formula>$J$16&lt;0</formula>
    </cfRule>
  </conditionalFormatting>
  <pageMargins left="0.7" right="0.7" top="0.75" bottom="0.75" header="0.3" footer="0.3"/>
  <pageSetup scale="66" orientation="landscape" r:id="rId1"/>
  <headerFooter>
    <oddHeader>&amp;L&amp;"Arial"&amp;14 Office of the Governor&amp;R&amp;"Arial"&amp;10 Agency 181</oddHeader>
    <oddFooter>&amp;L&amp;"Arial"&amp;10 B6:Summary by Program, by Fund&amp;R&amp;"Arial"&amp;10 FY 2022 Request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19"/>
  <sheetViews>
    <sheetView workbookViewId="0">
      <selection activeCell="E8" sqref="E8:M19"/>
    </sheetView>
  </sheetViews>
  <sheetFormatPr defaultRowHeight="15" x14ac:dyDescent="0.25"/>
  <cols>
    <col min="1" max="1" width="2.7109375" customWidth="1"/>
    <col min="2" max="2" width="9.5703125" bestFit="1" customWidth="1"/>
    <col min="3" max="3" width="7.7109375" bestFit="1" customWidth="1"/>
    <col min="4" max="4" width="5.7109375" customWidth="1"/>
    <col min="5" max="5" width="6.7109375" bestFit="1" customWidth="1"/>
    <col min="6" max="6" width="13.42578125" bestFit="1" customWidth="1"/>
    <col min="7" max="7" width="14" bestFit="1" customWidth="1"/>
    <col min="8" max="8" width="13.42578125" bestFit="1" customWidth="1"/>
    <col min="9" max="9" width="15.42578125" bestFit="1" customWidth="1"/>
    <col min="10" max="10" width="17" bestFit="1" customWidth="1"/>
    <col min="11" max="11" width="13.42578125" bestFit="1" customWidth="1"/>
    <col min="12" max="12" width="15.42578125" bestFit="1" customWidth="1"/>
    <col min="13" max="13" width="17" bestFit="1" customWidth="1"/>
  </cols>
  <sheetData>
    <row r="2" spans="1:13" ht="21" x14ac:dyDescent="0.35">
      <c r="A2" s="251" t="s">
        <v>97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83</v>
      </c>
      <c r="F5" s="475" t="s">
        <v>384</v>
      </c>
      <c r="G5" s="475"/>
      <c r="H5" s="476" t="s">
        <v>382</v>
      </c>
      <c r="I5" s="475" t="s">
        <v>385</v>
      </c>
      <c r="J5" s="475"/>
      <c r="K5" s="476" t="s">
        <v>383</v>
      </c>
      <c r="L5" s="475" t="s">
        <v>386</v>
      </c>
      <c r="M5" s="475"/>
    </row>
    <row r="6" spans="1:13" ht="15.75" x14ac:dyDescent="0.25">
      <c r="E6" s="249"/>
      <c r="F6" s="253" t="s">
        <v>94</v>
      </c>
      <c r="G6" s="254" t="s">
        <v>96</v>
      </c>
      <c r="H6" s="477"/>
      <c r="I6" s="253" t="s">
        <v>98</v>
      </c>
      <c r="J6" s="254" t="s">
        <v>95</v>
      </c>
      <c r="K6" s="477"/>
      <c r="L6" s="278" t="s">
        <v>98</v>
      </c>
      <c r="M6" s="254" t="s">
        <v>95</v>
      </c>
    </row>
    <row r="7" spans="1:13" x14ac:dyDescent="0.25">
      <c r="A7" s="392" t="s">
        <v>387</v>
      </c>
      <c r="D7" s="250"/>
    </row>
    <row r="8" spans="1:13" x14ac:dyDescent="0.25">
      <c r="C8" t="s">
        <v>374</v>
      </c>
      <c r="D8" s="250"/>
      <c r="E8" s="402">
        <f>Data!AS40</f>
        <v>17.287500000000001</v>
      </c>
      <c r="F8" s="402">
        <f>Data!AT40</f>
        <v>1314390.69</v>
      </c>
      <c r="G8" s="402">
        <f>Data!AU40</f>
        <v>473795.64999999997</v>
      </c>
      <c r="H8" s="402">
        <f>Data!AV40</f>
        <v>1373618.94</v>
      </c>
      <c r="I8" s="402">
        <f>Data!AW40</f>
        <v>198050</v>
      </c>
      <c r="J8" s="402">
        <f>Data!AX40</f>
        <v>284132.88692120003</v>
      </c>
      <c r="K8" s="402">
        <f>Data!AY40</f>
        <v>1373618.94</v>
      </c>
      <c r="L8" s="402">
        <f>Data!AZ40</f>
        <v>198050</v>
      </c>
      <c r="M8" s="402">
        <f>Data!BA40</f>
        <v>279267.56788719998</v>
      </c>
    </row>
    <row r="9" spans="1:13" x14ac:dyDescent="0.25">
      <c r="B9" t="s">
        <v>388</v>
      </c>
      <c r="D9" s="250"/>
      <c r="E9" s="403">
        <f>Data!AS41</f>
        <v>17.287500000000001</v>
      </c>
      <c r="F9" s="403">
        <f>Data!AT41</f>
        <v>1314390.69</v>
      </c>
      <c r="G9" s="403">
        <f>Data!AU41</f>
        <v>473795.64999999997</v>
      </c>
      <c r="H9" s="403">
        <f>Data!AV41</f>
        <v>1373618.94</v>
      </c>
      <c r="I9" s="403">
        <f>Data!AW41</f>
        <v>198050</v>
      </c>
      <c r="J9" s="403">
        <f>Data!AX41</f>
        <v>284132.88692120003</v>
      </c>
      <c r="K9" s="403">
        <f>Data!AY41</f>
        <v>1373618.94</v>
      </c>
      <c r="L9" s="403">
        <f>Data!AZ41</f>
        <v>198050</v>
      </c>
      <c r="M9" s="403">
        <f>Data!BA41</f>
        <v>279267.56788719998</v>
      </c>
    </row>
    <row r="10" spans="1:13" x14ac:dyDescent="0.25">
      <c r="D10" s="250"/>
      <c r="E10" s="402">
        <f>Data!AS42</f>
        <v>0</v>
      </c>
      <c r="F10" s="402">
        <f>Data!AT42</f>
        <v>0</v>
      </c>
      <c r="G10" s="402">
        <f>Data!AU42</f>
        <v>0</v>
      </c>
      <c r="H10" s="402">
        <f>Data!AV42</f>
        <v>0</v>
      </c>
      <c r="I10" s="402">
        <f>Data!AW42</f>
        <v>0</v>
      </c>
      <c r="J10" s="402">
        <f>Data!AX42</f>
        <v>0</v>
      </c>
      <c r="K10" s="402">
        <f>Data!AY42</f>
        <v>0</v>
      </c>
      <c r="L10" s="402">
        <f>Data!AZ42</f>
        <v>0</v>
      </c>
      <c r="M10" s="402">
        <f>Data!BA42</f>
        <v>0</v>
      </c>
    </row>
    <row r="11" spans="1:13" x14ac:dyDescent="0.25">
      <c r="A11" s="396" t="s">
        <v>389</v>
      </c>
      <c r="D11" s="250"/>
      <c r="E11" s="404">
        <f>Data!AS43</f>
        <v>17.287500000000001</v>
      </c>
      <c r="F11" s="404">
        <f>Data!AT43</f>
        <v>1314390.69</v>
      </c>
      <c r="G11" s="404">
        <f>Data!AU43</f>
        <v>473795.64999999997</v>
      </c>
      <c r="H11" s="404">
        <f>Data!AV43</f>
        <v>1373618.94</v>
      </c>
      <c r="I11" s="404">
        <f>Data!AW43</f>
        <v>198050</v>
      </c>
      <c r="J11" s="404">
        <f>Data!AX43</f>
        <v>284132.88692120003</v>
      </c>
      <c r="K11" s="404">
        <f>Data!AY43</f>
        <v>1373618.94</v>
      </c>
      <c r="L11" s="404">
        <f>Data!AZ43</f>
        <v>198050</v>
      </c>
      <c r="M11" s="404">
        <f>Data!BA43</f>
        <v>279267.56788719998</v>
      </c>
    </row>
    <row r="12" spans="1:13" x14ac:dyDescent="0.25">
      <c r="D12" s="250"/>
      <c r="E12" s="402">
        <f>Data!AS44</f>
        <v>0</v>
      </c>
      <c r="F12" s="402">
        <f>Data!AT44</f>
        <v>0</v>
      </c>
      <c r="G12" s="402">
        <f>Data!AU44</f>
        <v>0</v>
      </c>
      <c r="H12" s="402">
        <f>Data!AV44</f>
        <v>0</v>
      </c>
      <c r="I12" s="402">
        <f>Data!AW44</f>
        <v>0</v>
      </c>
      <c r="J12" s="402">
        <f>Data!AX44</f>
        <v>0</v>
      </c>
      <c r="K12" s="402">
        <f>Data!AY44</f>
        <v>0</v>
      </c>
      <c r="L12" s="402">
        <f>Data!AZ44</f>
        <v>0</v>
      </c>
      <c r="M12" s="402">
        <f>Data!BA44</f>
        <v>0</v>
      </c>
    </row>
    <row r="13" spans="1:13" x14ac:dyDescent="0.25">
      <c r="A13" s="392" t="s">
        <v>390</v>
      </c>
      <c r="D13" s="250"/>
      <c r="E13" s="402">
        <f>Data!AS45</f>
        <v>0</v>
      </c>
      <c r="F13" s="402">
        <f>Data!AT45</f>
        <v>0</v>
      </c>
      <c r="G13" s="402">
        <f>Data!AU45</f>
        <v>0</v>
      </c>
      <c r="H13" s="402">
        <f>Data!AV45</f>
        <v>0</v>
      </c>
      <c r="I13" s="402">
        <f>Data!AW45</f>
        <v>0</v>
      </c>
      <c r="J13" s="402">
        <f>Data!AX45</f>
        <v>0</v>
      </c>
      <c r="K13" s="402">
        <f>Data!AY45</f>
        <v>0</v>
      </c>
      <c r="L13" s="402">
        <f>Data!AZ45</f>
        <v>0</v>
      </c>
      <c r="M13" s="402">
        <f>Data!BA45</f>
        <v>0</v>
      </c>
    </row>
    <row r="14" spans="1:13" x14ac:dyDescent="0.25">
      <c r="C14" t="s">
        <v>374</v>
      </c>
      <c r="E14" s="402">
        <f>Data!AS46</f>
        <v>0</v>
      </c>
      <c r="F14" s="402">
        <f>Data!AT46</f>
        <v>1278.01</v>
      </c>
      <c r="G14" s="402">
        <f>Data!AU46</f>
        <v>122.71</v>
      </c>
      <c r="H14" s="402">
        <f>Data!AV46</f>
        <v>1278.01</v>
      </c>
      <c r="I14" s="402">
        <f>Data!AW46</f>
        <v>0</v>
      </c>
      <c r="J14" s="402">
        <f>Data!AX46</f>
        <v>122.71</v>
      </c>
      <c r="K14" s="402">
        <f>Data!AY46</f>
        <v>1278.01</v>
      </c>
      <c r="L14" s="402">
        <f>Data!AZ46</f>
        <v>0</v>
      </c>
      <c r="M14" s="402">
        <f>Data!BA46</f>
        <v>122.71</v>
      </c>
    </row>
    <row r="15" spans="1:13" x14ac:dyDescent="0.25">
      <c r="B15" t="s">
        <v>388</v>
      </c>
      <c r="E15" s="403">
        <f>Data!AS47</f>
        <v>0</v>
      </c>
      <c r="F15" s="403">
        <f>Data!AT47</f>
        <v>1278.01</v>
      </c>
      <c r="G15" s="403">
        <f>Data!AU47</f>
        <v>122.71</v>
      </c>
      <c r="H15" s="403">
        <f>Data!AV47</f>
        <v>1278.01</v>
      </c>
      <c r="I15" s="403">
        <f>Data!AW47</f>
        <v>0</v>
      </c>
      <c r="J15" s="403">
        <f>Data!AX47</f>
        <v>122.71</v>
      </c>
      <c r="K15" s="403">
        <f>Data!AY47</f>
        <v>1278.01</v>
      </c>
      <c r="L15" s="403">
        <f>Data!AZ47</f>
        <v>0</v>
      </c>
      <c r="M15" s="403">
        <f>Data!BA47</f>
        <v>122.71</v>
      </c>
    </row>
    <row r="16" spans="1:13" x14ac:dyDescent="0.25">
      <c r="E16" s="402">
        <f>Data!AS48</f>
        <v>0</v>
      </c>
      <c r="F16" s="402">
        <f>Data!AT48</f>
        <v>0</v>
      </c>
      <c r="G16" s="402">
        <f>Data!AU48</f>
        <v>0</v>
      </c>
      <c r="H16" s="402">
        <f>Data!AV48</f>
        <v>0</v>
      </c>
      <c r="I16" s="402">
        <f>Data!AW48</f>
        <v>0</v>
      </c>
      <c r="J16" s="402">
        <f>Data!AX48</f>
        <v>0</v>
      </c>
      <c r="K16" s="402">
        <f>Data!AY48</f>
        <v>0</v>
      </c>
      <c r="L16" s="402">
        <f>Data!AZ48</f>
        <v>0</v>
      </c>
      <c r="M16" s="402">
        <f>Data!BA48</f>
        <v>0</v>
      </c>
    </row>
    <row r="17" spans="1:13" x14ac:dyDescent="0.25">
      <c r="A17" s="396" t="s">
        <v>391</v>
      </c>
      <c r="E17" s="404">
        <f>Data!AS49</f>
        <v>0</v>
      </c>
      <c r="F17" s="404">
        <f>Data!AT49</f>
        <v>1278.01</v>
      </c>
      <c r="G17" s="404">
        <f>Data!AU49</f>
        <v>122.71</v>
      </c>
      <c r="H17" s="404">
        <f>Data!AV49</f>
        <v>1278.01</v>
      </c>
      <c r="I17" s="404">
        <f>Data!AW49</f>
        <v>0</v>
      </c>
      <c r="J17" s="404">
        <f>Data!AX49</f>
        <v>122.71</v>
      </c>
      <c r="K17" s="404">
        <f>Data!AY49</f>
        <v>1278.01</v>
      </c>
      <c r="L17" s="404">
        <f>Data!AZ49</f>
        <v>0</v>
      </c>
      <c r="M17" s="404">
        <f>Data!BA49</f>
        <v>122.71</v>
      </c>
    </row>
    <row r="18" spans="1:13" x14ac:dyDescent="0.25">
      <c r="E18" s="402">
        <f>Data!AS50</f>
        <v>0</v>
      </c>
      <c r="F18" s="402">
        <f>Data!AT50</f>
        <v>0</v>
      </c>
      <c r="G18" s="402">
        <f>Data!AU50</f>
        <v>0</v>
      </c>
      <c r="H18" s="402">
        <f>Data!AV50</f>
        <v>0</v>
      </c>
      <c r="I18" s="402">
        <f>Data!AW50</f>
        <v>0</v>
      </c>
      <c r="J18" s="402">
        <f>Data!AX50</f>
        <v>0</v>
      </c>
      <c r="K18" s="402">
        <f>Data!AY50</f>
        <v>0</v>
      </c>
      <c r="L18" s="402">
        <f>Data!AZ50</f>
        <v>0</v>
      </c>
      <c r="M18" s="402">
        <f>Data!BA50</f>
        <v>0</v>
      </c>
    </row>
    <row r="19" spans="1:13" x14ac:dyDescent="0.25">
      <c r="A19" s="397" t="s">
        <v>392</v>
      </c>
      <c r="E19" s="400">
        <f>Data!AS51</f>
        <v>17.287500000000001</v>
      </c>
      <c r="F19" s="401">
        <f>Data!AT51</f>
        <v>1315668.7</v>
      </c>
      <c r="G19" s="401">
        <f>Data!AU51</f>
        <v>473918.36</v>
      </c>
      <c r="H19" s="401">
        <f>Data!AV51</f>
        <v>1374896.95</v>
      </c>
      <c r="I19" s="401">
        <f>Data!AW51</f>
        <v>198050</v>
      </c>
      <c r="J19" s="401">
        <f>Data!AX51</f>
        <v>284255.59692120005</v>
      </c>
      <c r="K19" s="401">
        <f>Data!AY51</f>
        <v>1374896.95</v>
      </c>
      <c r="L19" s="401">
        <f>Data!AZ51</f>
        <v>198050</v>
      </c>
      <c r="M19" s="401">
        <f>Data!BA51</f>
        <v>279390.27788720001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1" orientation="landscape" horizontalDpi="1200" verticalDpi="1200" r:id="rId1"/>
  <headerFooter>
    <oddHeader>&amp;L&amp;"Arial"&amp;14 Office of the Governor&amp;R&amp;"Arial"&amp;10 Agency 181</oddHeader>
    <oddFooter>&amp;L&amp;"Arial"&amp;10 B6:Summary by Fund&amp;R&amp;"Arial"&amp;10 FY 2022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421</vt:i4>
      </vt:variant>
    </vt:vector>
  </HeadingPairs>
  <TitlesOfParts>
    <vt:vector size="428" baseType="lpstr">
      <vt:lpstr>GVAA|0001-00</vt:lpstr>
      <vt:lpstr>GVAM|0001-00</vt:lpstr>
      <vt:lpstr>Data</vt:lpstr>
      <vt:lpstr>Benefits</vt:lpstr>
      <vt:lpstr>B6</vt:lpstr>
      <vt:lpstr>Summary</vt:lpstr>
      <vt:lpstr>FundSummary</vt:lpstr>
      <vt:lpstr>'GVAA|0001-00'!AdjGroupHlth</vt:lpstr>
      <vt:lpstr>'GVAM|0001-00'!AdjGroupHlth</vt:lpstr>
      <vt:lpstr>AdjGroupHlth</vt:lpstr>
      <vt:lpstr>'GVAA|0001-00'!AdjGroupSalary</vt:lpstr>
      <vt:lpstr>'GVAM|0001-00'!AdjGroupSalary</vt:lpstr>
      <vt:lpstr>AdjGroupSalary</vt:lpstr>
      <vt:lpstr>'GVAA|0001-00'!AdjGroupVB</vt:lpstr>
      <vt:lpstr>'GVAM|0001-00'!AdjGroupVB</vt:lpstr>
      <vt:lpstr>AdjGroupVB</vt:lpstr>
      <vt:lpstr>'GVAA|0001-00'!AdjGroupVBBY</vt:lpstr>
      <vt:lpstr>'GVAM|0001-00'!AdjGroupVBBY</vt:lpstr>
      <vt:lpstr>AdjGroupVBBY</vt:lpstr>
      <vt:lpstr>'GVAA|0001-00'!AdjPermHlth</vt:lpstr>
      <vt:lpstr>'GVAM|0001-00'!AdjPermHlth</vt:lpstr>
      <vt:lpstr>AdjPermHlth</vt:lpstr>
      <vt:lpstr>'GVAA|0001-00'!AdjPermHlthBY</vt:lpstr>
      <vt:lpstr>'GVAM|0001-00'!AdjPermHlthBY</vt:lpstr>
      <vt:lpstr>AdjPermHlthBY</vt:lpstr>
      <vt:lpstr>'GVAA|0001-00'!AdjPermSalary</vt:lpstr>
      <vt:lpstr>'GVAM|0001-00'!AdjPermSalary</vt:lpstr>
      <vt:lpstr>AdjPermSalary</vt:lpstr>
      <vt:lpstr>'GVAA|0001-00'!AdjPermVB</vt:lpstr>
      <vt:lpstr>'GVAM|0001-00'!AdjPermVB</vt:lpstr>
      <vt:lpstr>AdjPermVB</vt:lpstr>
      <vt:lpstr>'GVAA|0001-00'!AdjPermVBBY</vt:lpstr>
      <vt:lpstr>'GVAM|0001-00'!AdjPermVBBY</vt:lpstr>
      <vt:lpstr>AdjPermVBBY</vt:lpstr>
      <vt:lpstr>'GVAA|0001-00'!AdjustedTotal</vt:lpstr>
      <vt:lpstr>'GVAM|0001-00'!AdjustedTotal</vt:lpstr>
      <vt:lpstr>AdjustedTotal</vt:lpstr>
      <vt:lpstr>'GVAA|0001-00'!AgencyNum</vt:lpstr>
      <vt:lpstr>'GVAM|0001-00'!AgencyNum</vt:lpstr>
      <vt:lpstr>AgencyNum</vt:lpstr>
      <vt:lpstr>'GVAA|0001-00'!AppropFTP</vt:lpstr>
      <vt:lpstr>'GVAM|0001-00'!AppropFTP</vt:lpstr>
      <vt:lpstr>AppropFTP</vt:lpstr>
      <vt:lpstr>'GVAA|0001-00'!AppropTotal</vt:lpstr>
      <vt:lpstr>'GVAM|0001-00'!AppropTotal</vt:lpstr>
      <vt:lpstr>AppropTotal</vt:lpstr>
      <vt:lpstr>'GVAA|0001-00'!AtZHealth</vt:lpstr>
      <vt:lpstr>'GVAM|0001-00'!AtZHealth</vt:lpstr>
      <vt:lpstr>AtZHealth</vt:lpstr>
      <vt:lpstr>'GVAA|0001-00'!AtZSalary</vt:lpstr>
      <vt:lpstr>'GVAM|0001-00'!AtZSalary</vt:lpstr>
      <vt:lpstr>AtZSalary</vt:lpstr>
      <vt:lpstr>'GVAA|0001-00'!AtZTotal</vt:lpstr>
      <vt:lpstr>'GVAM|0001-00'!AtZTotal</vt:lpstr>
      <vt:lpstr>AtZTotal</vt:lpstr>
      <vt:lpstr>'GVAA|0001-00'!AtZVarBen</vt:lpstr>
      <vt:lpstr>'GVAM|0001-00'!AtZVarBen</vt:lpstr>
      <vt:lpstr>AtZVarBen</vt:lpstr>
      <vt:lpstr>'GVAA|0001-00'!BudgetUnit</vt:lpstr>
      <vt:lpstr>'GVAM|0001-00'!BudgetUnit</vt:lpstr>
      <vt:lpstr>BudgetUnit</vt:lpstr>
      <vt:lpstr>BudgetYear</vt:lpstr>
      <vt:lpstr>CECGroup</vt:lpstr>
      <vt:lpstr>'GVAA|0001-00'!CECOrigElectSalary</vt:lpstr>
      <vt:lpstr>'GVAM|0001-00'!CECOrigElectSalary</vt:lpstr>
      <vt:lpstr>CECOrigElectSalary</vt:lpstr>
      <vt:lpstr>'GVAA|0001-00'!CECOrigElectVB</vt:lpstr>
      <vt:lpstr>'GVAM|0001-00'!CECOrigElectVB</vt:lpstr>
      <vt:lpstr>CECOrigElectVB</vt:lpstr>
      <vt:lpstr>'GVAA|0001-00'!CECOrigGroupSalary</vt:lpstr>
      <vt:lpstr>'GVAM|0001-00'!CECOrigGroupSalary</vt:lpstr>
      <vt:lpstr>CECOrigGroupSalary</vt:lpstr>
      <vt:lpstr>'GVAA|0001-00'!CECOrigGroupVB</vt:lpstr>
      <vt:lpstr>'GVAM|0001-00'!CECOrigGroupVB</vt:lpstr>
      <vt:lpstr>CECOrigGroupVB</vt:lpstr>
      <vt:lpstr>'GVAA|0001-00'!CECOrigPermSalary</vt:lpstr>
      <vt:lpstr>'GVAM|0001-00'!CECOrigPermSalary</vt:lpstr>
      <vt:lpstr>CECOrigPermSalary</vt:lpstr>
      <vt:lpstr>'GVAA|0001-00'!CECOrigPermVB</vt:lpstr>
      <vt:lpstr>'GVAM|0001-00'!CECOrigPermVB</vt:lpstr>
      <vt:lpstr>CECOrigPermVB</vt:lpstr>
      <vt:lpstr>CECPerm</vt:lpstr>
      <vt:lpstr>'GVAA|0001-00'!CECpermCalc</vt:lpstr>
      <vt:lpstr>'GVAM|0001-00'!CECpermCalc</vt:lpstr>
      <vt:lpstr>CECpermCalc</vt:lpstr>
      <vt:lpstr>'GVAA|0001-00'!Department</vt:lpstr>
      <vt:lpstr>'GVAM|0001-00'!Department</vt:lpstr>
      <vt:lpstr>Department</vt:lpstr>
      <vt:lpstr>DHR</vt:lpstr>
      <vt:lpstr>DHRBY</vt:lpstr>
      <vt:lpstr>DHRCHG</vt:lpstr>
      <vt:lpstr>'GVAA|0001-00'!Division</vt:lpstr>
      <vt:lpstr>'GVAM|0001-00'!Division</vt:lpstr>
      <vt:lpstr>Division</vt:lpstr>
      <vt:lpstr>'GVAA|0001-00'!DUCECElect</vt:lpstr>
      <vt:lpstr>'GVAM|0001-00'!DUCECElect</vt:lpstr>
      <vt:lpstr>DUCECElect</vt:lpstr>
      <vt:lpstr>'GVAA|0001-00'!DUCECGroup</vt:lpstr>
      <vt:lpstr>'GVAM|0001-00'!DUCECGroup</vt:lpstr>
      <vt:lpstr>DUCECGroup</vt:lpstr>
      <vt:lpstr>'GVAA|0001-00'!DUCECPerm</vt:lpstr>
      <vt:lpstr>'GVAM|0001-00'!DUCECPerm</vt:lpstr>
      <vt:lpstr>DUCECPerm</vt:lpstr>
      <vt:lpstr>'GVAA|0001-00'!DUEleven</vt:lpstr>
      <vt:lpstr>'GVAM|0001-00'!DUEleven</vt:lpstr>
      <vt:lpstr>DUEleven</vt:lpstr>
      <vt:lpstr>'GVAA|0001-00'!DUHealthBen</vt:lpstr>
      <vt:lpstr>'GVAM|0001-00'!DUHealthBen</vt:lpstr>
      <vt:lpstr>DUHealthBen</vt:lpstr>
      <vt:lpstr>'GVAA|0001-00'!DUNine</vt:lpstr>
      <vt:lpstr>'GVAM|0001-00'!DUNine</vt:lpstr>
      <vt:lpstr>DUNine</vt:lpstr>
      <vt:lpstr>'GVAA|0001-00'!DUThirteen</vt:lpstr>
      <vt:lpstr>'GVAM|0001-00'!DUThirteen</vt:lpstr>
      <vt:lpstr>DUThirteen</vt:lpstr>
      <vt:lpstr>'GVAA|0001-00'!DUVariableBen</vt:lpstr>
      <vt:lpstr>'GVAM|0001-00'!DUVariableBen</vt:lpstr>
      <vt:lpstr>DUVariableBen</vt:lpstr>
      <vt:lpstr>'GVAA|0001-00'!Elect_chg_health</vt:lpstr>
      <vt:lpstr>'GVAM|0001-00'!Elect_chg_health</vt:lpstr>
      <vt:lpstr>Elect_chg_health</vt:lpstr>
      <vt:lpstr>'GVAA|0001-00'!Elect_chg_Var</vt:lpstr>
      <vt:lpstr>'GVAM|0001-00'!Elect_chg_Var</vt:lpstr>
      <vt:lpstr>Elect_chg_Var</vt:lpstr>
      <vt:lpstr>'GVAA|0001-00'!elect_FTP</vt:lpstr>
      <vt:lpstr>'GVAM|0001-00'!elect_FTP</vt:lpstr>
      <vt:lpstr>elect_FTP</vt:lpstr>
      <vt:lpstr>'GVAA|0001-00'!Elect_health</vt:lpstr>
      <vt:lpstr>'GVAM|0001-00'!Elect_health</vt:lpstr>
      <vt:lpstr>Elect_health</vt:lpstr>
      <vt:lpstr>'GVAA|0001-00'!Elect_name</vt:lpstr>
      <vt:lpstr>'GVAM|0001-00'!Elect_name</vt:lpstr>
      <vt:lpstr>Elect_name</vt:lpstr>
      <vt:lpstr>'GVAA|0001-00'!Elect_salary</vt:lpstr>
      <vt:lpstr>'GVAM|0001-00'!Elect_salary</vt:lpstr>
      <vt:lpstr>Elect_salary</vt:lpstr>
      <vt:lpstr>'GVAA|0001-00'!Elect_Var</vt:lpstr>
      <vt:lpstr>'GVAM|0001-00'!Elect_Var</vt:lpstr>
      <vt:lpstr>Elect_Var</vt:lpstr>
      <vt:lpstr>'GVAA|0001-00'!Elect_VarBen</vt:lpstr>
      <vt:lpstr>'GVAM|0001-00'!Elect_VarBen</vt:lpstr>
      <vt:lpstr>Elect_VarBen</vt:lpstr>
      <vt:lpstr>ElectVB</vt:lpstr>
      <vt:lpstr>ElectVBBY</vt:lpstr>
      <vt:lpstr>ElectVBCHG</vt:lpstr>
      <vt:lpstr>FillRate_Avg</vt:lpstr>
      <vt:lpstr>'GVAA|0001-00'!FiscalYear</vt:lpstr>
      <vt:lpstr>'GVAM|0001-00'!FiscalYear</vt:lpstr>
      <vt:lpstr>FiscalYear</vt:lpstr>
      <vt:lpstr>'GVAA|0001-00'!FundName</vt:lpstr>
      <vt:lpstr>'GVAM|0001-00'!FundName</vt:lpstr>
      <vt:lpstr>FundName</vt:lpstr>
      <vt:lpstr>'GVAA|0001-00'!FundNum</vt:lpstr>
      <vt:lpstr>'GVAM|0001-00'!FundNum</vt:lpstr>
      <vt:lpstr>FundNum</vt:lpstr>
      <vt:lpstr>'GVAA|0001-00'!FundNumber</vt:lpstr>
      <vt:lpstr>'GVAM|0001-00'!FundNumber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'GVAA|0001-00'!Group_name</vt:lpstr>
      <vt:lpstr>'GVAM|0001-00'!Group_name</vt:lpstr>
      <vt:lpstr>Group_name</vt:lpstr>
      <vt:lpstr>'GVAA|0001-00'!GroupFxdBen</vt:lpstr>
      <vt:lpstr>'GVAM|0001-00'!GroupFxdBen</vt:lpstr>
      <vt:lpstr>GroupFxdBen</vt:lpstr>
      <vt:lpstr>'GVAA|0001-00'!GroupSalary</vt:lpstr>
      <vt:lpstr>'GVAM|0001-00'!GroupSalary</vt:lpstr>
      <vt:lpstr>GroupSalary</vt:lpstr>
      <vt:lpstr>'GVAA|0001-00'!GroupVarBen</vt:lpstr>
      <vt:lpstr>'GVAM|0001-00'!GroupVarBen</vt:lpstr>
      <vt:lpstr>GroupVarBen</vt:lpstr>
      <vt:lpstr>GroupVB</vt:lpstr>
      <vt:lpstr>GroupVBBY</vt:lpstr>
      <vt:lpstr>GroupVBCHG</vt:lpstr>
      <vt:lpstr>GVAA000100col_1_27TH_PP</vt:lpstr>
      <vt:lpstr>GVAA000100col_DHR</vt:lpstr>
      <vt:lpstr>GVAA000100col_DHR_BY</vt:lpstr>
      <vt:lpstr>GVAA000100col_DHR_CHG</vt:lpstr>
      <vt:lpstr>GVAA000100col_FTI_SALARY_ELECT</vt:lpstr>
      <vt:lpstr>GVAA000100col_FTI_SALARY_PERM</vt:lpstr>
      <vt:lpstr>GVAA000100col_FTI_SALARY_SSDI</vt:lpstr>
      <vt:lpstr>GVAA000100col_Group_Ben</vt:lpstr>
      <vt:lpstr>GVAA000100col_Group_Salary</vt:lpstr>
      <vt:lpstr>GVAA000100col_HEALTH_ELECT</vt:lpstr>
      <vt:lpstr>GVAA000100col_HEALTH_ELECT_BY</vt:lpstr>
      <vt:lpstr>GVAA000100col_HEALTH_ELECT_CHG</vt:lpstr>
      <vt:lpstr>GVAA000100col_HEALTH_PERM</vt:lpstr>
      <vt:lpstr>GVAA000100col_HEALTH_PERM_BY</vt:lpstr>
      <vt:lpstr>GVAA000100col_HEALTH_PERM_CHG</vt:lpstr>
      <vt:lpstr>GVAA000100col_INC_FTI</vt:lpstr>
      <vt:lpstr>GVAA000100col_LIFE_INS</vt:lpstr>
      <vt:lpstr>GVAA000100col_LIFE_INS_BY</vt:lpstr>
      <vt:lpstr>GVAA000100col_LIFE_INS_CHG</vt:lpstr>
      <vt:lpstr>GVAA000100col_RETIREMENT</vt:lpstr>
      <vt:lpstr>GVAA000100col_RETIREMENT_BY</vt:lpstr>
      <vt:lpstr>GVAA000100col_RETIREMENT_CHG</vt:lpstr>
      <vt:lpstr>GVAA000100col_ROWS_PER_PCN</vt:lpstr>
      <vt:lpstr>GVAA000100col_SICK</vt:lpstr>
      <vt:lpstr>GVAA000100col_SICK_BY</vt:lpstr>
      <vt:lpstr>GVAA000100col_SICK_CHG</vt:lpstr>
      <vt:lpstr>GVAA000100col_SSDI</vt:lpstr>
      <vt:lpstr>GVAA000100col_SSDI_BY</vt:lpstr>
      <vt:lpstr>GVAA000100col_SSDI_CHG</vt:lpstr>
      <vt:lpstr>GVAA000100col_SSHI</vt:lpstr>
      <vt:lpstr>GVAA000100col_SSHI_BY</vt:lpstr>
      <vt:lpstr>GVAA000100col_SSHI_CHGv</vt:lpstr>
      <vt:lpstr>GVAA000100col_TOT_VB_ELECT</vt:lpstr>
      <vt:lpstr>GVAA000100col_TOT_VB_ELECT_BY</vt:lpstr>
      <vt:lpstr>GVAA000100col_TOT_VB_ELECT_CHG</vt:lpstr>
      <vt:lpstr>GVAA000100col_TOT_VB_PERM</vt:lpstr>
      <vt:lpstr>GVAA000100col_TOT_VB_PERM_BY</vt:lpstr>
      <vt:lpstr>GVAA000100col_TOT_VB_PERM_CHG</vt:lpstr>
      <vt:lpstr>GVAA000100col_TOTAL_ELECT_PCN_FTI</vt:lpstr>
      <vt:lpstr>GVAA000100col_TOTAL_ELECT_PCN_FTI_ALT</vt:lpstr>
      <vt:lpstr>GVAA000100col_TOTAL_PERM_PCN_FTI</vt:lpstr>
      <vt:lpstr>GVAA000100col_UNEMP_INS</vt:lpstr>
      <vt:lpstr>GVAA000100col_UNEMP_INS_BY</vt:lpstr>
      <vt:lpstr>GVAA000100col_UNEMP_INS_CHG</vt:lpstr>
      <vt:lpstr>GVAA000100col_WORKERS_COMP</vt:lpstr>
      <vt:lpstr>GVAA000100col_WORKERS_COMP_BY</vt:lpstr>
      <vt:lpstr>GVAA000100col_WORKERS_COMP_CHG</vt:lpstr>
      <vt:lpstr>GVAM000100col_1_27TH_PP</vt:lpstr>
      <vt:lpstr>GVAM000100col_DHR</vt:lpstr>
      <vt:lpstr>GVAM000100col_DHR_BY</vt:lpstr>
      <vt:lpstr>GVAM000100col_DHR_CHG</vt:lpstr>
      <vt:lpstr>GVAM000100col_FTI_SALARY_ELECT</vt:lpstr>
      <vt:lpstr>GVAM000100col_FTI_SALARY_PERM</vt:lpstr>
      <vt:lpstr>GVAM000100col_FTI_SALARY_SSDI</vt:lpstr>
      <vt:lpstr>GVAM000100col_Group_Ben</vt:lpstr>
      <vt:lpstr>GVAM000100col_Group_Salary</vt:lpstr>
      <vt:lpstr>GVAM000100col_HEALTH_ELECT</vt:lpstr>
      <vt:lpstr>GVAM000100col_HEALTH_ELECT_BY</vt:lpstr>
      <vt:lpstr>GVAM000100col_HEALTH_ELECT_CHG</vt:lpstr>
      <vt:lpstr>GVAM000100col_HEALTH_PERM</vt:lpstr>
      <vt:lpstr>GVAM000100col_HEALTH_PERM_BY</vt:lpstr>
      <vt:lpstr>GVAM000100col_HEALTH_PERM_CHG</vt:lpstr>
      <vt:lpstr>GVAM000100col_INC_FTI</vt:lpstr>
      <vt:lpstr>GVAM000100col_LIFE_INS</vt:lpstr>
      <vt:lpstr>GVAM000100col_LIFE_INS_BY</vt:lpstr>
      <vt:lpstr>GVAM000100col_LIFE_INS_CHG</vt:lpstr>
      <vt:lpstr>GVAM000100col_RETIREMENT</vt:lpstr>
      <vt:lpstr>GVAM000100col_RETIREMENT_BY</vt:lpstr>
      <vt:lpstr>GVAM000100col_RETIREMENT_CHG</vt:lpstr>
      <vt:lpstr>GVAM000100col_ROWS_PER_PCN</vt:lpstr>
      <vt:lpstr>GVAM000100col_SICK</vt:lpstr>
      <vt:lpstr>GVAM000100col_SICK_BY</vt:lpstr>
      <vt:lpstr>GVAM000100col_SICK_CHG</vt:lpstr>
      <vt:lpstr>GVAM000100col_SSDI</vt:lpstr>
      <vt:lpstr>GVAM000100col_SSDI_BY</vt:lpstr>
      <vt:lpstr>GVAM000100col_SSDI_CHG</vt:lpstr>
      <vt:lpstr>GVAM000100col_SSHI</vt:lpstr>
      <vt:lpstr>GVAM000100col_SSHI_BY</vt:lpstr>
      <vt:lpstr>GVAM000100col_SSHI_CHGv</vt:lpstr>
      <vt:lpstr>GVAM000100col_TOT_VB_ELECT</vt:lpstr>
      <vt:lpstr>GVAM000100col_TOT_VB_ELECT_BY</vt:lpstr>
      <vt:lpstr>GVAM000100col_TOT_VB_ELECT_CHG</vt:lpstr>
      <vt:lpstr>GVAM000100col_TOT_VB_PERM</vt:lpstr>
      <vt:lpstr>GVAM000100col_TOT_VB_PERM_BY</vt:lpstr>
      <vt:lpstr>GVAM000100col_TOT_VB_PERM_CHG</vt:lpstr>
      <vt:lpstr>GVAM000100col_TOTAL_ELECT_PCN_FTI</vt:lpstr>
      <vt:lpstr>GVAM000100col_TOTAL_ELECT_PCN_FTI_ALT</vt:lpstr>
      <vt:lpstr>GVAM000100col_TOTAL_PERM_PCN_FTI</vt:lpstr>
      <vt:lpstr>GVAM000100col_UNEMP_INS</vt:lpstr>
      <vt:lpstr>GVAM000100col_UNEMP_INS_BY</vt:lpstr>
      <vt:lpstr>GVAM000100col_UNEMP_INS_CHG</vt:lpstr>
      <vt:lpstr>GVAM000100col_WORKERS_COMP</vt:lpstr>
      <vt:lpstr>GVAM000100col_WORKERS_COMP_BY</vt:lpstr>
      <vt:lpstr>GVAM000100col_WORKERS_COMP_CHG</vt:lpstr>
      <vt:lpstr>Health</vt:lpstr>
      <vt:lpstr>HealthBY</vt:lpstr>
      <vt:lpstr>HealthCHG</vt:lpstr>
      <vt:lpstr>Life</vt:lpstr>
      <vt:lpstr>LifeBY</vt:lpstr>
      <vt:lpstr>LifeCHG</vt:lpstr>
      <vt:lpstr>'GVAA|0001-00'!LUMAFund</vt:lpstr>
      <vt:lpstr>'GVAM|0001-00'!LUMAFund</vt:lpstr>
      <vt:lpstr>LUMAFund</vt:lpstr>
      <vt:lpstr>MAXSSDI</vt:lpstr>
      <vt:lpstr>MAXSSDIBY</vt:lpstr>
      <vt:lpstr>'GVAA|0001-00'!NEW_AdjGroup</vt:lpstr>
      <vt:lpstr>'GVAM|0001-00'!NEW_AdjGroup</vt:lpstr>
      <vt:lpstr>NEW_AdjGroup</vt:lpstr>
      <vt:lpstr>'GVAA|0001-00'!NEW_AdjGroupSalary</vt:lpstr>
      <vt:lpstr>'GVAM|0001-00'!NEW_AdjGroupSalary</vt:lpstr>
      <vt:lpstr>NEW_AdjGroupSalary</vt:lpstr>
      <vt:lpstr>'GVAA|0001-00'!NEW_AdjGroupVB</vt:lpstr>
      <vt:lpstr>'GVAM|0001-00'!NEW_AdjGroupVB</vt:lpstr>
      <vt:lpstr>NEW_AdjGroupVB</vt:lpstr>
      <vt:lpstr>'GVAA|0001-00'!NEW_AdjONLYGroup</vt:lpstr>
      <vt:lpstr>'GVAM|0001-00'!NEW_AdjONLYGroup</vt:lpstr>
      <vt:lpstr>NEW_AdjONLYGroup</vt:lpstr>
      <vt:lpstr>'GVAA|0001-00'!NEW_AdjONLYGroupSalary</vt:lpstr>
      <vt:lpstr>'GVAM|0001-00'!NEW_AdjONLYGroupSalary</vt:lpstr>
      <vt:lpstr>NEW_AdjONLYGroupSalary</vt:lpstr>
      <vt:lpstr>'GVAA|0001-00'!NEW_AdjONLYGroupVB</vt:lpstr>
      <vt:lpstr>'GVAM|0001-00'!NEW_AdjONLYGroupVB</vt:lpstr>
      <vt:lpstr>NEW_AdjONLYGroupVB</vt:lpstr>
      <vt:lpstr>'GVAA|0001-00'!NEW_AdjONLYPerm</vt:lpstr>
      <vt:lpstr>'GVAM|0001-00'!NEW_AdjONLYPerm</vt:lpstr>
      <vt:lpstr>NEW_AdjONLYPerm</vt:lpstr>
      <vt:lpstr>'GVAA|0001-00'!NEW_AdjONLYPermSalary</vt:lpstr>
      <vt:lpstr>'GVAM|0001-00'!NEW_AdjONLYPermSalary</vt:lpstr>
      <vt:lpstr>NEW_AdjONLYPermSalary</vt:lpstr>
      <vt:lpstr>'GVAA|0001-00'!NEW_AdjONLYPermVB</vt:lpstr>
      <vt:lpstr>'GVAM|0001-00'!NEW_AdjONLYPermVB</vt:lpstr>
      <vt:lpstr>NEW_AdjONLYPermVB</vt:lpstr>
      <vt:lpstr>'GVAA|0001-00'!NEW_AdjPerm</vt:lpstr>
      <vt:lpstr>'GVAM|0001-00'!NEW_AdjPerm</vt:lpstr>
      <vt:lpstr>NEW_AdjPerm</vt:lpstr>
      <vt:lpstr>'GVAA|0001-00'!NEW_AdjPermSalary</vt:lpstr>
      <vt:lpstr>'GVAM|0001-00'!NEW_AdjPermSalary</vt:lpstr>
      <vt:lpstr>NEW_AdjPermSalary</vt:lpstr>
      <vt:lpstr>'GVAA|0001-00'!NEW_AdjPermVB</vt:lpstr>
      <vt:lpstr>'GVAM|0001-00'!NEW_AdjPermVB</vt:lpstr>
      <vt:lpstr>NEW_AdjPermVB</vt:lpstr>
      <vt:lpstr>'GVAA|0001-00'!NEW_GroupFilled</vt:lpstr>
      <vt:lpstr>'GVAM|0001-00'!NEW_GroupFilled</vt:lpstr>
      <vt:lpstr>NEW_GroupFilled</vt:lpstr>
      <vt:lpstr>'GVAA|0001-00'!NEW_GroupSalaryFilled</vt:lpstr>
      <vt:lpstr>'GVAM|0001-00'!NEW_GroupSalaryFilled</vt:lpstr>
      <vt:lpstr>NEW_GroupSalaryFilled</vt:lpstr>
      <vt:lpstr>'GVAA|0001-00'!NEW_GroupVBFilled</vt:lpstr>
      <vt:lpstr>'GVAM|0001-00'!NEW_GroupVBFilled</vt:lpstr>
      <vt:lpstr>NEW_GroupVBFilled</vt:lpstr>
      <vt:lpstr>'GVAA|0001-00'!NEW_PermFilled</vt:lpstr>
      <vt:lpstr>'GVAM|0001-00'!NEW_PermFilled</vt:lpstr>
      <vt:lpstr>NEW_PermFilled</vt:lpstr>
      <vt:lpstr>'GVAA|0001-00'!NEW_PermSalaryFilled</vt:lpstr>
      <vt:lpstr>'GVAM|0001-00'!NEW_PermSalaryFilled</vt:lpstr>
      <vt:lpstr>NEW_PermSalaryFilled</vt:lpstr>
      <vt:lpstr>'GVAA|0001-00'!NEW_PermVBFilled</vt:lpstr>
      <vt:lpstr>'GVAM|0001-00'!NEW_PermVBFilled</vt:lpstr>
      <vt:lpstr>NEW_PermVBFilled</vt:lpstr>
      <vt:lpstr>'GVAA|0001-00'!OneTimePC_Total</vt:lpstr>
      <vt:lpstr>'GVAM|0001-00'!OneTimePC_Total</vt:lpstr>
      <vt:lpstr>OneTimePC_Total</vt:lpstr>
      <vt:lpstr>'GVAA|0001-00'!OrigApprop</vt:lpstr>
      <vt:lpstr>'GVAM|0001-00'!OrigApprop</vt:lpstr>
      <vt:lpstr>OrigApprop</vt:lpstr>
      <vt:lpstr>'GVAA|0001-00'!perm_name</vt:lpstr>
      <vt:lpstr>'GVAM|0001-00'!perm_name</vt:lpstr>
      <vt:lpstr>perm_name</vt:lpstr>
      <vt:lpstr>'GVAA|0001-00'!PermFTP</vt:lpstr>
      <vt:lpstr>'GVAM|0001-00'!PermFTP</vt:lpstr>
      <vt:lpstr>PermFTP</vt:lpstr>
      <vt:lpstr>'GVAA|0001-00'!PermFxdBen</vt:lpstr>
      <vt:lpstr>'GVAM|0001-00'!PermFxdBen</vt:lpstr>
      <vt:lpstr>PermFxdBen</vt:lpstr>
      <vt:lpstr>'GVAA|0001-00'!PermFxdBenChg</vt:lpstr>
      <vt:lpstr>'GVAM|0001-00'!PermFxdBenChg</vt:lpstr>
      <vt:lpstr>PermFxdBenChg</vt:lpstr>
      <vt:lpstr>'GVAA|0001-00'!PermFxdChg</vt:lpstr>
      <vt:lpstr>'GVAM|0001-00'!PermFxdChg</vt:lpstr>
      <vt:lpstr>PermFxdChg</vt:lpstr>
      <vt:lpstr>'GVAA|0001-00'!PermSalary</vt:lpstr>
      <vt:lpstr>'GVAM|0001-00'!PermSalary</vt:lpstr>
      <vt:lpstr>PermSalary</vt:lpstr>
      <vt:lpstr>'GVAA|0001-00'!PermVarBen</vt:lpstr>
      <vt:lpstr>'GVAM|0001-00'!PermVarBen</vt:lpstr>
      <vt:lpstr>PermVarBen</vt:lpstr>
      <vt:lpstr>'GVAA|0001-00'!PermVarBenChg</vt:lpstr>
      <vt:lpstr>'GVAM|0001-00'!PermVarBenChg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'GVAA|0001-00'!Print_Area</vt:lpstr>
      <vt:lpstr>'GVAM|0001-00'!Print_Area</vt:lpstr>
      <vt:lpstr>'GVAA|0001-00'!Prog_Unadjusted_Total</vt:lpstr>
      <vt:lpstr>'GVAM|0001-00'!Prog_Unadjusted_Total</vt:lpstr>
      <vt:lpstr>Prog_Unadjusted_Total</vt:lpstr>
      <vt:lpstr>'GVAA|0001-00'!Program</vt:lpstr>
      <vt:lpstr>'GVAM|0001-00'!Program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'GVAA|0001-00'!RoundedAppropSalary</vt:lpstr>
      <vt:lpstr>'GVAM|0001-00'!RoundedAppropSalary</vt:lpstr>
      <vt:lpstr>RoundedAppropSalary</vt:lpstr>
      <vt:lpstr>'GVAA|0001-00'!SalaryChg</vt:lpstr>
      <vt:lpstr>'GVAM|0001-00'!SalaryChg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183 B6</dc:title>
  <dc:subject>B6</dc:subject>
  <dc:creator>Shane Winslow</dc:creator>
  <cp:lastModifiedBy>Jared Hoskins</cp:lastModifiedBy>
  <cp:lastPrinted>2019-06-21T15:46:35Z</cp:lastPrinted>
  <dcterms:created xsi:type="dcterms:W3CDTF">2013-05-01T19:55:41Z</dcterms:created>
  <dcterms:modified xsi:type="dcterms:W3CDTF">2021-07-15T15:31:02Z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