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92CDFE87-94BA-493A-BF02-74C6B5FD97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FA|0550-01" sheetId="12" r:id="rId1"/>
    <sheet name="GVFB|0550-02" sheetId="13" r:id="rId2"/>
    <sheet name="GVFJ|0560-00" sheetId="16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'GVFA|0550-01'!$H$39</definedName>
    <definedName name="AdjGroupHlth" localSheetId="1">'GVFB|0550-02'!$H$39</definedName>
    <definedName name="AdjGroupHlth" localSheetId="2">'GVFJ|0560-00'!$H$39</definedName>
    <definedName name="AdjGroupHlth">'B6'!$H$39</definedName>
    <definedName name="AdjGroupSalary" localSheetId="0">'GVFA|0550-01'!$G$39</definedName>
    <definedName name="AdjGroupSalary" localSheetId="1">'GVFB|0550-02'!$G$39</definedName>
    <definedName name="AdjGroupSalary" localSheetId="2">'GVFJ|0560-00'!$G$39</definedName>
    <definedName name="AdjGroupSalary">'B6'!$G$39</definedName>
    <definedName name="AdjGroupVB" localSheetId="0">'GVFA|0550-01'!$I$39</definedName>
    <definedName name="AdjGroupVB" localSheetId="1">'GVFB|0550-02'!$I$39</definedName>
    <definedName name="AdjGroupVB" localSheetId="2">'GVFJ|0560-00'!$I$39</definedName>
    <definedName name="AdjGroupVB">'B6'!$I$39</definedName>
    <definedName name="AdjGroupVBBY" localSheetId="0">'GVFA|0550-01'!$M$39</definedName>
    <definedName name="AdjGroupVBBY" localSheetId="1">'GVFB|0550-02'!$M$39</definedName>
    <definedName name="AdjGroupVBBY" localSheetId="2">'GVFJ|0560-00'!$M$39</definedName>
    <definedName name="AdjGroupVBBY">'B6'!$M$39</definedName>
    <definedName name="AdjPermHlth" localSheetId="0">'GVFA|0550-01'!$H$38</definedName>
    <definedName name="AdjPermHlth" localSheetId="1">'GVFB|0550-02'!$H$38</definedName>
    <definedName name="AdjPermHlth" localSheetId="2">'GVFJ|0560-00'!$H$38</definedName>
    <definedName name="AdjPermHlth">'B6'!$H$38</definedName>
    <definedName name="AdjPermHlthBY" localSheetId="0">'GVFA|0550-01'!$L$38</definedName>
    <definedName name="AdjPermHlthBY" localSheetId="1">'GVFB|0550-02'!$L$38</definedName>
    <definedName name="AdjPermHlthBY" localSheetId="2">'GVFJ|0560-00'!$L$38</definedName>
    <definedName name="AdjPermHlthBY">'B6'!$L$38</definedName>
    <definedName name="AdjPermSalary" localSheetId="0">'GVFA|0550-01'!$G$38</definedName>
    <definedName name="AdjPermSalary" localSheetId="1">'GVFB|0550-02'!$G$38</definedName>
    <definedName name="AdjPermSalary" localSheetId="2">'GVFJ|0560-00'!$G$38</definedName>
    <definedName name="AdjPermSalary">'B6'!$G$38</definedName>
    <definedName name="AdjPermVB" localSheetId="0">'GVFA|0550-01'!$I$38</definedName>
    <definedName name="AdjPermVB" localSheetId="1">'GVFB|0550-02'!$I$38</definedName>
    <definedName name="AdjPermVB" localSheetId="2">'GVFJ|0560-00'!$I$38</definedName>
    <definedName name="AdjPermVB">'B6'!$I$38</definedName>
    <definedName name="AdjPermVBBY" localSheetId="0">'GVFA|0550-01'!$M$38</definedName>
    <definedName name="AdjPermVBBY" localSheetId="1">'GVFB|0550-02'!$M$38</definedName>
    <definedName name="AdjPermVBBY" localSheetId="2">'GVFJ|0560-00'!$M$38</definedName>
    <definedName name="AdjPermVBBY">'B6'!$M$38</definedName>
    <definedName name="AdjustedTotal" localSheetId="0">'GVFA|0550-01'!$J$16</definedName>
    <definedName name="AdjustedTotal" localSheetId="1">'GVFB|0550-02'!$J$16</definedName>
    <definedName name="AdjustedTotal" localSheetId="2">'GVFJ|0560-00'!$J$16</definedName>
    <definedName name="AdjustedTotal">'B6'!$J$16</definedName>
    <definedName name="AgencyNum" localSheetId="0">'GVFA|0550-01'!$M$1</definedName>
    <definedName name="AgencyNum" localSheetId="1">'GVFB|0550-02'!$M$1</definedName>
    <definedName name="AgencyNum" localSheetId="2">'GVFJ|0560-00'!$M$1</definedName>
    <definedName name="AgencyNum">'B6'!$M$1</definedName>
    <definedName name="AppropFTP" localSheetId="0">'GVFA|0550-01'!$F$15</definedName>
    <definedName name="AppropFTP" localSheetId="1">'GVFB|0550-02'!$F$15</definedName>
    <definedName name="AppropFTP" localSheetId="2">'GVFJ|0560-00'!$F$15</definedName>
    <definedName name="AppropFTP">'B6'!$F$15</definedName>
    <definedName name="AppropTotal" localSheetId="0">'GVFA|0550-01'!$J$15</definedName>
    <definedName name="AppropTotal" localSheetId="1">'GVFB|0550-02'!$J$15</definedName>
    <definedName name="AppropTotal" localSheetId="2">'GVFJ|0560-00'!$J$15</definedName>
    <definedName name="AppropTotal">'B6'!$J$15</definedName>
    <definedName name="AtZHealth" localSheetId="0">'GVFA|0550-01'!$H$45</definedName>
    <definedName name="AtZHealth" localSheetId="1">'GVFB|0550-02'!$H$45</definedName>
    <definedName name="AtZHealth" localSheetId="2">'GVFJ|0560-00'!$H$45</definedName>
    <definedName name="AtZHealth">'B6'!$H$45</definedName>
    <definedName name="AtZSalary" localSheetId="0">'GVFA|0550-01'!$G$45</definedName>
    <definedName name="AtZSalary" localSheetId="1">'GVFB|0550-02'!$G$45</definedName>
    <definedName name="AtZSalary" localSheetId="2">'GVFJ|0560-00'!$G$45</definedName>
    <definedName name="AtZSalary">'B6'!$G$45</definedName>
    <definedName name="AtZTotal" localSheetId="0">'GVFA|0550-01'!$J$45</definedName>
    <definedName name="AtZTotal" localSheetId="1">'GVFB|0550-02'!$J$45</definedName>
    <definedName name="AtZTotal" localSheetId="2">'GVFJ|0560-00'!$J$45</definedName>
    <definedName name="AtZTotal">'B6'!$J$45</definedName>
    <definedName name="AtZVarBen" localSheetId="0">'GVFA|0550-01'!$I$45</definedName>
    <definedName name="AtZVarBen" localSheetId="1">'GVFB|0550-02'!$I$45</definedName>
    <definedName name="AtZVarBen" localSheetId="2">'GVFJ|0560-00'!$I$45</definedName>
    <definedName name="AtZVarBen">'B6'!$I$45</definedName>
    <definedName name="BudgetUnit" localSheetId="0">'GVFA|0550-01'!$M$3</definedName>
    <definedName name="BudgetUnit" localSheetId="1">'GVFB|0550-02'!$M$3</definedName>
    <definedName name="BudgetUnit" localSheetId="2">'GVFJ|0560-00'!$M$3</definedName>
    <definedName name="BudgetUnit">'B6'!$M$3</definedName>
    <definedName name="BudgetYear">Benefits!$D$4</definedName>
    <definedName name="CECGroup">Benefits!$C$39</definedName>
    <definedName name="CECOrigElectSalary" localSheetId="0">'GVFA|0550-01'!$G$74</definedName>
    <definedName name="CECOrigElectSalary" localSheetId="1">'GVFB|0550-02'!$G$74</definedName>
    <definedName name="CECOrigElectSalary" localSheetId="2">'GVFJ|0560-00'!$G$74</definedName>
    <definedName name="CECOrigElectSalary">'B6'!$G$74</definedName>
    <definedName name="CECOrigElectVB" localSheetId="0">'GVFA|0550-01'!$I$74</definedName>
    <definedName name="CECOrigElectVB" localSheetId="1">'GVFB|0550-02'!$I$74</definedName>
    <definedName name="CECOrigElectVB" localSheetId="2">'GVFJ|0560-00'!$I$74</definedName>
    <definedName name="CECOrigElectVB">'B6'!$I$74</definedName>
    <definedName name="CECOrigGroupSalary" localSheetId="0">'GVFA|0550-01'!$G$73</definedName>
    <definedName name="CECOrigGroupSalary" localSheetId="1">'GVFB|0550-02'!$G$73</definedName>
    <definedName name="CECOrigGroupSalary" localSheetId="2">'GVFJ|0560-00'!$G$73</definedName>
    <definedName name="CECOrigGroupSalary">'B6'!$G$73</definedName>
    <definedName name="CECOrigGroupVB" localSheetId="0">'GVFA|0550-01'!$I$73</definedName>
    <definedName name="CECOrigGroupVB" localSheetId="1">'GVFB|0550-02'!$I$73</definedName>
    <definedName name="CECOrigGroupVB" localSheetId="2">'GVFJ|0560-00'!$I$73</definedName>
    <definedName name="CECOrigGroupVB">'B6'!$I$73</definedName>
    <definedName name="CECOrigPermSalary" localSheetId="0">'GVFA|0550-01'!$G$72</definedName>
    <definedName name="CECOrigPermSalary" localSheetId="1">'GVFB|0550-02'!$G$72</definedName>
    <definedName name="CECOrigPermSalary" localSheetId="2">'GVFJ|0560-00'!$G$72</definedName>
    <definedName name="CECOrigPermSalary">'B6'!$G$72</definedName>
    <definedName name="CECOrigPermVB" localSheetId="0">'GVFA|0550-01'!$I$72</definedName>
    <definedName name="CECOrigPermVB" localSheetId="1">'GVFB|0550-02'!$I$72</definedName>
    <definedName name="CECOrigPermVB" localSheetId="2">'GVFJ|0560-00'!$I$72</definedName>
    <definedName name="CECOrigPermVB">'B6'!$I$72</definedName>
    <definedName name="CECPerm">Benefits!$C$38</definedName>
    <definedName name="CECpermCalc" localSheetId="0">'GVFA|0550-01'!$E$72</definedName>
    <definedName name="CECpermCalc" localSheetId="1">'GVFB|0550-02'!$E$72</definedName>
    <definedName name="CECpermCalc" localSheetId="2">'GVFJ|0560-00'!$E$72</definedName>
    <definedName name="CECpermCalc">'B6'!$E$72</definedName>
    <definedName name="Department" localSheetId="0">'GVFA|0550-01'!$D$1</definedName>
    <definedName name="Department" localSheetId="1">'GVFB|0550-02'!$D$1</definedName>
    <definedName name="Department" localSheetId="2">'GVFJ|0560-00'!$D$1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'GVFA|0550-01'!$D$2</definedName>
    <definedName name="Division" localSheetId="1">'GVFB|0550-02'!$D$2</definedName>
    <definedName name="Division" localSheetId="2">'GVFJ|0560-00'!$D$2</definedName>
    <definedName name="Division">'B6'!$D$2</definedName>
    <definedName name="DUCECElect" localSheetId="0">'GVFA|0550-01'!$J$74</definedName>
    <definedName name="DUCECElect" localSheetId="1">'GVFB|0550-02'!$J$74</definedName>
    <definedName name="DUCECElect" localSheetId="2">'GVFJ|0560-00'!$J$74</definedName>
    <definedName name="DUCECElect">'B6'!$J$74</definedName>
    <definedName name="DUCECGroup" localSheetId="0">'GVFA|0550-01'!$J$73</definedName>
    <definedName name="DUCECGroup" localSheetId="1">'GVFB|0550-02'!$J$73</definedName>
    <definedName name="DUCECGroup" localSheetId="2">'GVFJ|0560-00'!$J$73</definedName>
    <definedName name="DUCECGroup">'B6'!$J$73</definedName>
    <definedName name="DUCECPerm" localSheetId="0">'GVFA|0550-01'!$J$72</definedName>
    <definedName name="DUCECPerm" localSheetId="1">'GVFB|0550-02'!$J$72</definedName>
    <definedName name="DUCECPerm" localSheetId="2">'GVFJ|0560-00'!$J$72</definedName>
    <definedName name="DUCECPerm">'B6'!$J$72</definedName>
    <definedName name="DUEleven" localSheetId="0">'GVFA|0550-01'!$J$75</definedName>
    <definedName name="DUEleven" localSheetId="1">'GVFB|0550-02'!$J$75</definedName>
    <definedName name="DUEleven" localSheetId="2">'GVFJ|0560-00'!$J$75</definedName>
    <definedName name="DUEleven">'B6'!$J$75</definedName>
    <definedName name="DUHealthBen" localSheetId="0">'GVFA|0550-01'!$J$68</definedName>
    <definedName name="DUHealthBen" localSheetId="1">'GVFB|0550-02'!$J$68</definedName>
    <definedName name="DUHealthBen" localSheetId="2">'GVFJ|0560-00'!$J$68</definedName>
    <definedName name="DUHealthBen">'B6'!$J$68</definedName>
    <definedName name="DUNine" localSheetId="0">'GVFA|0550-01'!$J$67</definedName>
    <definedName name="DUNine" localSheetId="1">'GVFB|0550-02'!$J$67</definedName>
    <definedName name="DUNine" localSheetId="2">'GVFJ|0560-00'!$J$67</definedName>
    <definedName name="DUNine">'B6'!$J$67</definedName>
    <definedName name="DUThirteen" localSheetId="0">'GVFA|0550-01'!$J$80</definedName>
    <definedName name="DUThirteen" localSheetId="1">'GVFB|0550-02'!$J$80</definedName>
    <definedName name="DUThirteen" localSheetId="2">'GVFJ|0560-00'!$J$80</definedName>
    <definedName name="DUThirteen">'B6'!$J$80</definedName>
    <definedName name="DUVariableBen" localSheetId="0">'GVFA|0550-01'!$J$69</definedName>
    <definedName name="DUVariableBen" localSheetId="1">'GVFB|0550-02'!$J$69</definedName>
    <definedName name="DUVariableBen" localSheetId="2">'GVFJ|0560-00'!$J$69</definedName>
    <definedName name="DUVariableBen">'B6'!$J$69</definedName>
    <definedName name="Elect_chg_health" localSheetId="0">'GVFA|0550-01'!$L$12</definedName>
    <definedName name="Elect_chg_health" localSheetId="1">'GVFB|0550-02'!$L$12</definedName>
    <definedName name="Elect_chg_health" localSheetId="2">'GVFJ|0560-00'!$L$12</definedName>
    <definedName name="Elect_chg_health">'B6'!$L$12</definedName>
    <definedName name="Elect_chg_Var" localSheetId="0">'GVFA|0550-01'!$M$12</definedName>
    <definedName name="Elect_chg_Var" localSheetId="1">'GVFB|0550-02'!$M$12</definedName>
    <definedName name="Elect_chg_Var" localSheetId="2">'GVFJ|0560-00'!$M$12</definedName>
    <definedName name="Elect_chg_Var">'B6'!$M$12</definedName>
    <definedName name="elect_FTP" localSheetId="0">'GVFA|0550-01'!$F$12</definedName>
    <definedName name="elect_FTP" localSheetId="1">'GVFB|0550-02'!$F$12</definedName>
    <definedName name="elect_FTP" localSheetId="2">'GVFJ|0560-00'!$F$12</definedName>
    <definedName name="elect_FTP">'B6'!$F$12</definedName>
    <definedName name="Elect_health" localSheetId="0">'GVFA|0550-01'!$H$12</definedName>
    <definedName name="Elect_health" localSheetId="1">'GVFB|0550-02'!$H$12</definedName>
    <definedName name="Elect_health" localSheetId="2">'GVFJ|0560-00'!$H$12</definedName>
    <definedName name="Elect_health">'B6'!$H$12</definedName>
    <definedName name="Elect_name" localSheetId="0">'GVFA|0550-01'!$C$12</definedName>
    <definedName name="Elect_name" localSheetId="1">'GVFB|0550-02'!$C$12</definedName>
    <definedName name="Elect_name" localSheetId="2">'GVFJ|0560-00'!$C$12</definedName>
    <definedName name="Elect_name">'B6'!$C$12</definedName>
    <definedName name="Elect_salary" localSheetId="0">'GVFA|0550-01'!$G$12</definedName>
    <definedName name="Elect_salary" localSheetId="1">'GVFB|0550-02'!$G$12</definedName>
    <definedName name="Elect_salary" localSheetId="2">'GVFJ|0560-00'!$G$12</definedName>
    <definedName name="Elect_salary">'B6'!$G$12</definedName>
    <definedName name="Elect_Var" localSheetId="0">'GVFA|0550-01'!$I$12</definedName>
    <definedName name="Elect_Var" localSheetId="1">'GVFB|0550-02'!$I$12</definedName>
    <definedName name="Elect_Var" localSheetId="2">'GVFJ|0560-00'!$I$12</definedName>
    <definedName name="Elect_Var">'B6'!$I$12</definedName>
    <definedName name="Elect_VarBen" localSheetId="0">'GVFA|0550-01'!$I$12</definedName>
    <definedName name="Elect_VarBen" localSheetId="1">'GVFB|0550-02'!$I$12</definedName>
    <definedName name="Elect_VarBen" localSheetId="2">'GVFJ|0560-00'!$I$12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'GVFA|0550-01'!#REF!</definedName>
    <definedName name="FillRateAvg_B6" localSheetId="1">'GVFB|0550-02'!#REF!</definedName>
    <definedName name="FillRateAvg_B6" localSheetId="2">'GVFJ|0560-00'!#REF!</definedName>
    <definedName name="FillRateAvg_B6">'B6'!#REF!</definedName>
    <definedName name="FiscalYear" localSheetId="0">'GVFA|0550-01'!$M$4</definedName>
    <definedName name="FiscalYear" localSheetId="1">'GVFB|0550-02'!$M$4</definedName>
    <definedName name="FiscalYear" localSheetId="2">'GVFJ|0560-00'!$M$4</definedName>
    <definedName name="FiscalYear">'B6'!$M$4</definedName>
    <definedName name="FundName" localSheetId="0">'GVFA|0550-01'!$I$5</definedName>
    <definedName name="FundName" localSheetId="1">'GVFB|0550-02'!$I$5</definedName>
    <definedName name="FundName" localSheetId="2">'GVFJ|0560-00'!$I$5</definedName>
    <definedName name="FundName">'B6'!$I$5</definedName>
    <definedName name="FundNum" localSheetId="0">'GVFA|0550-01'!$N$5</definedName>
    <definedName name="FundNum" localSheetId="1">'GVFB|0550-02'!$N$5</definedName>
    <definedName name="FundNum" localSheetId="2">'GVFJ|0560-00'!$N$5</definedName>
    <definedName name="FundNum">'B6'!$N$5</definedName>
    <definedName name="FundNumber" localSheetId="0">'GVFA|0550-01'!$N$5</definedName>
    <definedName name="FundNumber" localSheetId="1">'GVFB|0550-02'!$N$5</definedName>
    <definedName name="FundNumber" localSheetId="2">'GVFJ|0560-00'!$N$5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'GVFA|0550-01'!$C$11</definedName>
    <definedName name="Group_name" localSheetId="1">'GVFB|0550-02'!$C$11</definedName>
    <definedName name="Group_name" localSheetId="2">'GVFJ|0560-00'!$C$11</definedName>
    <definedName name="Group_name">'B6'!$C$11</definedName>
    <definedName name="GroupFxdBen" localSheetId="0">'GVFA|0550-01'!$H$11</definedName>
    <definedName name="GroupFxdBen" localSheetId="1">'GVFB|0550-02'!$H$11</definedName>
    <definedName name="GroupFxdBen" localSheetId="2">'GVFJ|0560-00'!$H$11</definedName>
    <definedName name="GroupFxdBen">'B6'!$H$11</definedName>
    <definedName name="GroupSalary" localSheetId="0">'GVFA|0550-01'!$G$11</definedName>
    <definedName name="GroupSalary" localSheetId="1">'GVFB|0550-02'!$G$11</definedName>
    <definedName name="GroupSalary" localSheetId="2">'GVFJ|0560-00'!$G$11</definedName>
    <definedName name="GroupSalary">'B6'!$G$11</definedName>
    <definedName name="GroupVarBen" localSheetId="0">'GVFA|0550-01'!$I$11</definedName>
    <definedName name="GroupVarBen" localSheetId="1">'GVFB|0550-02'!$I$11</definedName>
    <definedName name="GroupVarBen" localSheetId="2">'GVFJ|0560-00'!$I$11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FA055001col_1_27TH_PP">Data!$BA$78</definedName>
    <definedName name="GVFA055001col_DHR">Data!$BI$78</definedName>
    <definedName name="GVFA055001col_DHR_BY">Data!$BU$78</definedName>
    <definedName name="GVFA055001col_DHR_CHG">Data!$CG$78</definedName>
    <definedName name="GVFA055001col_FTI_SALARY_ELECT">Data!$AZ$78</definedName>
    <definedName name="GVFA055001col_FTI_SALARY_PERM">Data!$AY$78</definedName>
    <definedName name="GVFA055001col_FTI_SALARY_SSDI">Data!$AX$78</definedName>
    <definedName name="GVFA055001col_Group_Ben">Data!$CM$78</definedName>
    <definedName name="GVFA055001col_Group_Salary">Data!$CL$78</definedName>
    <definedName name="GVFA055001col_HEALTH_ELECT">Data!$BC$78</definedName>
    <definedName name="GVFA055001col_HEALTH_ELECT_BY">Data!$BO$78</definedName>
    <definedName name="GVFA055001col_HEALTH_ELECT_CHG">Data!$CA$78</definedName>
    <definedName name="GVFA055001col_HEALTH_PERM">Data!$BB$78</definedName>
    <definedName name="GVFA055001col_HEALTH_PERM_BY">Data!$BN$78</definedName>
    <definedName name="GVFA055001col_HEALTH_PERM_CHG">Data!$BZ$78</definedName>
    <definedName name="GVFA055001col_INC_FTI">Data!$AS$78</definedName>
    <definedName name="GVFA055001col_LIFE_INS">Data!$BG$78</definedName>
    <definedName name="GVFA055001col_LIFE_INS_BY">Data!$BS$78</definedName>
    <definedName name="GVFA055001col_LIFE_INS_CHG">Data!$CE$78</definedName>
    <definedName name="GVFA055001col_RETIREMENT">Data!$BF$78</definedName>
    <definedName name="GVFA055001col_RETIREMENT_BY">Data!$BR$78</definedName>
    <definedName name="GVFA055001col_RETIREMENT_CHG">Data!$CD$78</definedName>
    <definedName name="GVFA055001col_ROWS_PER_PCN">Data!$AW$78</definedName>
    <definedName name="GVFA055001col_SICK">Data!$BK$78</definedName>
    <definedName name="GVFA055001col_SICK_BY">Data!$BW$78</definedName>
    <definedName name="GVFA055001col_SICK_CHG">Data!$CI$78</definedName>
    <definedName name="GVFA055001col_SSDI">Data!$BD$78</definedName>
    <definedName name="GVFA055001col_SSDI_BY">Data!$BP$78</definedName>
    <definedName name="GVFA055001col_SSDI_CHG">Data!$CB$78</definedName>
    <definedName name="GVFA055001col_SSHI">Data!$BE$78</definedName>
    <definedName name="GVFA055001col_SSHI_BY">Data!$BQ$78</definedName>
    <definedName name="GVFA055001col_SSHI_CHGv">Data!$CC$78</definedName>
    <definedName name="GVFA055001col_TOT_VB_ELECT">Data!$BM$78</definedName>
    <definedName name="GVFA055001col_TOT_VB_ELECT_BY">Data!$BY$78</definedName>
    <definedName name="GVFA055001col_TOT_VB_ELECT_CHG">Data!$CK$78</definedName>
    <definedName name="GVFA055001col_TOT_VB_PERM">Data!$BL$78</definedName>
    <definedName name="GVFA055001col_TOT_VB_PERM_BY">Data!$BX$78</definedName>
    <definedName name="GVFA055001col_TOT_VB_PERM_CHG">Data!$CJ$78</definedName>
    <definedName name="GVFA055001col_TOTAL_ELECT_PCN_FTI">Data!$AT$78</definedName>
    <definedName name="GVFA055001col_TOTAL_ELECT_PCN_FTI_ALT">Data!$AV$78</definedName>
    <definedName name="GVFA055001col_TOTAL_PERM_PCN_FTI">Data!$AU$78</definedName>
    <definedName name="GVFA055001col_UNEMP_INS">Data!$BH$78</definedName>
    <definedName name="GVFA055001col_UNEMP_INS_BY">Data!$BT$78</definedName>
    <definedName name="GVFA055001col_UNEMP_INS_CHG">Data!$CF$78</definedName>
    <definedName name="GVFA055001col_WORKERS_COMP">Data!$BJ$78</definedName>
    <definedName name="GVFA055001col_WORKERS_COMP_BY">Data!$BV$78</definedName>
    <definedName name="GVFA055001col_WORKERS_COMP_CHG">Data!$CH$78</definedName>
    <definedName name="GVFB055002col_1_27TH_PP">Data!$BA$80</definedName>
    <definedName name="GVFB055002col_DHR">Data!$BI$80</definedName>
    <definedName name="GVFB055002col_DHR_BY">Data!$BU$80</definedName>
    <definedName name="GVFB055002col_DHR_CHG">Data!$CG$80</definedName>
    <definedName name="GVFB055002col_FTI_SALARY_ELECT">Data!$AZ$80</definedName>
    <definedName name="GVFB055002col_FTI_SALARY_PERM">Data!$AY$80</definedName>
    <definedName name="GVFB055002col_FTI_SALARY_SSDI">Data!$AX$80</definedName>
    <definedName name="GVFB055002col_Group_Ben">Data!$CM$80</definedName>
    <definedName name="GVFB055002col_Group_Salary">Data!$CL$80</definedName>
    <definedName name="GVFB055002col_HEALTH_ELECT">Data!$BC$80</definedName>
    <definedName name="GVFB055002col_HEALTH_ELECT_BY">Data!$BO$80</definedName>
    <definedName name="GVFB055002col_HEALTH_ELECT_CHG">Data!$CA$80</definedName>
    <definedName name="GVFB055002col_HEALTH_PERM">Data!$BB$80</definedName>
    <definedName name="GVFB055002col_HEALTH_PERM_BY">Data!$BN$80</definedName>
    <definedName name="GVFB055002col_HEALTH_PERM_CHG">Data!$BZ$80</definedName>
    <definedName name="GVFB055002col_INC_FTI">Data!$AS$80</definedName>
    <definedName name="GVFB055002col_LIFE_INS">Data!$BG$80</definedName>
    <definedName name="GVFB055002col_LIFE_INS_BY">Data!$BS$80</definedName>
    <definedName name="GVFB055002col_LIFE_INS_CHG">Data!$CE$80</definedName>
    <definedName name="GVFB055002col_RETIREMENT">Data!$BF$80</definedName>
    <definedName name="GVFB055002col_RETIREMENT_BY">Data!$BR$80</definedName>
    <definedName name="GVFB055002col_RETIREMENT_CHG">Data!$CD$80</definedName>
    <definedName name="GVFB055002col_ROWS_PER_PCN">Data!$AW$80</definedName>
    <definedName name="GVFB055002col_SICK">Data!$BK$80</definedName>
    <definedName name="GVFB055002col_SICK_BY">Data!$BW$80</definedName>
    <definedName name="GVFB055002col_SICK_CHG">Data!$CI$80</definedName>
    <definedName name="GVFB055002col_SSDI">Data!$BD$80</definedName>
    <definedName name="GVFB055002col_SSDI_BY">Data!$BP$80</definedName>
    <definedName name="GVFB055002col_SSDI_CHG">Data!$CB$80</definedName>
    <definedName name="GVFB055002col_SSHI">Data!$BE$80</definedName>
    <definedName name="GVFB055002col_SSHI_BY">Data!$BQ$80</definedName>
    <definedName name="GVFB055002col_SSHI_CHGv">Data!$CC$80</definedName>
    <definedName name="GVFB055002col_TOT_VB_ELECT">Data!$BM$80</definedName>
    <definedName name="GVFB055002col_TOT_VB_ELECT_BY">Data!$BY$80</definedName>
    <definedName name="GVFB055002col_TOT_VB_ELECT_CHG">Data!$CK$80</definedName>
    <definedName name="GVFB055002col_TOT_VB_PERM">Data!$BL$80</definedName>
    <definedName name="GVFB055002col_TOT_VB_PERM_BY">Data!$BX$80</definedName>
    <definedName name="GVFB055002col_TOT_VB_PERM_CHG">Data!$CJ$80</definedName>
    <definedName name="GVFB055002col_TOTAL_ELECT_PCN_FTI">Data!$AT$80</definedName>
    <definedName name="GVFB055002col_TOTAL_ELECT_PCN_FTI_ALT">Data!$AV$80</definedName>
    <definedName name="GVFB055002col_TOTAL_PERM_PCN_FTI">Data!$AU$80</definedName>
    <definedName name="GVFB055002col_UNEMP_INS">Data!$BH$80</definedName>
    <definedName name="GVFB055002col_UNEMP_INS_BY">Data!$BT$80</definedName>
    <definedName name="GVFB055002col_UNEMP_INS_CHG">Data!$CF$80</definedName>
    <definedName name="GVFB055002col_WORKERS_COMP">Data!$BJ$80</definedName>
    <definedName name="GVFB055002col_WORKERS_COMP_BY">Data!$BV$80</definedName>
    <definedName name="GVFB055002col_WORKERS_COMP_CHG">Data!$CH$80</definedName>
    <definedName name="GVFC055002col_1_27TH_PP">Data!$BA$82</definedName>
    <definedName name="GVFC055002col_DHR">Data!$BI$82</definedName>
    <definedName name="GVFC055002col_DHR_BY">Data!$BU$82</definedName>
    <definedName name="GVFC055002col_DHR_CHG">Data!$CG$82</definedName>
    <definedName name="GVFC055002col_FTI_SALARY_ELECT">Data!$AZ$82</definedName>
    <definedName name="GVFC055002col_FTI_SALARY_PERM">Data!$AY$82</definedName>
    <definedName name="GVFC055002col_FTI_SALARY_SSDI">Data!$AX$82</definedName>
    <definedName name="GVFC055002col_Group_Ben">Data!$CM$82</definedName>
    <definedName name="GVFC055002col_Group_Salary">Data!$CL$82</definedName>
    <definedName name="GVFC055002col_HEALTH_ELECT">Data!$BC$82</definedName>
    <definedName name="GVFC055002col_HEALTH_ELECT_BY">Data!$BO$82</definedName>
    <definedName name="GVFC055002col_HEALTH_ELECT_CHG">Data!$CA$82</definedName>
    <definedName name="GVFC055002col_HEALTH_PERM">Data!$BB$82</definedName>
    <definedName name="GVFC055002col_HEALTH_PERM_BY">Data!$BN$82</definedName>
    <definedName name="GVFC055002col_HEALTH_PERM_CHG">Data!$BZ$82</definedName>
    <definedName name="GVFC055002col_INC_FTI">Data!$AS$82</definedName>
    <definedName name="GVFC055002col_LIFE_INS">Data!$BG$82</definedName>
    <definedName name="GVFC055002col_LIFE_INS_BY">Data!$BS$82</definedName>
    <definedName name="GVFC055002col_LIFE_INS_CHG">Data!$CE$82</definedName>
    <definedName name="GVFC055002col_RETIREMENT">Data!$BF$82</definedName>
    <definedName name="GVFC055002col_RETIREMENT_BY">Data!$BR$82</definedName>
    <definedName name="GVFC055002col_RETIREMENT_CHG">Data!$CD$82</definedName>
    <definedName name="GVFC055002col_ROWS_PER_PCN">Data!$AW$82</definedName>
    <definedName name="GVFC055002col_SICK">Data!$BK$82</definedName>
    <definedName name="GVFC055002col_SICK_BY">Data!$BW$82</definedName>
    <definedName name="GVFC055002col_SICK_CHG">Data!$CI$82</definedName>
    <definedName name="GVFC055002col_SSDI">Data!$BD$82</definedName>
    <definedName name="GVFC055002col_SSDI_BY">Data!$BP$82</definedName>
    <definedName name="GVFC055002col_SSDI_CHG">Data!$CB$82</definedName>
    <definedName name="GVFC055002col_SSHI">Data!$BE$82</definedName>
    <definedName name="GVFC055002col_SSHI_BY">Data!$BQ$82</definedName>
    <definedName name="GVFC055002col_SSHI_CHGv">Data!$CC$82</definedName>
    <definedName name="GVFC055002col_TOT_VB_ELECT">Data!$BM$82</definedName>
    <definedName name="GVFC055002col_TOT_VB_ELECT_BY">Data!$BY$82</definedName>
    <definedName name="GVFC055002col_TOT_VB_ELECT_CHG">Data!$CK$82</definedName>
    <definedName name="GVFC055002col_TOT_VB_PERM">Data!$BL$82</definedName>
    <definedName name="GVFC055002col_TOT_VB_PERM_BY">Data!$BX$82</definedName>
    <definedName name="GVFC055002col_TOT_VB_PERM_CHG">Data!$CJ$82</definedName>
    <definedName name="GVFC055002col_TOTAL_ELECT_PCN_FTI">Data!$AT$82</definedName>
    <definedName name="GVFC055002col_TOTAL_ELECT_PCN_FTI_ALT">Data!$AV$82</definedName>
    <definedName name="GVFC055002col_TOTAL_PERM_PCN_FTI">Data!$AU$82</definedName>
    <definedName name="GVFC055002col_UNEMP_INS">Data!$BH$82</definedName>
    <definedName name="GVFC055002col_UNEMP_INS_BY">Data!$BT$82</definedName>
    <definedName name="GVFC055002col_UNEMP_INS_CHG">Data!$CF$82</definedName>
    <definedName name="GVFC055002col_WORKERS_COMP">Data!$BJ$82</definedName>
    <definedName name="GVFC055002col_WORKERS_COMP_BY">Data!$BV$82</definedName>
    <definedName name="GVFC055002col_WORKERS_COMP_CHG">Data!$CH$82</definedName>
    <definedName name="GVFE056000col_1_27TH_PP">Data!$BA$84</definedName>
    <definedName name="GVFE056000col_DHR">Data!$BI$84</definedName>
    <definedName name="GVFE056000col_DHR_BY">Data!$BU$84</definedName>
    <definedName name="GVFE056000col_DHR_CHG">Data!$CG$84</definedName>
    <definedName name="GVFE056000col_FTI_SALARY_ELECT">Data!$AZ$84</definedName>
    <definedName name="GVFE056000col_FTI_SALARY_PERM">Data!$AY$84</definedName>
    <definedName name="GVFE056000col_FTI_SALARY_SSDI">Data!$AX$84</definedName>
    <definedName name="GVFE056000col_Group_Ben">Data!$CM$84</definedName>
    <definedName name="GVFE056000col_Group_Salary">Data!$CL$84</definedName>
    <definedName name="GVFE056000col_HEALTH_ELECT">Data!$BC$84</definedName>
    <definedName name="GVFE056000col_HEALTH_ELECT_BY">Data!$BO$84</definedName>
    <definedName name="GVFE056000col_HEALTH_ELECT_CHG">Data!$CA$84</definedName>
    <definedName name="GVFE056000col_HEALTH_PERM">Data!$BB$84</definedName>
    <definedName name="GVFE056000col_HEALTH_PERM_BY">Data!$BN$84</definedName>
    <definedName name="GVFE056000col_HEALTH_PERM_CHG">Data!$BZ$84</definedName>
    <definedName name="GVFE056000col_INC_FTI">Data!$AS$84</definedName>
    <definedName name="GVFE056000col_LIFE_INS">Data!$BG$84</definedName>
    <definedName name="GVFE056000col_LIFE_INS_BY">Data!$BS$84</definedName>
    <definedName name="GVFE056000col_LIFE_INS_CHG">Data!$CE$84</definedName>
    <definedName name="GVFE056000col_RETIREMENT">Data!$BF$84</definedName>
    <definedName name="GVFE056000col_RETIREMENT_BY">Data!$BR$84</definedName>
    <definedName name="GVFE056000col_RETIREMENT_CHG">Data!$CD$84</definedName>
    <definedName name="GVFE056000col_ROWS_PER_PCN">Data!$AW$84</definedName>
    <definedName name="GVFE056000col_SICK">Data!$BK$84</definedName>
    <definedName name="GVFE056000col_SICK_BY">Data!$BW$84</definedName>
    <definedName name="GVFE056000col_SICK_CHG">Data!$CI$84</definedName>
    <definedName name="GVFE056000col_SSDI">Data!$BD$84</definedName>
    <definedName name="GVFE056000col_SSDI_BY">Data!$BP$84</definedName>
    <definedName name="GVFE056000col_SSDI_CHG">Data!$CB$84</definedName>
    <definedName name="GVFE056000col_SSHI">Data!$BE$84</definedName>
    <definedName name="GVFE056000col_SSHI_BY">Data!$BQ$84</definedName>
    <definedName name="GVFE056000col_SSHI_CHGv">Data!$CC$84</definedName>
    <definedName name="GVFE056000col_TOT_VB_ELECT">Data!$BM$84</definedName>
    <definedName name="GVFE056000col_TOT_VB_ELECT_BY">Data!$BY$84</definedName>
    <definedName name="GVFE056000col_TOT_VB_ELECT_CHG">Data!$CK$84</definedName>
    <definedName name="GVFE056000col_TOT_VB_PERM">Data!$BL$84</definedName>
    <definedName name="GVFE056000col_TOT_VB_PERM_BY">Data!$BX$84</definedName>
    <definedName name="GVFE056000col_TOT_VB_PERM_CHG">Data!$CJ$84</definedName>
    <definedName name="GVFE056000col_TOTAL_ELECT_PCN_FTI">Data!$AT$84</definedName>
    <definedName name="GVFE056000col_TOTAL_ELECT_PCN_FTI_ALT">Data!$AV$84</definedName>
    <definedName name="GVFE056000col_TOTAL_PERM_PCN_FTI">Data!$AU$84</definedName>
    <definedName name="GVFE056000col_UNEMP_INS">Data!$BH$84</definedName>
    <definedName name="GVFE056000col_UNEMP_INS_BY">Data!$BT$84</definedName>
    <definedName name="GVFE056000col_UNEMP_INS_CHG">Data!$CF$84</definedName>
    <definedName name="GVFE056000col_WORKERS_COMP">Data!$BJ$84</definedName>
    <definedName name="GVFE056000col_WORKERS_COMP_BY">Data!$BV$84</definedName>
    <definedName name="GVFE056000col_WORKERS_COMP_CHG">Data!$CH$84</definedName>
    <definedName name="GVFJ056000col_1_27TH_PP">Data!$BA$86</definedName>
    <definedName name="GVFJ056000col_DHR">Data!$BI$86</definedName>
    <definedName name="GVFJ056000col_DHR_BY">Data!$BU$86</definedName>
    <definedName name="GVFJ056000col_DHR_CHG">Data!$CG$86</definedName>
    <definedName name="GVFJ056000col_FTI_SALARY_ELECT">Data!$AZ$86</definedName>
    <definedName name="GVFJ056000col_FTI_SALARY_PERM">Data!$AY$86</definedName>
    <definedName name="GVFJ056000col_FTI_SALARY_SSDI">Data!$AX$86</definedName>
    <definedName name="GVFJ056000col_Group_Ben">Data!$CM$86</definedName>
    <definedName name="GVFJ056000col_Group_Salary">Data!$CL$86</definedName>
    <definedName name="GVFJ056000col_HEALTH_ELECT">Data!$BC$86</definedName>
    <definedName name="GVFJ056000col_HEALTH_ELECT_BY">Data!$BO$86</definedName>
    <definedName name="GVFJ056000col_HEALTH_ELECT_CHG">Data!$CA$86</definedName>
    <definedName name="GVFJ056000col_HEALTH_PERM">Data!$BB$86</definedName>
    <definedName name="GVFJ056000col_HEALTH_PERM_BY">Data!$BN$86</definedName>
    <definedName name="GVFJ056000col_HEALTH_PERM_CHG">Data!$BZ$86</definedName>
    <definedName name="GVFJ056000col_INC_FTI">Data!$AS$86</definedName>
    <definedName name="GVFJ056000col_LIFE_INS">Data!$BG$86</definedName>
    <definedName name="GVFJ056000col_LIFE_INS_BY">Data!$BS$86</definedName>
    <definedName name="GVFJ056000col_LIFE_INS_CHG">Data!$CE$86</definedName>
    <definedName name="GVFJ056000col_RETIREMENT">Data!$BF$86</definedName>
    <definedName name="GVFJ056000col_RETIREMENT_BY">Data!$BR$86</definedName>
    <definedName name="GVFJ056000col_RETIREMENT_CHG">Data!$CD$86</definedName>
    <definedName name="GVFJ056000col_ROWS_PER_PCN">Data!$AW$86</definedName>
    <definedName name="GVFJ056000col_SICK">Data!$BK$86</definedName>
    <definedName name="GVFJ056000col_SICK_BY">Data!$BW$86</definedName>
    <definedName name="GVFJ056000col_SICK_CHG">Data!$CI$86</definedName>
    <definedName name="GVFJ056000col_SSDI">Data!$BD$86</definedName>
    <definedName name="GVFJ056000col_SSDI_BY">Data!$BP$86</definedName>
    <definedName name="GVFJ056000col_SSDI_CHG">Data!$CB$86</definedName>
    <definedName name="GVFJ056000col_SSHI">Data!$BE$86</definedName>
    <definedName name="GVFJ056000col_SSHI_BY">Data!$BQ$86</definedName>
    <definedName name="GVFJ056000col_SSHI_CHGv">Data!$CC$86</definedName>
    <definedName name="GVFJ056000col_TOT_VB_ELECT">Data!$BM$86</definedName>
    <definedName name="GVFJ056000col_TOT_VB_ELECT_BY">Data!$BY$86</definedName>
    <definedName name="GVFJ056000col_TOT_VB_ELECT_CHG">Data!$CK$86</definedName>
    <definedName name="GVFJ056000col_TOT_VB_PERM">Data!$BL$86</definedName>
    <definedName name="GVFJ056000col_TOT_VB_PERM_BY">Data!$BX$86</definedName>
    <definedName name="GVFJ056000col_TOT_VB_PERM_CHG">Data!$CJ$86</definedName>
    <definedName name="GVFJ056000col_TOTAL_ELECT_PCN_FTI">Data!$AT$86</definedName>
    <definedName name="GVFJ056000col_TOTAL_ELECT_PCN_FTI_ALT">Data!$AV$86</definedName>
    <definedName name="GVFJ056000col_TOTAL_PERM_PCN_FTI">Data!$AU$86</definedName>
    <definedName name="GVFJ056000col_UNEMP_INS">Data!$BH$86</definedName>
    <definedName name="GVFJ056000col_UNEMP_INS_BY">Data!$BT$86</definedName>
    <definedName name="GVFJ056000col_UNEMP_INS_CHG">Data!$CF$86</definedName>
    <definedName name="GVFJ056000col_WORKERS_COMP">Data!$BJ$86</definedName>
    <definedName name="GVFJ056000col_WORKERS_COMP_BY">Data!$BV$86</definedName>
    <definedName name="GVFJ056000col_WORKERS_COMP_CHG">Data!$CH$86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'GVFA|0550-01'!$M$2</definedName>
    <definedName name="LUMAFund" localSheetId="1">'GVFB|0550-02'!$M$2</definedName>
    <definedName name="LUMAFund" localSheetId="2">'GVFJ|0560-00'!$M$2</definedName>
    <definedName name="LUMAFund">'B6'!$M$2</definedName>
    <definedName name="MAXSSDI">Benefits!$F$5</definedName>
    <definedName name="MAXSSDIBY">Benefits!$G$5</definedName>
    <definedName name="NEW_AdjGroup" localSheetId="0">'GVFA|0550-01'!$AC$39</definedName>
    <definedName name="NEW_AdjGroup" localSheetId="1">'GVFB|0550-02'!$AC$39</definedName>
    <definedName name="NEW_AdjGroup" localSheetId="2">'GVFJ|0560-00'!$AC$39</definedName>
    <definedName name="NEW_AdjGroup">'B6'!$AC$39</definedName>
    <definedName name="NEW_AdjGroupSalary" localSheetId="0">'GVFA|0550-01'!$AA$39</definedName>
    <definedName name="NEW_AdjGroupSalary" localSheetId="1">'GVFB|0550-02'!$AA$39</definedName>
    <definedName name="NEW_AdjGroupSalary" localSheetId="2">'GVFJ|0560-00'!$AA$39</definedName>
    <definedName name="NEW_AdjGroupSalary">'B6'!$AA$39</definedName>
    <definedName name="NEW_AdjGroupVB" localSheetId="0">'GVFA|0550-01'!$AB$39</definedName>
    <definedName name="NEW_AdjGroupVB" localSheetId="1">'GVFB|0550-02'!$AB$39</definedName>
    <definedName name="NEW_AdjGroupVB" localSheetId="2">'GVFJ|0560-00'!$AB$39</definedName>
    <definedName name="NEW_AdjGroupVB">'B6'!$AB$39</definedName>
    <definedName name="NEW_AdjONLYGroup" localSheetId="0">'GVFA|0550-01'!$AC$45</definedName>
    <definedName name="NEW_AdjONLYGroup" localSheetId="1">'GVFB|0550-02'!$AC$45</definedName>
    <definedName name="NEW_AdjONLYGroup" localSheetId="2">'GVFJ|0560-00'!$AC$45</definedName>
    <definedName name="NEW_AdjONLYGroup">'B6'!$AC$45</definedName>
    <definedName name="NEW_AdjONLYGroupSalary" localSheetId="0">'GVFA|0550-01'!$AA$45</definedName>
    <definedName name="NEW_AdjONLYGroupSalary" localSheetId="1">'GVFB|0550-02'!$AA$45</definedName>
    <definedName name="NEW_AdjONLYGroupSalary" localSheetId="2">'GVFJ|0560-00'!$AA$45</definedName>
    <definedName name="NEW_AdjONLYGroupSalary">'B6'!$AA$45</definedName>
    <definedName name="NEW_AdjONLYGroupVB" localSheetId="0">'GVFA|0550-01'!$AB$45</definedName>
    <definedName name="NEW_AdjONLYGroupVB" localSheetId="1">'GVFB|0550-02'!$AB$45</definedName>
    <definedName name="NEW_AdjONLYGroupVB" localSheetId="2">'GVFJ|0560-00'!$AB$45</definedName>
    <definedName name="NEW_AdjONLYGroupVB">'B6'!$AB$45</definedName>
    <definedName name="NEW_AdjONLYPerm" localSheetId="0">'GVFA|0550-01'!$AC$44</definedName>
    <definedName name="NEW_AdjONLYPerm" localSheetId="1">'GVFB|0550-02'!$AC$44</definedName>
    <definedName name="NEW_AdjONLYPerm" localSheetId="2">'GVFJ|0560-00'!$AC$44</definedName>
    <definedName name="NEW_AdjONLYPerm">'B6'!$AC$44</definedName>
    <definedName name="NEW_AdjONLYPermSalary" localSheetId="0">'GVFA|0550-01'!$AA$44</definedName>
    <definedName name="NEW_AdjONLYPermSalary" localSheetId="1">'GVFB|0550-02'!$AA$44</definedName>
    <definedName name="NEW_AdjONLYPermSalary" localSheetId="2">'GVFJ|0560-00'!$AA$44</definedName>
    <definedName name="NEW_AdjONLYPermSalary">'B6'!$AA$44</definedName>
    <definedName name="NEW_AdjONLYPermVB" localSheetId="0">'GVFA|0550-01'!$AB$44</definedName>
    <definedName name="NEW_AdjONLYPermVB" localSheetId="1">'GVFB|0550-02'!$AB$44</definedName>
    <definedName name="NEW_AdjONLYPermVB" localSheetId="2">'GVFJ|0560-00'!$AB$44</definedName>
    <definedName name="NEW_AdjONLYPermVB">'B6'!$AB$44</definedName>
    <definedName name="NEW_AdjPerm" localSheetId="0">'GVFA|0550-01'!$AC$38</definedName>
    <definedName name="NEW_AdjPerm" localSheetId="1">'GVFB|0550-02'!$AC$38</definedName>
    <definedName name="NEW_AdjPerm" localSheetId="2">'GVFJ|0560-00'!$AC$38</definedName>
    <definedName name="NEW_AdjPerm">'B6'!$AC$38</definedName>
    <definedName name="NEW_AdjPermSalary" localSheetId="0">'GVFA|0550-01'!$AA$38</definedName>
    <definedName name="NEW_AdjPermSalary" localSheetId="1">'GVFB|0550-02'!$AA$38</definedName>
    <definedName name="NEW_AdjPermSalary" localSheetId="2">'GVFJ|0560-00'!$AA$38</definedName>
    <definedName name="NEW_AdjPermSalary">'B6'!$AA$38</definedName>
    <definedName name="NEW_AdjPermVB" localSheetId="0">'GVFA|0550-01'!$AB$38</definedName>
    <definedName name="NEW_AdjPermVB" localSheetId="1">'GVFB|0550-02'!$AB$38</definedName>
    <definedName name="NEW_AdjPermVB" localSheetId="2">'GVFJ|0560-00'!$AB$38</definedName>
    <definedName name="NEW_AdjPermVB">'B6'!$AB$38</definedName>
    <definedName name="NEW_GroupFilled" localSheetId="0">'GVFA|0550-01'!$AC$11</definedName>
    <definedName name="NEW_GroupFilled" localSheetId="1">'GVFB|0550-02'!$AC$11</definedName>
    <definedName name="NEW_GroupFilled" localSheetId="2">'GVFJ|0560-00'!$AC$11</definedName>
    <definedName name="NEW_GroupFilled">'B6'!$AC$11</definedName>
    <definedName name="NEW_GroupSalaryFilled" localSheetId="0">'GVFA|0550-01'!$AA$11</definedName>
    <definedName name="NEW_GroupSalaryFilled" localSheetId="1">'GVFB|0550-02'!$AA$11</definedName>
    <definedName name="NEW_GroupSalaryFilled" localSheetId="2">'GVFJ|0560-00'!$AA$11</definedName>
    <definedName name="NEW_GroupSalaryFilled">'B6'!$AA$11</definedName>
    <definedName name="NEW_GroupVBFilled" localSheetId="0">'GVFA|0550-01'!$AB$11</definedName>
    <definedName name="NEW_GroupVBFilled" localSheetId="1">'GVFB|0550-02'!$AB$11</definedName>
    <definedName name="NEW_GroupVBFilled" localSheetId="2">'GVFJ|0560-00'!$AB$11</definedName>
    <definedName name="NEW_GroupVBFilled">'B6'!$AB$11</definedName>
    <definedName name="NEW_PermFilled" localSheetId="0">'GVFA|0550-01'!$AC$10</definedName>
    <definedName name="NEW_PermFilled" localSheetId="1">'GVFB|0550-02'!$AC$10</definedName>
    <definedName name="NEW_PermFilled" localSheetId="2">'GVFJ|0560-00'!$AC$10</definedName>
    <definedName name="NEW_PermFilled">'B6'!$AC$10</definedName>
    <definedName name="NEW_PermSalaryFilled" localSheetId="0">'GVFA|0550-01'!$AA$10</definedName>
    <definedName name="NEW_PermSalaryFilled" localSheetId="1">'GVFB|0550-02'!$AA$10</definedName>
    <definedName name="NEW_PermSalaryFilled" localSheetId="2">'GVFJ|0560-00'!$AA$10</definedName>
    <definedName name="NEW_PermSalaryFilled">'B6'!$AA$10</definedName>
    <definedName name="NEW_PermVBFilled" localSheetId="0">'GVFA|0550-01'!$AB$10</definedName>
    <definedName name="NEW_PermVBFilled" localSheetId="1">'GVFB|0550-02'!$AB$10</definedName>
    <definedName name="NEW_PermVBFilled" localSheetId="2">'GVFJ|0560-00'!$AB$10</definedName>
    <definedName name="NEW_PermVBFilled">'B6'!$AB$10</definedName>
    <definedName name="OneTimePC_Total" localSheetId="0">'GVFA|0550-01'!$J$63</definedName>
    <definedName name="OneTimePC_Total" localSheetId="1">'GVFB|0550-02'!$J$63</definedName>
    <definedName name="OneTimePC_Total" localSheetId="2">'GVFJ|0560-00'!$J$63</definedName>
    <definedName name="OneTimePC_Total">'B6'!$J$63</definedName>
    <definedName name="OrigApprop" localSheetId="0">'GVFA|0550-01'!$E$15</definedName>
    <definedName name="OrigApprop" localSheetId="1">'GVFB|0550-02'!$E$15</definedName>
    <definedName name="OrigApprop" localSheetId="2">'GVFJ|0560-00'!$E$15</definedName>
    <definedName name="OrigApprop">'B6'!$E$15</definedName>
    <definedName name="perm_name" localSheetId="0">'GVFA|0550-01'!$C$10</definedName>
    <definedName name="perm_name" localSheetId="1">'GVFB|0550-02'!$C$10</definedName>
    <definedName name="perm_name" localSheetId="2">'GVFJ|0560-00'!$C$10</definedName>
    <definedName name="perm_name">'B6'!$C$10</definedName>
    <definedName name="PermFTP" localSheetId="0">'GVFA|0550-01'!$F$10</definedName>
    <definedName name="PermFTP" localSheetId="1">'GVFB|0550-02'!$F$10</definedName>
    <definedName name="PermFTP" localSheetId="2">'GVFJ|0560-00'!$F$10</definedName>
    <definedName name="PermFTP">'B6'!$F$10</definedName>
    <definedName name="PermFxdBen" localSheetId="0">'GVFA|0550-01'!$H$10</definedName>
    <definedName name="PermFxdBen" localSheetId="1">'GVFB|0550-02'!$H$10</definedName>
    <definedName name="PermFxdBen" localSheetId="2">'GVFJ|0560-00'!$H$10</definedName>
    <definedName name="PermFxdBen">'B6'!$H$10</definedName>
    <definedName name="PermFxdBenChg" localSheetId="0">'GVFA|0550-01'!$L$10</definedName>
    <definedName name="PermFxdBenChg" localSheetId="1">'GVFB|0550-02'!$L$10</definedName>
    <definedName name="PermFxdBenChg" localSheetId="2">'GVFJ|0560-00'!$L$10</definedName>
    <definedName name="PermFxdBenChg">'B6'!$L$10</definedName>
    <definedName name="PermFxdChg" localSheetId="0">'GVFA|0550-01'!$L$10</definedName>
    <definedName name="PermFxdChg" localSheetId="1">'GVFB|0550-02'!$L$10</definedName>
    <definedName name="PermFxdChg" localSheetId="2">'GVFJ|0560-00'!$L$10</definedName>
    <definedName name="PermFxdChg">'B6'!$L$10</definedName>
    <definedName name="PermSalary" localSheetId="0">'GVFA|0550-01'!$G$10</definedName>
    <definedName name="PermSalary" localSheetId="1">'GVFB|0550-02'!$G$10</definedName>
    <definedName name="PermSalary" localSheetId="2">'GVFJ|0560-00'!$G$10</definedName>
    <definedName name="PermSalary">'B6'!$G$10</definedName>
    <definedName name="PermVarBen" localSheetId="0">'GVFA|0550-01'!$I$10</definedName>
    <definedName name="PermVarBen" localSheetId="1">'GVFB|0550-02'!$I$10</definedName>
    <definedName name="PermVarBen" localSheetId="2">'GVFJ|0560-00'!$I$10</definedName>
    <definedName name="PermVarBen">'B6'!$I$10</definedName>
    <definedName name="PermVarBenChg" localSheetId="0">'GVFA|0550-01'!$M$10</definedName>
    <definedName name="PermVarBenChg" localSheetId="1">'GVFB|0550-02'!$M$10</definedName>
    <definedName name="PermVarBenChg" localSheetId="2">'GVFJ|0560-00'!$M$10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'GVFA|0550-01'!$A$1:$N$81</definedName>
    <definedName name="_xlnm.Print_Area" localSheetId="1">'GVFB|0550-02'!$A$1:$N$81</definedName>
    <definedName name="_xlnm.Print_Area" localSheetId="2">'GVFJ|0560-00'!$A$1:$N$81</definedName>
    <definedName name="Prog_Unadjusted_Total" localSheetId="0">'GVFA|0550-01'!$C$8:$N$16</definedName>
    <definedName name="Prog_Unadjusted_Total" localSheetId="1">'GVFB|0550-02'!$C$8:$N$16</definedName>
    <definedName name="Prog_Unadjusted_Total" localSheetId="2">'GVFJ|0560-00'!$C$8:$N$16</definedName>
    <definedName name="Prog_Unadjusted_Total">'B6'!$C$8:$N$16</definedName>
    <definedName name="Program" localSheetId="0">'GVFA|0550-01'!$D$3</definedName>
    <definedName name="Program" localSheetId="1">'GVFB|0550-02'!$D$3</definedName>
    <definedName name="Program" localSheetId="2">'GVFJ|0560-00'!$D$3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'GVFA|0550-01'!$G$52</definedName>
    <definedName name="RoundedAppropSalary" localSheetId="1">'GVFB|0550-02'!$G$52</definedName>
    <definedName name="RoundedAppropSalary" localSheetId="2">'GVFJ|0560-00'!$G$52</definedName>
    <definedName name="RoundedAppropSalary">'B6'!$G$52</definedName>
    <definedName name="SalaryChg" localSheetId="0">'GVFA|0550-01'!$K$10</definedName>
    <definedName name="SalaryChg" localSheetId="1">'GVFB|0550-02'!$K$10</definedName>
    <definedName name="SalaryChg" localSheetId="2">'GVFJ|0560-00'!$K$10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'GVFA|0550-01'!#REF!</definedName>
    <definedName name="SubCECBase" localSheetId="1">'GVFB|0550-02'!#REF!</definedName>
    <definedName name="SubCECBase" localSheetId="2">'GVFJ|0560-00'!#REF!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2" l="1"/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K22" i="11"/>
  <c r="L22" i="11"/>
  <c r="AZ108" i="5"/>
  <c r="AY108" i="5"/>
  <c r="AW108" i="5"/>
  <c r="AV108" i="5"/>
  <c r="AU108" i="5"/>
  <c r="AT108" i="5"/>
  <c r="AS108" i="5"/>
  <c r="BA106" i="5"/>
  <c r="AZ106" i="5"/>
  <c r="AY106" i="5"/>
  <c r="AX106" i="5"/>
  <c r="AW106" i="5"/>
  <c r="AV106" i="5"/>
  <c r="AU106" i="5"/>
  <c r="AT106" i="5"/>
  <c r="AS106" i="5"/>
  <c r="AZ100" i="5"/>
  <c r="AY100" i="5"/>
  <c r="AW100" i="5"/>
  <c r="AV100" i="5"/>
  <c r="AU100" i="5"/>
  <c r="AT100" i="5"/>
  <c r="AS100" i="5"/>
  <c r="AW104" i="5"/>
  <c r="AZ104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F52" i="16" s="1"/>
  <c r="F56" i="16" s="1"/>
  <c r="F60" i="16" s="1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N32" i="16" s="1"/>
  <c r="L32" i="16"/>
  <c r="J32" i="16"/>
  <c r="I32" i="16"/>
  <c r="H32" i="16"/>
  <c r="M30" i="16"/>
  <c r="L30" i="16"/>
  <c r="J30" i="16"/>
  <c r="I30" i="16"/>
  <c r="H30" i="16"/>
  <c r="M29" i="16"/>
  <c r="L29" i="16"/>
  <c r="N29" i="16" s="1"/>
  <c r="J29" i="16"/>
  <c r="I29" i="16"/>
  <c r="H29" i="16"/>
  <c r="M28" i="16"/>
  <c r="L28" i="16"/>
  <c r="J28" i="16"/>
  <c r="I28" i="16"/>
  <c r="H28" i="16"/>
  <c r="M27" i="16"/>
  <c r="N27" i="16" s="1"/>
  <c r="L27" i="16"/>
  <c r="J27" i="16"/>
  <c r="I27" i="16"/>
  <c r="H27" i="16"/>
  <c r="M26" i="16"/>
  <c r="L26" i="16"/>
  <c r="J26" i="16"/>
  <c r="I26" i="16"/>
  <c r="H26" i="16"/>
  <c r="M25" i="16"/>
  <c r="L25" i="16"/>
  <c r="N25" i="16" s="1"/>
  <c r="J25" i="16"/>
  <c r="I25" i="16"/>
  <c r="H25" i="16"/>
  <c r="M24" i="16"/>
  <c r="L24" i="16"/>
  <c r="J24" i="16"/>
  <c r="I24" i="16"/>
  <c r="H24" i="16"/>
  <c r="M23" i="16"/>
  <c r="N23" i="16" s="1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M83" i="5"/>
  <c r="CM84" i="5" s="1"/>
  <c r="CL83" i="5"/>
  <c r="CL84" i="5" s="1"/>
  <c r="CK83" i="5"/>
  <c r="CK84" i="5" s="1"/>
  <c r="K39" i="10" s="1"/>
  <c r="CJ83" i="5"/>
  <c r="CJ84" i="5" s="1"/>
  <c r="CI83" i="5"/>
  <c r="CI84" i="5" s="1"/>
  <c r="CH83" i="5"/>
  <c r="CH84" i="5" s="1"/>
  <c r="CG83" i="5"/>
  <c r="CG84" i="5" s="1"/>
  <c r="CF83" i="5"/>
  <c r="CF84" i="5" s="1"/>
  <c r="CE83" i="5"/>
  <c r="CE84" i="5" s="1"/>
  <c r="CD83" i="5"/>
  <c r="CD84" i="5" s="1"/>
  <c r="CC83" i="5"/>
  <c r="CC84" i="5" s="1"/>
  <c r="CB83" i="5"/>
  <c r="CB84" i="5" s="1"/>
  <c r="CA83" i="5"/>
  <c r="CA84" i="5" s="1"/>
  <c r="J39" i="10" s="1"/>
  <c r="BZ83" i="5"/>
  <c r="BZ84" i="5" s="1"/>
  <c r="BY83" i="5"/>
  <c r="BY84" i="5" s="1"/>
  <c r="BX83" i="5"/>
  <c r="BX84" i="5" s="1"/>
  <c r="BW83" i="5"/>
  <c r="BW84" i="5" s="1"/>
  <c r="BV83" i="5"/>
  <c r="BV84" i="5" s="1"/>
  <c r="BU83" i="5"/>
  <c r="BU84" i="5" s="1"/>
  <c r="BT83" i="5"/>
  <c r="BT84" i="5" s="1"/>
  <c r="BS83" i="5"/>
  <c r="BS84" i="5" s="1"/>
  <c r="BR83" i="5"/>
  <c r="BR84" i="5" s="1"/>
  <c r="BQ83" i="5"/>
  <c r="BQ84" i="5" s="1"/>
  <c r="BP83" i="5"/>
  <c r="BP84" i="5" s="1"/>
  <c r="BO83" i="5"/>
  <c r="BO84" i="5" s="1"/>
  <c r="BN83" i="5"/>
  <c r="BN84" i="5" s="1"/>
  <c r="BM83" i="5"/>
  <c r="BM84" i="5" s="1"/>
  <c r="G39" i="10" s="1"/>
  <c r="BL83" i="5"/>
  <c r="BL84" i="5" s="1"/>
  <c r="BK83" i="5"/>
  <c r="BK84" i="5" s="1"/>
  <c r="BJ83" i="5"/>
  <c r="BJ84" i="5" s="1"/>
  <c r="BI83" i="5"/>
  <c r="BI84" i="5" s="1"/>
  <c r="BH83" i="5"/>
  <c r="BH84" i="5" s="1"/>
  <c r="BG83" i="5"/>
  <c r="BG84" i="5" s="1"/>
  <c r="BF83" i="5"/>
  <c r="BF84" i="5" s="1"/>
  <c r="BE83" i="5"/>
  <c r="BE84" i="5" s="1"/>
  <c r="BD83" i="5"/>
  <c r="BD84" i="5" s="1"/>
  <c r="BC83" i="5"/>
  <c r="BC84" i="5" s="1"/>
  <c r="BB83" i="5"/>
  <c r="BB84" i="5" s="1"/>
  <c r="BA83" i="5"/>
  <c r="BA84" i="5" s="1"/>
  <c r="AZ83" i="5"/>
  <c r="AZ84" i="5" s="1"/>
  <c r="AY83" i="5"/>
  <c r="AY84" i="5" s="1"/>
  <c r="AX83" i="5"/>
  <c r="AX84" i="5" s="1"/>
  <c r="AW83" i="5"/>
  <c r="AW84" i="5" s="1"/>
  <c r="AV83" i="5"/>
  <c r="AV84" i="5" s="1"/>
  <c r="AU83" i="5"/>
  <c r="AU84" i="5" s="1"/>
  <c r="AT83" i="5"/>
  <c r="AT84" i="5" s="1"/>
  <c r="AS83" i="5"/>
  <c r="AS84" i="5" s="1"/>
  <c r="A31" i="10"/>
  <c r="K24" i="10"/>
  <c r="J24" i="10"/>
  <c r="I24" i="10"/>
  <c r="H24" i="10"/>
  <c r="G24" i="10"/>
  <c r="F24" i="10"/>
  <c r="E24" i="10"/>
  <c r="CM81" i="5"/>
  <c r="CM82" i="5" s="1"/>
  <c r="CL81" i="5"/>
  <c r="CL82" i="5" s="1"/>
  <c r="CK81" i="5"/>
  <c r="CK82" i="5" s="1"/>
  <c r="CJ81" i="5"/>
  <c r="CJ82" i="5" s="1"/>
  <c r="CI81" i="5"/>
  <c r="CI82" i="5" s="1"/>
  <c r="CH81" i="5"/>
  <c r="CH82" i="5" s="1"/>
  <c r="CG81" i="5"/>
  <c r="CG82" i="5" s="1"/>
  <c r="CF81" i="5"/>
  <c r="CF82" i="5" s="1"/>
  <c r="CE81" i="5"/>
  <c r="CE82" i="5" s="1"/>
  <c r="CD81" i="5"/>
  <c r="CD82" i="5" s="1"/>
  <c r="CC81" i="5"/>
  <c r="CC82" i="5" s="1"/>
  <c r="CB81" i="5"/>
  <c r="CB82" i="5" s="1"/>
  <c r="CA81" i="5"/>
  <c r="CA82" i="5" s="1"/>
  <c r="BZ81" i="5"/>
  <c r="BZ82" i="5" s="1"/>
  <c r="BY81" i="5"/>
  <c r="BY82" i="5" s="1"/>
  <c r="BX81" i="5"/>
  <c r="BX82" i="5" s="1"/>
  <c r="BW81" i="5"/>
  <c r="BW82" i="5" s="1"/>
  <c r="BV81" i="5"/>
  <c r="BV82" i="5" s="1"/>
  <c r="BU81" i="5"/>
  <c r="BU82" i="5" s="1"/>
  <c r="BT81" i="5"/>
  <c r="BT82" i="5" s="1"/>
  <c r="BS81" i="5"/>
  <c r="BS82" i="5" s="1"/>
  <c r="BR81" i="5"/>
  <c r="BR82" i="5" s="1"/>
  <c r="BQ81" i="5"/>
  <c r="BQ82" i="5" s="1"/>
  <c r="BP81" i="5"/>
  <c r="BP82" i="5" s="1"/>
  <c r="BO81" i="5"/>
  <c r="BO82" i="5" s="1"/>
  <c r="BN81" i="5"/>
  <c r="BN82" i="5" s="1"/>
  <c r="BM81" i="5"/>
  <c r="BM82" i="5" s="1"/>
  <c r="BL81" i="5"/>
  <c r="BL82" i="5" s="1"/>
  <c r="G26" i="10" s="1"/>
  <c r="BK81" i="5"/>
  <c r="BK82" i="5" s="1"/>
  <c r="BJ81" i="5"/>
  <c r="BJ82" i="5" s="1"/>
  <c r="BI81" i="5"/>
  <c r="BI82" i="5" s="1"/>
  <c r="BH81" i="5"/>
  <c r="BH82" i="5" s="1"/>
  <c r="BG81" i="5"/>
  <c r="BG82" i="5" s="1"/>
  <c r="BF81" i="5"/>
  <c r="BF82" i="5" s="1"/>
  <c r="BE81" i="5"/>
  <c r="BE82" i="5" s="1"/>
  <c r="BD81" i="5"/>
  <c r="BD82" i="5" s="1"/>
  <c r="BC81" i="5"/>
  <c r="BC82" i="5" s="1"/>
  <c r="F28" i="10" s="1"/>
  <c r="BB81" i="5"/>
  <c r="BB82" i="5" s="1"/>
  <c r="BA81" i="5"/>
  <c r="BA82" i="5" s="1"/>
  <c r="AZ81" i="5"/>
  <c r="AZ82" i="5" s="1"/>
  <c r="AY81" i="5"/>
  <c r="AY82" i="5" s="1"/>
  <c r="AX81" i="5"/>
  <c r="AX82" i="5" s="1"/>
  <c r="AW81" i="5"/>
  <c r="AW82" i="5" s="1"/>
  <c r="AV81" i="5"/>
  <c r="AV82" i="5" s="1"/>
  <c r="AU81" i="5"/>
  <c r="AU82" i="5" s="1"/>
  <c r="AT81" i="5"/>
  <c r="AT82" i="5" s="1"/>
  <c r="AS81" i="5"/>
  <c r="AS82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85" i="5" s="1"/>
  <c r="CM86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85" i="5" s="1"/>
  <c r="CL86" i="5" s="1"/>
  <c r="CL2" i="5"/>
  <c r="AW74" i="5"/>
  <c r="AW85" i="5" s="1"/>
  <c r="AW86" i="5" s="1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T7" i="5" s="1"/>
  <c r="AS8" i="5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T15" i="5" s="1"/>
  <c r="AS16" i="5"/>
  <c r="AS17" i="5"/>
  <c r="AX17" i="5" s="1"/>
  <c r="AS18" i="5"/>
  <c r="AX18" i="5" s="1"/>
  <c r="AS19" i="5"/>
  <c r="AX19" i="5" s="1"/>
  <c r="AS20" i="5"/>
  <c r="AT20" i="5" s="1"/>
  <c r="AS21" i="5"/>
  <c r="AX21" i="5" s="1"/>
  <c r="AS22" i="5"/>
  <c r="AX22" i="5" s="1"/>
  <c r="AS23" i="5"/>
  <c r="AT23" i="5" s="1"/>
  <c r="AS24" i="5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T31" i="5" s="1"/>
  <c r="AS32" i="5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T39" i="5" s="1"/>
  <c r="AS40" i="5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T47" i="5" s="1"/>
  <c r="AS48" i="5"/>
  <c r="AS49" i="5"/>
  <c r="AX49" i="5" s="1"/>
  <c r="AS50" i="5"/>
  <c r="AX50" i="5" s="1"/>
  <c r="AS51" i="5"/>
  <c r="AX51" i="5" s="1"/>
  <c r="AS52" i="5"/>
  <c r="AX52" i="5" s="1"/>
  <c r="AS53" i="5"/>
  <c r="AT53" i="5" s="1"/>
  <c r="AS54" i="5"/>
  <c r="AX54" i="5" s="1"/>
  <c r="AS55" i="5"/>
  <c r="AT55" i="5" s="1"/>
  <c r="AS56" i="5"/>
  <c r="AS57" i="5"/>
  <c r="AX57" i="5" s="1"/>
  <c r="AS58" i="5"/>
  <c r="AX58" i="5" s="1"/>
  <c r="AS59" i="5"/>
  <c r="AX59" i="5" s="1"/>
  <c r="AS60" i="5"/>
  <c r="AT60" i="5" s="1"/>
  <c r="AS61" i="5"/>
  <c r="AX61" i="5" s="1"/>
  <c r="AS62" i="5"/>
  <c r="AX62" i="5" s="1"/>
  <c r="AS63" i="5"/>
  <c r="AT63" i="5" s="1"/>
  <c r="AS64" i="5"/>
  <c r="AS65" i="5"/>
  <c r="AX65" i="5" s="1"/>
  <c r="AS66" i="5"/>
  <c r="AX66" i="5" s="1"/>
  <c r="AS67" i="5"/>
  <c r="AX67" i="5" s="1"/>
  <c r="AS68" i="5"/>
  <c r="AT68" i="5" s="1"/>
  <c r="AS69" i="5"/>
  <c r="AX69" i="5" s="1"/>
  <c r="AS70" i="5"/>
  <c r="AX70" i="5" s="1"/>
  <c r="AS71" i="5"/>
  <c r="AT71" i="5" s="1"/>
  <c r="AS72" i="5"/>
  <c r="AS73" i="5"/>
  <c r="AX73" i="5" s="1"/>
  <c r="AS74" i="5"/>
  <c r="AX74" i="5" s="1"/>
  <c r="AX85" i="5" s="1"/>
  <c r="AX86" i="5" s="1"/>
  <c r="AS2" i="5"/>
  <c r="AX2" i="5" s="1"/>
  <c r="N21" i="13" l="1"/>
  <c r="N23" i="13"/>
  <c r="N27" i="13"/>
  <c r="N26" i="16"/>
  <c r="N35" i="16"/>
  <c r="N21" i="16"/>
  <c r="N24" i="16"/>
  <c r="N33" i="16"/>
  <c r="N22" i="16"/>
  <c r="N28" i="16"/>
  <c r="N35" i="13"/>
  <c r="N20" i="16"/>
  <c r="N30" i="16"/>
  <c r="N34" i="16"/>
  <c r="N20" i="13"/>
  <c r="N24" i="13"/>
  <c r="N33" i="13"/>
  <c r="AT9" i="5"/>
  <c r="BE9" i="5" s="1"/>
  <c r="CM79" i="5"/>
  <c r="CM80" i="5" s="1"/>
  <c r="CM77" i="5"/>
  <c r="CM78" i="5" s="1"/>
  <c r="AT57" i="5"/>
  <c r="BE57" i="5" s="1"/>
  <c r="AT41" i="5"/>
  <c r="CK41" i="5" s="1"/>
  <c r="AT25" i="5"/>
  <c r="BG25" i="5" s="1"/>
  <c r="G11" i="16"/>
  <c r="AA11" i="16" s="1"/>
  <c r="E49" i="10"/>
  <c r="E38" i="10"/>
  <c r="I11" i="16"/>
  <c r="I39" i="16" s="1"/>
  <c r="AB39" i="16" s="1"/>
  <c r="G49" i="10"/>
  <c r="E39" i="10"/>
  <c r="E37" i="10"/>
  <c r="G38" i="10"/>
  <c r="D37" i="10"/>
  <c r="I37" i="10"/>
  <c r="D39" i="10"/>
  <c r="AT46" i="5"/>
  <c r="AT14" i="5"/>
  <c r="BA14" i="5" s="1"/>
  <c r="AW79" i="5"/>
  <c r="AW80" i="5" s="1"/>
  <c r="CL79" i="5"/>
  <c r="CL80" i="5" s="1"/>
  <c r="E16" i="10" s="1"/>
  <c r="K37" i="10"/>
  <c r="K40" i="10" s="1"/>
  <c r="AU94" i="5"/>
  <c r="AT95" i="5"/>
  <c r="AT103" i="5"/>
  <c r="AT73" i="5"/>
  <c r="CK73" i="5" s="1"/>
  <c r="AU95" i="5"/>
  <c r="AU103" i="5"/>
  <c r="AT70" i="5"/>
  <c r="BA70" i="5" s="1"/>
  <c r="BP70" i="5" s="1"/>
  <c r="AT38" i="5"/>
  <c r="AT6" i="5"/>
  <c r="BE6" i="5" s="1"/>
  <c r="AT97" i="5"/>
  <c r="AT98" i="5" s="1"/>
  <c r="AV103" i="5"/>
  <c r="AV104" i="5" s="1"/>
  <c r="AT65" i="5"/>
  <c r="AT33" i="5"/>
  <c r="CI33" i="5" s="1"/>
  <c r="L39" i="10"/>
  <c r="AU97" i="5"/>
  <c r="AU98" i="5" s="1"/>
  <c r="AX103" i="5"/>
  <c r="AX104" i="5" s="1"/>
  <c r="AT62" i="5"/>
  <c r="CK62" i="5" s="1"/>
  <c r="AT30" i="5"/>
  <c r="CE30" i="5" s="1"/>
  <c r="CL77" i="5"/>
  <c r="CL78" i="5" s="1"/>
  <c r="AY103" i="5"/>
  <c r="AY104" i="5" s="1"/>
  <c r="AT104" i="5"/>
  <c r="BA103" i="5"/>
  <c r="BA104" i="5" s="1"/>
  <c r="AT54" i="5"/>
  <c r="BA54" i="5" s="1"/>
  <c r="AT22" i="5"/>
  <c r="AV22" i="5" s="1"/>
  <c r="AT49" i="5"/>
  <c r="BG49" i="5" s="1"/>
  <c r="AT17" i="5"/>
  <c r="BF17" i="5" s="1"/>
  <c r="AT94" i="5"/>
  <c r="AT96" i="5" s="1"/>
  <c r="AU104" i="5"/>
  <c r="N39" i="16"/>
  <c r="F67" i="16"/>
  <c r="J37" i="10"/>
  <c r="J40" i="10" s="1"/>
  <c r="G37" i="10"/>
  <c r="N32" i="12"/>
  <c r="N30" i="13"/>
  <c r="E40" i="10"/>
  <c r="F37" i="10"/>
  <c r="D40" i="10"/>
  <c r="D43" i="10" s="1"/>
  <c r="N32" i="13"/>
  <c r="F39" i="10"/>
  <c r="H39" i="10" s="1"/>
  <c r="N28" i="13"/>
  <c r="N35" i="12"/>
  <c r="N22" i="13"/>
  <c r="N34" i="13"/>
  <c r="N23" i="12"/>
  <c r="N29" i="13"/>
  <c r="N39" i="12"/>
  <c r="N21" i="12"/>
  <c r="CK68" i="5"/>
  <c r="CI68" i="5"/>
  <c r="CE68" i="5"/>
  <c r="CD68" i="5"/>
  <c r="CC68" i="5"/>
  <c r="CF68" i="5"/>
  <c r="BY68" i="5"/>
  <c r="BW68" i="5"/>
  <c r="BT68" i="5"/>
  <c r="BR68" i="5"/>
  <c r="BK68" i="5"/>
  <c r="BQ68" i="5"/>
  <c r="BJ68" i="5"/>
  <c r="CA68" i="5"/>
  <c r="BI68" i="5"/>
  <c r="BM68" i="5"/>
  <c r="BH68" i="5"/>
  <c r="BV68" i="5"/>
  <c r="BG68" i="5"/>
  <c r="BU68" i="5"/>
  <c r="BS68" i="5"/>
  <c r="BA68" i="5"/>
  <c r="BE68" i="5"/>
  <c r="AZ68" i="5"/>
  <c r="BF68" i="5"/>
  <c r="AY68" i="5"/>
  <c r="AV68" i="5"/>
  <c r="BC68" i="5" s="1"/>
  <c r="AU68" i="5"/>
  <c r="BN68" i="5" s="1"/>
  <c r="CF41" i="5"/>
  <c r="CD41" i="5"/>
  <c r="CA41" i="5"/>
  <c r="BY41" i="5"/>
  <c r="CI41" i="5"/>
  <c r="BU41" i="5"/>
  <c r="BQ41" i="5"/>
  <c r="CE41" i="5"/>
  <c r="BH41" i="5"/>
  <c r="BJ41" i="5"/>
  <c r="BK41" i="5"/>
  <c r="BS41" i="5"/>
  <c r="BV41" i="5"/>
  <c r="BT41" i="5"/>
  <c r="BI41" i="5"/>
  <c r="BF41" i="5"/>
  <c r="AZ41" i="5"/>
  <c r="BG41" i="5"/>
  <c r="BE41" i="5"/>
  <c r="BA41" i="5"/>
  <c r="BP41" i="5" s="1"/>
  <c r="AU41" i="5"/>
  <c r="BN41" i="5" s="1"/>
  <c r="CK53" i="5"/>
  <c r="CF53" i="5"/>
  <c r="CI53" i="5"/>
  <c r="BU53" i="5"/>
  <c r="CD53" i="5"/>
  <c r="CC53" i="5"/>
  <c r="CA53" i="5"/>
  <c r="BY53" i="5"/>
  <c r="BV53" i="5"/>
  <c r="BR53" i="5"/>
  <c r="BT53" i="5"/>
  <c r="BM53" i="5"/>
  <c r="CE53" i="5"/>
  <c r="BW53" i="5"/>
  <c r="BQ53" i="5"/>
  <c r="BS53" i="5"/>
  <c r="BJ53" i="5"/>
  <c r="BI53" i="5"/>
  <c r="BK53" i="5"/>
  <c r="BH53" i="5"/>
  <c r="BE53" i="5"/>
  <c r="BF53" i="5"/>
  <c r="BG53" i="5"/>
  <c r="BA53" i="5"/>
  <c r="AV53" i="5"/>
  <c r="BO53" i="5" s="1"/>
  <c r="AZ53" i="5"/>
  <c r="AU53" i="5"/>
  <c r="BN53" i="5" s="1"/>
  <c r="AY53" i="5"/>
  <c r="AT72" i="5"/>
  <c r="AT79" i="5" s="1"/>
  <c r="AT80" i="5" s="1"/>
  <c r="AX72" i="5"/>
  <c r="AT64" i="5"/>
  <c r="AX64" i="5"/>
  <c r="AT56" i="5"/>
  <c r="AX56" i="5"/>
  <c r="AT48" i="5"/>
  <c r="AX48" i="5"/>
  <c r="AT40" i="5"/>
  <c r="AX40" i="5"/>
  <c r="AT32" i="5"/>
  <c r="AX32" i="5"/>
  <c r="AT24" i="5"/>
  <c r="AX24" i="5"/>
  <c r="AT16" i="5"/>
  <c r="AX16" i="5"/>
  <c r="AT8" i="5"/>
  <c r="AX8" i="5"/>
  <c r="CF33" i="5"/>
  <c r="BY33" i="5"/>
  <c r="CE33" i="5"/>
  <c r="BU33" i="5"/>
  <c r="CC33" i="5"/>
  <c r="BS33" i="5"/>
  <c r="BM33" i="5"/>
  <c r="BT33" i="5"/>
  <c r="BJ33" i="5"/>
  <c r="BD33" i="5"/>
  <c r="BE33" i="5"/>
  <c r="BG33" i="5"/>
  <c r="BA33" i="5"/>
  <c r="BP33" i="5" s="1"/>
  <c r="AU33" i="5"/>
  <c r="BN33" i="5" s="1"/>
  <c r="AS79" i="5"/>
  <c r="AS80" i="5" s="1"/>
  <c r="CK71" i="5"/>
  <c r="CG71" i="5"/>
  <c r="BW71" i="5"/>
  <c r="BV71" i="5"/>
  <c r="CF71" i="5"/>
  <c r="CD71" i="5"/>
  <c r="CC71" i="5"/>
  <c r="BU71" i="5"/>
  <c r="BT71" i="5"/>
  <c r="CA71" i="5"/>
  <c r="BS71" i="5"/>
  <c r="BK71" i="5"/>
  <c r="CE71" i="5"/>
  <c r="CI71" i="5"/>
  <c r="BY71" i="5"/>
  <c r="BJ71" i="5"/>
  <c r="BM71" i="5"/>
  <c r="BI71" i="5"/>
  <c r="BQ71" i="5"/>
  <c r="BH71" i="5"/>
  <c r="BR71" i="5"/>
  <c r="BG71" i="5"/>
  <c r="AU71" i="5"/>
  <c r="BN71" i="5" s="1"/>
  <c r="BE71" i="5"/>
  <c r="BA71" i="5"/>
  <c r="BF71" i="5"/>
  <c r="AZ71" i="5"/>
  <c r="AY71" i="5"/>
  <c r="AV71" i="5"/>
  <c r="BO71" i="5" s="1"/>
  <c r="CK63" i="5"/>
  <c r="BW63" i="5"/>
  <c r="BV63" i="5"/>
  <c r="CI63" i="5"/>
  <c r="CE63" i="5"/>
  <c r="CD63" i="5"/>
  <c r="CC63" i="5"/>
  <c r="BY63" i="5"/>
  <c r="CF63" i="5"/>
  <c r="BR63" i="5"/>
  <c r="BU63" i="5"/>
  <c r="CA63" i="5"/>
  <c r="BQ63" i="5"/>
  <c r="BK63" i="5"/>
  <c r="BJ63" i="5"/>
  <c r="BS63" i="5"/>
  <c r="BI63" i="5"/>
  <c r="BT63" i="5"/>
  <c r="BH63" i="5"/>
  <c r="BM63" i="5"/>
  <c r="BG63" i="5"/>
  <c r="BF63" i="5"/>
  <c r="AU63" i="5"/>
  <c r="BN63" i="5" s="1"/>
  <c r="BA63" i="5"/>
  <c r="AZ63" i="5"/>
  <c r="BE63" i="5"/>
  <c r="AY63" i="5"/>
  <c r="AV63" i="5"/>
  <c r="BO63" i="5" s="1"/>
  <c r="CK55" i="5"/>
  <c r="CE55" i="5"/>
  <c r="BW55" i="5"/>
  <c r="CI55" i="5"/>
  <c r="BV55" i="5"/>
  <c r="CF55" i="5"/>
  <c r="BY55" i="5"/>
  <c r="BU55" i="5"/>
  <c r="BS55" i="5"/>
  <c r="BR55" i="5"/>
  <c r="BJ55" i="5"/>
  <c r="CC55" i="5"/>
  <c r="BM55" i="5"/>
  <c r="BT55" i="5"/>
  <c r="CD55" i="5"/>
  <c r="BI55" i="5"/>
  <c r="BK55" i="5"/>
  <c r="BH55" i="5"/>
  <c r="CA55" i="5"/>
  <c r="BQ55" i="5"/>
  <c r="BG55" i="5"/>
  <c r="BE55" i="5"/>
  <c r="BF55" i="5"/>
  <c r="AU55" i="5"/>
  <c r="BB55" i="5" s="1"/>
  <c r="BA55" i="5"/>
  <c r="AZ55" i="5"/>
  <c r="AY55" i="5"/>
  <c r="AV55" i="5"/>
  <c r="BO55" i="5" s="1"/>
  <c r="CA47" i="5"/>
  <c r="CK47" i="5"/>
  <c r="BW47" i="5"/>
  <c r="BV47" i="5"/>
  <c r="CF47" i="5"/>
  <c r="CD47" i="5"/>
  <c r="CC47" i="5"/>
  <c r="BY47" i="5"/>
  <c r="BQ47" i="5"/>
  <c r="BJ47" i="5"/>
  <c r="CE47" i="5"/>
  <c r="BU47" i="5"/>
  <c r="BK47" i="5"/>
  <c r="CI47" i="5"/>
  <c r="BM47" i="5"/>
  <c r="BR47" i="5"/>
  <c r="BI47" i="5"/>
  <c r="BS47" i="5"/>
  <c r="BH47" i="5"/>
  <c r="BT47" i="5"/>
  <c r="BG47" i="5"/>
  <c r="AU47" i="5"/>
  <c r="BN47" i="5" s="1"/>
  <c r="BE47" i="5"/>
  <c r="BF47" i="5"/>
  <c r="BA47" i="5"/>
  <c r="AZ47" i="5"/>
  <c r="AY47" i="5"/>
  <c r="AV47" i="5"/>
  <c r="BC47" i="5" s="1"/>
  <c r="CA39" i="5"/>
  <c r="CK39" i="5"/>
  <c r="CD39" i="5"/>
  <c r="CC39" i="5"/>
  <c r="BW39" i="5"/>
  <c r="CF39" i="5"/>
  <c r="BV39" i="5"/>
  <c r="BU39" i="5"/>
  <c r="BT39" i="5"/>
  <c r="CI39" i="5"/>
  <c r="BQ39" i="5"/>
  <c r="BJ39" i="5"/>
  <c r="BR39" i="5"/>
  <c r="BK39" i="5"/>
  <c r="BS39" i="5"/>
  <c r="BY39" i="5"/>
  <c r="BM39" i="5"/>
  <c r="BI39" i="5"/>
  <c r="BH39" i="5"/>
  <c r="CE39" i="5"/>
  <c r="BG39" i="5"/>
  <c r="AU39" i="5"/>
  <c r="BN39" i="5" s="1"/>
  <c r="BE39" i="5"/>
  <c r="BA39" i="5"/>
  <c r="BF39" i="5"/>
  <c r="AZ39" i="5"/>
  <c r="AY39" i="5"/>
  <c r="AV39" i="5"/>
  <c r="BO39" i="5" s="1"/>
  <c r="CA31" i="5"/>
  <c r="CK31" i="5"/>
  <c r="CI31" i="5"/>
  <c r="BW31" i="5"/>
  <c r="CE31" i="5"/>
  <c r="CD31" i="5"/>
  <c r="CC31" i="5"/>
  <c r="BV31" i="5"/>
  <c r="CF31" i="5"/>
  <c r="BY31" i="5"/>
  <c r="BR31" i="5"/>
  <c r="BM31" i="5"/>
  <c r="BU31" i="5"/>
  <c r="BQ31" i="5"/>
  <c r="BT31" i="5"/>
  <c r="BJ31" i="5"/>
  <c r="BK31" i="5"/>
  <c r="BI31" i="5"/>
  <c r="BH31" i="5"/>
  <c r="BS31" i="5"/>
  <c r="BG31" i="5"/>
  <c r="BF31" i="5"/>
  <c r="AU31" i="5"/>
  <c r="BN31" i="5" s="1"/>
  <c r="BA31" i="5"/>
  <c r="AZ31" i="5"/>
  <c r="BE31" i="5"/>
  <c r="AY31" i="5"/>
  <c r="AV31" i="5"/>
  <c r="BO31" i="5" s="1"/>
  <c r="CH23" i="5"/>
  <c r="CA23" i="5"/>
  <c r="CG23" i="5"/>
  <c r="CK23" i="5"/>
  <c r="BW23" i="5"/>
  <c r="CF23" i="5"/>
  <c r="BZ23" i="5"/>
  <c r="BV23" i="5"/>
  <c r="CE23" i="5"/>
  <c r="CJ23" i="5"/>
  <c r="CI23" i="5"/>
  <c r="BX23" i="5"/>
  <c r="BS23" i="5"/>
  <c r="BM23" i="5"/>
  <c r="CD23" i="5"/>
  <c r="BJ23" i="5"/>
  <c r="BY23" i="5"/>
  <c r="BU23" i="5"/>
  <c r="BQ23" i="5"/>
  <c r="BR23" i="5"/>
  <c r="CC23" i="5"/>
  <c r="BL23" i="5"/>
  <c r="BI23" i="5"/>
  <c r="BT23" i="5"/>
  <c r="BK23" i="5"/>
  <c r="BH23" i="5"/>
  <c r="BG23" i="5"/>
  <c r="BE23" i="5"/>
  <c r="BF23" i="5"/>
  <c r="AU23" i="5"/>
  <c r="BB23" i="5" s="1"/>
  <c r="BA23" i="5"/>
  <c r="AZ23" i="5"/>
  <c r="AY23" i="5"/>
  <c r="AV23" i="5"/>
  <c r="BO23" i="5" s="1"/>
  <c r="CD15" i="5"/>
  <c r="CA15" i="5"/>
  <c r="CK15" i="5"/>
  <c r="CF15" i="5"/>
  <c r="BW15" i="5"/>
  <c r="BV15" i="5"/>
  <c r="CI15" i="5"/>
  <c r="BY15" i="5"/>
  <c r="BT15" i="5"/>
  <c r="BU15" i="5"/>
  <c r="BQ15" i="5"/>
  <c r="BM15" i="5"/>
  <c r="CE15" i="5"/>
  <c r="BS15" i="5"/>
  <c r="BJ15" i="5"/>
  <c r="BK15" i="5"/>
  <c r="CC15" i="5"/>
  <c r="BI15" i="5"/>
  <c r="BH15" i="5"/>
  <c r="BR15" i="5"/>
  <c r="BG15" i="5"/>
  <c r="AU15" i="5"/>
  <c r="BB15" i="5" s="1"/>
  <c r="BE15" i="5"/>
  <c r="BF15" i="5"/>
  <c r="BA15" i="5"/>
  <c r="AZ15" i="5"/>
  <c r="AY15" i="5"/>
  <c r="AV15" i="5"/>
  <c r="BC15" i="5" s="1"/>
  <c r="CD7" i="5"/>
  <c r="CA7" i="5"/>
  <c r="CK7" i="5"/>
  <c r="CF7" i="5"/>
  <c r="BW7" i="5"/>
  <c r="BV7" i="5"/>
  <c r="CE7" i="5"/>
  <c r="CC7" i="5"/>
  <c r="CI7" i="5"/>
  <c r="BU7" i="5"/>
  <c r="BM7" i="5"/>
  <c r="BS7" i="5"/>
  <c r="BJ7" i="5"/>
  <c r="BT7" i="5"/>
  <c r="BK7" i="5"/>
  <c r="BQ7" i="5"/>
  <c r="BR7" i="5"/>
  <c r="BI7" i="5"/>
  <c r="BY7" i="5"/>
  <c r="BH7" i="5"/>
  <c r="BG7" i="5"/>
  <c r="AU7" i="5"/>
  <c r="BN7" i="5" s="1"/>
  <c r="BE7" i="5"/>
  <c r="BA7" i="5"/>
  <c r="BF7" i="5"/>
  <c r="AZ7" i="5"/>
  <c r="AY7" i="5"/>
  <c r="AV7" i="5"/>
  <c r="BO7" i="5" s="1"/>
  <c r="CK60" i="5"/>
  <c r="CI60" i="5"/>
  <c r="CE60" i="5"/>
  <c r="BY60" i="5"/>
  <c r="CF60" i="5"/>
  <c r="BW60" i="5"/>
  <c r="BT60" i="5"/>
  <c r="CD60" i="5"/>
  <c r="CC60" i="5"/>
  <c r="BV60" i="5"/>
  <c r="BK60" i="5"/>
  <c r="CA60" i="5"/>
  <c r="BQ60" i="5"/>
  <c r="BJ60" i="5"/>
  <c r="BR60" i="5"/>
  <c r="BI60" i="5"/>
  <c r="BS60" i="5"/>
  <c r="BH60" i="5"/>
  <c r="BU60" i="5"/>
  <c r="BG60" i="5"/>
  <c r="BM60" i="5"/>
  <c r="BA60" i="5"/>
  <c r="AZ60" i="5"/>
  <c r="AY60" i="5"/>
  <c r="AV60" i="5"/>
  <c r="BO60" i="5" s="1"/>
  <c r="AU60" i="5"/>
  <c r="BN60" i="5" s="1"/>
  <c r="BE60" i="5"/>
  <c r="BF60" i="5"/>
  <c r="CJ20" i="5"/>
  <c r="CG20" i="5"/>
  <c r="CK20" i="5"/>
  <c r="CF20" i="5"/>
  <c r="CI20" i="5"/>
  <c r="CE20" i="5"/>
  <c r="BZ20" i="5"/>
  <c r="BT20" i="5"/>
  <c r="BX20" i="5"/>
  <c r="BY20" i="5"/>
  <c r="BW20" i="5"/>
  <c r="BS20" i="5"/>
  <c r="BM20" i="5"/>
  <c r="BV20" i="5"/>
  <c r="BR20" i="5"/>
  <c r="BK20" i="5"/>
  <c r="CH20" i="5"/>
  <c r="BL20" i="5"/>
  <c r="BQ20" i="5"/>
  <c r="CA20" i="5"/>
  <c r="BU20" i="5"/>
  <c r="BJ20" i="5"/>
  <c r="BI20" i="5"/>
  <c r="CC20" i="5"/>
  <c r="BH20" i="5"/>
  <c r="BG20" i="5"/>
  <c r="CD20" i="5"/>
  <c r="BF20" i="5"/>
  <c r="BA20" i="5"/>
  <c r="AZ20" i="5"/>
  <c r="AY20" i="5"/>
  <c r="AV20" i="5"/>
  <c r="BO20" i="5" s="1"/>
  <c r="AU20" i="5"/>
  <c r="BB20" i="5" s="1"/>
  <c r="BE20" i="5"/>
  <c r="CG73" i="5"/>
  <c r="CF73" i="5"/>
  <c r="CD73" i="5"/>
  <c r="CA73" i="5"/>
  <c r="BY73" i="5"/>
  <c r="BU73" i="5"/>
  <c r="BR73" i="5"/>
  <c r="BQ73" i="5"/>
  <c r="BV73" i="5"/>
  <c r="BT73" i="5"/>
  <c r="BM73" i="5"/>
  <c r="BH73" i="5"/>
  <c r="BK73" i="5"/>
  <c r="BD73" i="5"/>
  <c r="BW73" i="5"/>
  <c r="BJ73" i="5"/>
  <c r="BI73" i="5"/>
  <c r="CI62" i="5"/>
  <c r="CG62" i="5"/>
  <c r="BV62" i="5"/>
  <c r="BU62" i="5"/>
  <c r="CE62" i="5"/>
  <c r="CD62" i="5"/>
  <c r="CC62" i="5"/>
  <c r="CA62" i="5"/>
  <c r="CF62" i="5"/>
  <c r="BW62" i="5"/>
  <c r="BS62" i="5"/>
  <c r="BY62" i="5"/>
  <c r="BR62" i="5"/>
  <c r="BQ62" i="5"/>
  <c r="BJ62" i="5"/>
  <c r="BI62" i="5"/>
  <c r="BT62" i="5"/>
  <c r="BH62" i="5"/>
  <c r="BM62" i="5"/>
  <c r="BF62" i="5"/>
  <c r="CI30" i="5"/>
  <c r="CD30" i="5"/>
  <c r="CC30" i="5"/>
  <c r="CA30" i="5"/>
  <c r="BV30" i="5"/>
  <c r="CK30" i="5"/>
  <c r="BU30" i="5"/>
  <c r="CF30" i="5"/>
  <c r="BS30" i="5"/>
  <c r="BY30" i="5"/>
  <c r="BT30" i="5"/>
  <c r="BJ30" i="5"/>
  <c r="BK30" i="5"/>
  <c r="BI30" i="5"/>
  <c r="BQ30" i="5"/>
  <c r="BR30" i="5"/>
  <c r="BM30" i="5"/>
  <c r="BF30" i="5"/>
  <c r="AT45" i="5"/>
  <c r="AT21" i="5"/>
  <c r="AT52" i="5"/>
  <c r="AT44" i="5"/>
  <c r="AT36" i="5"/>
  <c r="AT28" i="5"/>
  <c r="AT12" i="5"/>
  <c r="AT4" i="5"/>
  <c r="AT2" i="5"/>
  <c r="AT67" i="5"/>
  <c r="AT59" i="5"/>
  <c r="AT51" i="5"/>
  <c r="AT43" i="5"/>
  <c r="AT35" i="5"/>
  <c r="AT27" i="5"/>
  <c r="AT19" i="5"/>
  <c r="AT11" i="5"/>
  <c r="AT3" i="5"/>
  <c r="AU9" i="5"/>
  <c r="BB9" i="5" s="1"/>
  <c r="AU17" i="5"/>
  <c r="BB17" i="5" s="1"/>
  <c r="AU25" i="5"/>
  <c r="BB25" i="5" s="1"/>
  <c r="AU49" i="5"/>
  <c r="BB49" i="5" s="1"/>
  <c r="AU57" i="5"/>
  <c r="BB57" i="5" s="1"/>
  <c r="AU65" i="5"/>
  <c r="BB65" i="5" s="1"/>
  <c r="AU73" i="5"/>
  <c r="BN73" i="5" s="1"/>
  <c r="AT74" i="5"/>
  <c r="AT66" i="5"/>
  <c r="AT58" i="5"/>
  <c r="AT50" i="5"/>
  <c r="AT42" i="5"/>
  <c r="AT34" i="5"/>
  <c r="AT26" i="5"/>
  <c r="AT18" i="5"/>
  <c r="AT10" i="5"/>
  <c r="AV9" i="5"/>
  <c r="BO9" i="5" s="1"/>
  <c r="AV17" i="5"/>
  <c r="BO17" i="5" s="1"/>
  <c r="AV25" i="5"/>
  <c r="BO25" i="5" s="1"/>
  <c r="AV49" i="5"/>
  <c r="BO49" i="5" s="1"/>
  <c r="AV57" i="5"/>
  <c r="BO57" i="5" s="1"/>
  <c r="AV65" i="5"/>
  <c r="BC65" i="5" s="1"/>
  <c r="AV73" i="5"/>
  <c r="BO73" i="5" s="1"/>
  <c r="AX7" i="5"/>
  <c r="AX15" i="5"/>
  <c r="BD15" i="5" s="1"/>
  <c r="AX23" i="5"/>
  <c r="AX31" i="5"/>
  <c r="BD31" i="5" s="1"/>
  <c r="AX39" i="5"/>
  <c r="AX47" i="5"/>
  <c r="BP47" i="5" s="1"/>
  <c r="AX55" i="5"/>
  <c r="BP55" i="5" s="1"/>
  <c r="AX63" i="5"/>
  <c r="BD63" i="5" s="1"/>
  <c r="AX71" i="5"/>
  <c r="AX79" i="5" s="1"/>
  <c r="AX80" i="5" s="1"/>
  <c r="BA73" i="5"/>
  <c r="BA65" i="5"/>
  <c r="BP65" i="5" s="1"/>
  <c r="BA57" i="5"/>
  <c r="BP57" i="5" s="1"/>
  <c r="BA49" i="5"/>
  <c r="BP49" i="5" s="1"/>
  <c r="BA25" i="5"/>
  <c r="BP25" i="5" s="1"/>
  <c r="BA17" i="5"/>
  <c r="BP17" i="5" s="1"/>
  <c r="BA9" i="5"/>
  <c r="BP9" i="5" s="1"/>
  <c r="BD54" i="5"/>
  <c r="BD22" i="5"/>
  <c r="BG70" i="5"/>
  <c r="BG38" i="5"/>
  <c r="BG17" i="5"/>
  <c r="BG6" i="5"/>
  <c r="CK49" i="5"/>
  <c r="CF49" i="5"/>
  <c r="CD49" i="5"/>
  <c r="CA49" i="5"/>
  <c r="CE49" i="5"/>
  <c r="BU49" i="5"/>
  <c r="BR49" i="5"/>
  <c r="BW49" i="5"/>
  <c r="BQ49" i="5"/>
  <c r="BT49" i="5"/>
  <c r="BS49" i="5"/>
  <c r="BJ49" i="5"/>
  <c r="BH49" i="5"/>
  <c r="CI49" i="5"/>
  <c r="BD49" i="5"/>
  <c r="BI49" i="5"/>
  <c r="CK9" i="5"/>
  <c r="CF9" i="5"/>
  <c r="CD9" i="5"/>
  <c r="CI9" i="5"/>
  <c r="BY9" i="5"/>
  <c r="BU9" i="5"/>
  <c r="CC9" i="5"/>
  <c r="CA9" i="5"/>
  <c r="BR9" i="5"/>
  <c r="BQ9" i="5"/>
  <c r="BV9" i="5"/>
  <c r="BW9" i="5"/>
  <c r="BH9" i="5"/>
  <c r="BT9" i="5"/>
  <c r="BJ9" i="5"/>
  <c r="BM9" i="5"/>
  <c r="BK9" i="5"/>
  <c r="CE9" i="5"/>
  <c r="BD9" i="5"/>
  <c r="BS9" i="5"/>
  <c r="BI9" i="5"/>
  <c r="AY70" i="5"/>
  <c r="AY62" i="5"/>
  <c r="AY54" i="5"/>
  <c r="AY46" i="5"/>
  <c r="AY38" i="5"/>
  <c r="AY30" i="5"/>
  <c r="AY22" i="5"/>
  <c r="AY14" i="5"/>
  <c r="AY6" i="5"/>
  <c r="BC22" i="5"/>
  <c r="BE62" i="5"/>
  <c r="BE30" i="5"/>
  <c r="BF49" i="5"/>
  <c r="CK17" i="5"/>
  <c r="CH17" i="5"/>
  <c r="CF17" i="5"/>
  <c r="CD17" i="5"/>
  <c r="CE17" i="5"/>
  <c r="BX17" i="5"/>
  <c r="BY17" i="5"/>
  <c r="CJ17" i="5"/>
  <c r="CC17" i="5"/>
  <c r="CA17" i="5"/>
  <c r="BU17" i="5"/>
  <c r="BZ17" i="5"/>
  <c r="BR17" i="5"/>
  <c r="BW17" i="5"/>
  <c r="BT17" i="5"/>
  <c r="BQ17" i="5"/>
  <c r="CI17" i="5"/>
  <c r="CG17" i="5"/>
  <c r="BM17" i="5"/>
  <c r="BJ17" i="5"/>
  <c r="BH17" i="5"/>
  <c r="BV17" i="5"/>
  <c r="BK17" i="5"/>
  <c r="BS17" i="5"/>
  <c r="BL17" i="5"/>
  <c r="BD17" i="5"/>
  <c r="BI17" i="5"/>
  <c r="AW77" i="5"/>
  <c r="AW78" i="5" s="1"/>
  <c r="AZ70" i="5"/>
  <c r="AZ62" i="5"/>
  <c r="AZ54" i="5"/>
  <c r="AZ46" i="5"/>
  <c r="AZ38" i="5"/>
  <c r="AZ30" i="5"/>
  <c r="AZ14" i="5"/>
  <c r="AZ6" i="5"/>
  <c r="BD62" i="5"/>
  <c r="BD30" i="5"/>
  <c r="BE49" i="5"/>
  <c r="BE17" i="5"/>
  <c r="BG57" i="5"/>
  <c r="BG46" i="5"/>
  <c r="BG14" i="5"/>
  <c r="CK65" i="5"/>
  <c r="CF65" i="5"/>
  <c r="CD65" i="5"/>
  <c r="CA65" i="5"/>
  <c r="BY65" i="5"/>
  <c r="BU65" i="5"/>
  <c r="CI65" i="5"/>
  <c r="BR65" i="5"/>
  <c r="BW65" i="5"/>
  <c r="BQ65" i="5"/>
  <c r="BS65" i="5"/>
  <c r="CC65" i="5"/>
  <c r="BM65" i="5"/>
  <c r="BH65" i="5"/>
  <c r="CE65" i="5"/>
  <c r="BV65" i="5"/>
  <c r="BD65" i="5"/>
  <c r="BK65" i="5"/>
  <c r="BJ65" i="5"/>
  <c r="BT65" i="5"/>
  <c r="BI65" i="5"/>
  <c r="CK25" i="5"/>
  <c r="CF25" i="5"/>
  <c r="CD25" i="5"/>
  <c r="BY25" i="5"/>
  <c r="BU25" i="5"/>
  <c r="CE25" i="5"/>
  <c r="BR25" i="5"/>
  <c r="BQ25" i="5"/>
  <c r="CC25" i="5"/>
  <c r="CA25" i="5"/>
  <c r="BW25" i="5"/>
  <c r="BH25" i="5"/>
  <c r="CI25" i="5"/>
  <c r="BV25" i="5"/>
  <c r="BM25" i="5"/>
  <c r="BD25" i="5"/>
  <c r="BS25" i="5"/>
  <c r="BJ25" i="5"/>
  <c r="BT25" i="5"/>
  <c r="BK25" i="5"/>
  <c r="BI25" i="5"/>
  <c r="BA62" i="5"/>
  <c r="BP62" i="5" s="1"/>
  <c r="BA46" i="5"/>
  <c r="BA38" i="5"/>
  <c r="BP38" i="5" s="1"/>
  <c r="BA30" i="5"/>
  <c r="BP30" i="5" s="1"/>
  <c r="BA22" i="5"/>
  <c r="BP22" i="5" s="1"/>
  <c r="BA6" i="5"/>
  <c r="BP6" i="5" s="1"/>
  <c r="BE70" i="5"/>
  <c r="BE38" i="5"/>
  <c r="BF57" i="5"/>
  <c r="BF25" i="5"/>
  <c r="CI54" i="5"/>
  <c r="BV54" i="5"/>
  <c r="CF54" i="5"/>
  <c r="BU54" i="5"/>
  <c r="CK54" i="5"/>
  <c r="CD54" i="5"/>
  <c r="CC54" i="5"/>
  <c r="CA54" i="5"/>
  <c r="CE54" i="5"/>
  <c r="BQ54" i="5"/>
  <c r="BT54" i="5"/>
  <c r="BY54" i="5"/>
  <c r="BR54" i="5"/>
  <c r="BM54" i="5"/>
  <c r="BW54" i="5"/>
  <c r="BS54" i="5"/>
  <c r="BJ54" i="5"/>
  <c r="BI54" i="5"/>
  <c r="BK54" i="5"/>
  <c r="BH54" i="5"/>
  <c r="BP54" i="5"/>
  <c r="BF54" i="5"/>
  <c r="CG14" i="5"/>
  <c r="CJ14" i="5"/>
  <c r="CI14" i="5"/>
  <c r="BV14" i="5"/>
  <c r="BU14" i="5"/>
  <c r="CH14" i="5"/>
  <c r="CD14" i="5"/>
  <c r="CF14" i="5"/>
  <c r="BX14" i="5"/>
  <c r="BW14" i="5"/>
  <c r="CC14" i="5"/>
  <c r="CA14" i="5"/>
  <c r="CK14" i="5"/>
  <c r="BZ14" i="5"/>
  <c r="BR14" i="5"/>
  <c r="BY14" i="5"/>
  <c r="BS14" i="5"/>
  <c r="BT14" i="5"/>
  <c r="BL14" i="5"/>
  <c r="BI14" i="5"/>
  <c r="CE14" i="5"/>
  <c r="BP14" i="5"/>
  <c r="BH14" i="5"/>
  <c r="BQ14" i="5"/>
  <c r="BM14" i="5"/>
  <c r="BJ14" i="5"/>
  <c r="BK14" i="5"/>
  <c r="BF14" i="5"/>
  <c r="CI6" i="5"/>
  <c r="CK6" i="5"/>
  <c r="BV6" i="5"/>
  <c r="CE6" i="5"/>
  <c r="BU6" i="5"/>
  <c r="CF6" i="5"/>
  <c r="CD6" i="5"/>
  <c r="BT6" i="5"/>
  <c r="BY6" i="5"/>
  <c r="BR6" i="5"/>
  <c r="BM6" i="5"/>
  <c r="CA6" i="5"/>
  <c r="BJ6" i="5"/>
  <c r="CC6" i="5"/>
  <c r="BK6" i="5"/>
  <c r="BQ6" i="5"/>
  <c r="BI6" i="5"/>
  <c r="BS6" i="5"/>
  <c r="BH6" i="5"/>
  <c r="BW6" i="5"/>
  <c r="BF6" i="5"/>
  <c r="AU6" i="5"/>
  <c r="BN6" i="5" s="1"/>
  <c r="AU14" i="5"/>
  <c r="BB14" i="5" s="1"/>
  <c r="AU30" i="5"/>
  <c r="BN30" i="5" s="1"/>
  <c r="AU38" i="5"/>
  <c r="BB38" i="5" s="1"/>
  <c r="AU46" i="5"/>
  <c r="BB46" i="5" s="1"/>
  <c r="AU54" i="5"/>
  <c r="AU62" i="5"/>
  <c r="BN62" i="5" s="1"/>
  <c r="AU70" i="5"/>
  <c r="BB70" i="5" s="1"/>
  <c r="BD70" i="5"/>
  <c r="BD38" i="5"/>
  <c r="BD6" i="5"/>
  <c r="BE25" i="5"/>
  <c r="BG65" i="5"/>
  <c r="BG54" i="5"/>
  <c r="BG22" i="5"/>
  <c r="CK57" i="5"/>
  <c r="CF57" i="5"/>
  <c r="CD57" i="5"/>
  <c r="CA57" i="5"/>
  <c r="CE57" i="5"/>
  <c r="BY57" i="5"/>
  <c r="CI57" i="5"/>
  <c r="BU57" i="5"/>
  <c r="BR57" i="5"/>
  <c r="BQ57" i="5"/>
  <c r="BS57" i="5"/>
  <c r="BM57" i="5"/>
  <c r="BH57" i="5"/>
  <c r="BV57" i="5"/>
  <c r="CC57" i="5"/>
  <c r="BW57" i="5"/>
  <c r="BT57" i="5"/>
  <c r="BD57" i="5"/>
  <c r="BJ57" i="5"/>
  <c r="BK57" i="5"/>
  <c r="BI57" i="5"/>
  <c r="CI46" i="5"/>
  <c r="BV46" i="5"/>
  <c r="BU46" i="5"/>
  <c r="CE46" i="5"/>
  <c r="CF46" i="5"/>
  <c r="BW46" i="5"/>
  <c r="CK46" i="5"/>
  <c r="BR46" i="5"/>
  <c r="BQ46" i="5"/>
  <c r="CC46" i="5"/>
  <c r="BY46" i="5"/>
  <c r="BT46" i="5"/>
  <c r="BP46" i="5"/>
  <c r="BM46" i="5"/>
  <c r="CD46" i="5"/>
  <c r="BI46" i="5"/>
  <c r="BS46" i="5"/>
  <c r="BH46" i="5"/>
  <c r="CA46" i="5"/>
  <c r="BJ46" i="5"/>
  <c r="BK46" i="5"/>
  <c r="BF46" i="5"/>
  <c r="AT69" i="5"/>
  <c r="AT37" i="5"/>
  <c r="AT29" i="5"/>
  <c r="AT5" i="5"/>
  <c r="AV6" i="5"/>
  <c r="BO6" i="5" s="1"/>
  <c r="AV14" i="5"/>
  <c r="BO14" i="5" s="1"/>
  <c r="AV30" i="5"/>
  <c r="BC30" i="5" s="1"/>
  <c r="AV38" i="5"/>
  <c r="BC38" i="5" s="1"/>
  <c r="AV46" i="5"/>
  <c r="BO46" i="5" s="1"/>
  <c r="AV54" i="5"/>
  <c r="BO54" i="5" s="1"/>
  <c r="AV62" i="5"/>
  <c r="BC62" i="5" s="1"/>
  <c r="AV70" i="5"/>
  <c r="BC70" i="5" s="1"/>
  <c r="AX20" i="5"/>
  <c r="AX60" i="5"/>
  <c r="BD60" i="5" s="1"/>
  <c r="AX68" i="5"/>
  <c r="BD68" i="5" s="1"/>
  <c r="BL68" i="5" s="1"/>
  <c r="BE46" i="5"/>
  <c r="BE14" i="5"/>
  <c r="BF65" i="5"/>
  <c r="CI70" i="5"/>
  <c r="CK70" i="5"/>
  <c r="BV70" i="5"/>
  <c r="BU70" i="5"/>
  <c r="CA70" i="5"/>
  <c r="CF70" i="5"/>
  <c r="BR70" i="5"/>
  <c r="BS70" i="5"/>
  <c r="BK70" i="5"/>
  <c r="BY70" i="5"/>
  <c r="BJ70" i="5"/>
  <c r="CC70" i="5"/>
  <c r="BW70" i="5"/>
  <c r="BM70" i="5"/>
  <c r="BQ70" i="5"/>
  <c r="BH70" i="5"/>
  <c r="CD70" i="5"/>
  <c r="BF70" i="5"/>
  <c r="CI38" i="5"/>
  <c r="CF38" i="5"/>
  <c r="BV38" i="5"/>
  <c r="BU38" i="5"/>
  <c r="CK38" i="5"/>
  <c r="CE38" i="5"/>
  <c r="BW38" i="5"/>
  <c r="BT38" i="5"/>
  <c r="BQ38" i="5"/>
  <c r="BJ38" i="5"/>
  <c r="CD38" i="5"/>
  <c r="BR38" i="5"/>
  <c r="BK38" i="5"/>
  <c r="BS38" i="5"/>
  <c r="CA38" i="5"/>
  <c r="BY38" i="5"/>
  <c r="BM38" i="5"/>
  <c r="BI38" i="5"/>
  <c r="BH38" i="5"/>
  <c r="CC38" i="5"/>
  <c r="BF38" i="5"/>
  <c r="AT61" i="5"/>
  <c r="AT13" i="5"/>
  <c r="AX53" i="5"/>
  <c r="BD53" i="5" s="1"/>
  <c r="BL53" i="5" s="1"/>
  <c r="AY73" i="5"/>
  <c r="AY65" i="5"/>
  <c r="AY57" i="5"/>
  <c r="AY49" i="5"/>
  <c r="AY25" i="5"/>
  <c r="AY17" i="5"/>
  <c r="AY9" i="5"/>
  <c r="BD46" i="5"/>
  <c r="BD14" i="5"/>
  <c r="BE65" i="5"/>
  <c r="BG73" i="5"/>
  <c r="BG62" i="5"/>
  <c r="BG30" i="5"/>
  <c r="BG9" i="5"/>
  <c r="CI22" i="5"/>
  <c r="CF22" i="5"/>
  <c r="BV22" i="5"/>
  <c r="CD22" i="5"/>
  <c r="CC22" i="5"/>
  <c r="CA22" i="5"/>
  <c r="BU22" i="5"/>
  <c r="CE22" i="5"/>
  <c r="BQ22" i="5"/>
  <c r="BO22" i="5"/>
  <c r="BY22" i="5"/>
  <c r="BT22" i="5"/>
  <c r="BS22" i="5"/>
  <c r="BW22" i="5"/>
  <c r="BM22" i="5"/>
  <c r="BR22" i="5"/>
  <c r="CK22" i="5"/>
  <c r="BJ22" i="5"/>
  <c r="BI22" i="5"/>
  <c r="BK22" i="5"/>
  <c r="BH22" i="5"/>
  <c r="BF22" i="5"/>
  <c r="AZ73" i="5"/>
  <c r="AZ65" i="5"/>
  <c r="AZ57" i="5"/>
  <c r="AZ49" i="5"/>
  <c r="AZ25" i="5"/>
  <c r="AZ17" i="5"/>
  <c r="AZ9" i="5"/>
  <c r="BC25" i="5"/>
  <c r="BE54" i="5"/>
  <c r="BE22" i="5"/>
  <c r="BF73" i="5"/>
  <c r="BF9" i="5"/>
  <c r="I11" i="12"/>
  <c r="I39" i="12" s="1"/>
  <c r="AB39" i="12" s="1"/>
  <c r="G5" i="10"/>
  <c r="G11" i="12"/>
  <c r="AB11" i="12" s="1"/>
  <c r="E5" i="10"/>
  <c r="G11" i="13"/>
  <c r="AB11" i="13" s="1"/>
  <c r="D28" i="10"/>
  <c r="F26" i="10"/>
  <c r="F29" i="10" s="1"/>
  <c r="J26" i="10"/>
  <c r="K26" i="10"/>
  <c r="G16" i="10"/>
  <c r="I11" i="13"/>
  <c r="I39" i="13" s="1"/>
  <c r="AB39" i="13" s="1"/>
  <c r="E26" i="10"/>
  <c r="G27" i="10"/>
  <c r="E28" i="10"/>
  <c r="D26" i="10"/>
  <c r="I26" i="10"/>
  <c r="G28" i="10"/>
  <c r="J28" i="10"/>
  <c r="K28" i="10"/>
  <c r="E27" i="10"/>
  <c r="N33" i="12"/>
  <c r="N25" i="13"/>
  <c r="N20" i="12"/>
  <c r="N28" i="12"/>
  <c r="N27" i="12"/>
  <c r="N26" i="13"/>
  <c r="N39" i="13"/>
  <c r="N22" i="12"/>
  <c r="N25" i="12"/>
  <c r="N30" i="12"/>
  <c r="N34" i="12"/>
  <c r="N24" i="12"/>
  <c r="F52" i="13"/>
  <c r="F56" i="13" s="1"/>
  <c r="F60" i="13" s="1"/>
  <c r="N26" i="12"/>
  <c r="N29" i="12"/>
  <c r="F52" i="12"/>
  <c r="F56" i="12" s="1"/>
  <c r="F60" i="12" s="1"/>
  <c r="C12" i="7"/>
  <c r="G63" i="12" s="1"/>
  <c r="I63" i="12" s="1"/>
  <c r="C13" i="7"/>
  <c r="C14" i="7"/>
  <c r="E51" i="9"/>
  <c r="G63" i="16" l="1"/>
  <c r="I63" i="16" s="1"/>
  <c r="G63" i="13"/>
  <c r="I63" i="13" s="1"/>
  <c r="BC17" i="5"/>
  <c r="CB33" i="5"/>
  <c r="BB6" i="5"/>
  <c r="BF33" i="5"/>
  <c r="BV33" i="5"/>
  <c r="CD33" i="5"/>
  <c r="BC14" i="5"/>
  <c r="BN38" i="5"/>
  <c r="BH30" i="5"/>
  <c r="BW30" i="5"/>
  <c r="BK62" i="5"/>
  <c r="AZ33" i="5"/>
  <c r="BW33" i="5"/>
  <c r="CK33" i="5"/>
  <c r="BI33" i="5"/>
  <c r="CA33" i="5"/>
  <c r="AV41" i="5"/>
  <c r="BC41" i="5" s="1"/>
  <c r="BW41" i="5"/>
  <c r="BM41" i="5"/>
  <c r="CC41" i="5"/>
  <c r="AY41" i="5"/>
  <c r="BD41" i="5"/>
  <c r="BL41" i="5" s="1"/>
  <c r="BR41" i="5"/>
  <c r="BX41" i="5" s="1"/>
  <c r="BO65" i="5"/>
  <c r="BC55" i="5"/>
  <c r="BZ70" i="5"/>
  <c r="BN70" i="5"/>
  <c r="BN49" i="5"/>
  <c r="BZ49" i="5" s="1"/>
  <c r="BL57" i="5"/>
  <c r="BM49" i="5"/>
  <c r="BY49" i="5"/>
  <c r="L37" i="10"/>
  <c r="L40" i="10" s="1"/>
  <c r="G40" i="10"/>
  <c r="BN65" i="5"/>
  <c r="L26" i="10"/>
  <c r="AA11" i="12"/>
  <c r="G29" i="10"/>
  <c r="BP20" i="5"/>
  <c r="BL62" i="5"/>
  <c r="BP39" i="5"/>
  <c r="BX39" i="5" s="1"/>
  <c r="BN23" i="5"/>
  <c r="BB47" i="5"/>
  <c r="BZ47" i="5" s="1"/>
  <c r="CB70" i="5"/>
  <c r="CB6" i="5"/>
  <c r="AB45" i="13"/>
  <c r="BB73" i="5"/>
  <c r="BN20" i="5"/>
  <c r="H37" i="10"/>
  <c r="BO70" i="5"/>
  <c r="AS94" i="5"/>
  <c r="BC57" i="5"/>
  <c r="BO38" i="5"/>
  <c r="BC73" i="5"/>
  <c r="CB41" i="5"/>
  <c r="CB62" i="5"/>
  <c r="BX62" i="5"/>
  <c r="BN46" i="5"/>
  <c r="BZ46" i="5" s="1"/>
  <c r="CB46" i="5"/>
  <c r="BN57" i="5"/>
  <c r="BZ57" i="5" s="1"/>
  <c r="BP7" i="5"/>
  <c r="AS85" i="5"/>
  <c r="AS86" i="5" s="1"/>
  <c r="AT85" i="5"/>
  <c r="AT86" i="5" s="1"/>
  <c r="AS95" i="5"/>
  <c r="BN9" i="5"/>
  <c r="BZ9" i="5" s="1"/>
  <c r="BP73" i="5"/>
  <c r="CE73" i="5"/>
  <c r="CI73" i="5"/>
  <c r="BB71" i="5"/>
  <c r="BZ71" i="5" s="1"/>
  <c r="AY33" i="5"/>
  <c r="BH33" i="5"/>
  <c r="BR33" i="5"/>
  <c r="BO62" i="5"/>
  <c r="CB25" i="5"/>
  <c r="CB49" i="5"/>
  <c r="BO30" i="5"/>
  <c r="BB41" i="5"/>
  <c r="BZ41" i="5" s="1"/>
  <c r="AS97" i="5"/>
  <c r="AS98" i="5" s="1"/>
  <c r="H38" i="10"/>
  <c r="AU96" i="5"/>
  <c r="H49" i="10"/>
  <c r="H27" i="10"/>
  <c r="BI70" i="5"/>
  <c r="BT70" i="5"/>
  <c r="BX70" i="5" s="1"/>
  <c r="CE70" i="5"/>
  <c r="BC49" i="5"/>
  <c r="BB62" i="5"/>
  <c r="BZ62" i="5" s="1"/>
  <c r="AU22" i="5"/>
  <c r="BC9" i="5"/>
  <c r="BN25" i="5"/>
  <c r="AZ22" i="5"/>
  <c r="BC54" i="5"/>
  <c r="BK49" i="5"/>
  <c r="BL49" i="5" s="1"/>
  <c r="BV49" i="5"/>
  <c r="BX49" i="5" s="1"/>
  <c r="CC49" i="5"/>
  <c r="BE73" i="5"/>
  <c r="BL73" i="5" s="1"/>
  <c r="BP23" i="5"/>
  <c r="BS73" i="5"/>
  <c r="CC73" i="5"/>
  <c r="BO15" i="5"/>
  <c r="BB39" i="5"/>
  <c r="BZ39" i="5" s="1"/>
  <c r="AV33" i="5"/>
  <c r="BO33" i="5" s="1"/>
  <c r="BK33" i="5"/>
  <c r="BQ33" i="5"/>
  <c r="BX33" i="5" s="1"/>
  <c r="G39" i="16"/>
  <c r="AB11" i="16"/>
  <c r="AB45" i="16" s="1"/>
  <c r="J11" i="16"/>
  <c r="G39" i="12"/>
  <c r="AA39" i="12" s="1"/>
  <c r="AB45" i="12"/>
  <c r="BX22" i="5"/>
  <c r="BL30" i="5"/>
  <c r="BZ38" i="5"/>
  <c r="CB57" i="5"/>
  <c r="BX6" i="5"/>
  <c r="BX54" i="5"/>
  <c r="BL6" i="5"/>
  <c r="BZ65" i="5"/>
  <c r="CB73" i="5"/>
  <c r="D29" i="10"/>
  <c r="D32" i="10" s="1"/>
  <c r="BL9" i="5"/>
  <c r="BX47" i="5"/>
  <c r="F40" i="10"/>
  <c r="CB14" i="5"/>
  <c r="F75" i="16"/>
  <c r="F80" i="16" s="1"/>
  <c r="H5" i="10"/>
  <c r="BX73" i="5"/>
  <c r="BL54" i="5"/>
  <c r="BL15" i="5"/>
  <c r="H28" i="10"/>
  <c r="BL60" i="5"/>
  <c r="BL25" i="5"/>
  <c r="CB54" i="5"/>
  <c r="J11" i="12"/>
  <c r="CB22" i="5"/>
  <c r="BL63" i="5"/>
  <c r="BZ73" i="5"/>
  <c r="BL65" i="5"/>
  <c r="H26" i="10"/>
  <c r="BX25" i="5"/>
  <c r="BX57" i="5"/>
  <c r="J11" i="13"/>
  <c r="BL22" i="5"/>
  <c r="BL46" i="5"/>
  <c r="BX46" i="5"/>
  <c r="BL70" i="5"/>
  <c r="BL31" i="5"/>
  <c r="BZ25" i="5"/>
  <c r="BN54" i="5"/>
  <c r="BB54" i="5"/>
  <c r="BZ6" i="5"/>
  <c r="BX30" i="5"/>
  <c r="CB30" i="5"/>
  <c r="BL38" i="5"/>
  <c r="CB38" i="5"/>
  <c r="BX38" i="5"/>
  <c r="CB65" i="5"/>
  <c r="BX65" i="5"/>
  <c r="CK69" i="5"/>
  <c r="CF69" i="5"/>
  <c r="CE69" i="5"/>
  <c r="BU69" i="5"/>
  <c r="CA69" i="5"/>
  <c r="BY69" i="5"/>
  <c r="BV69" i="5"/>
  <c r="CI69" i="5"/>
  <c r="CD69" i="5"/>
  <c r="CC69" i="5"/>
  <c r="BW69" i="5"/>
  <c r="BQ69" i="5"/>
  <c r="BM69" i="5"/>
  <c r="BT69" i="5"/>
  <c r="BK69" i="5"/>
  <c r="BJ69" i="5"/>
  <c r="BI69" i="5"/>
  <c r="BH69" i="5"/>
  <c r="BR69" i="5"/>
  <c r="BS69" i="5"/>
  <c r="BE69" i="5"/>
  <c r="BD69" i="5"/>
  <c r="BA69" i="5"/>
  <c r="BP69" i="5" s="1"/>
  <c r="AV69" i="5"/>
  <c r="BC69" i="5" s="1"/>
  <c r="AZ69" i="5"/>
  <c r="AU69" i="5"/>
  <c r="BN69" i="5" s="1"/>
  <c r="BF69" i="5"/>
  <c r="AY69" i="5"/>
  <c r="BG69" i="5"/>
  <c r="BC46" i="5"/>
  <c r="BX7" i="5"/>
  <c r="CB9" i="5"/>
  <c r="BX9" i="5"/>
  <c r="BX55" i="5"/>
  <c r="J29" i="10"/>
  <c r="CK29" i="5"/>
  <c r="CF29" i="5"/>
  <c r="BU29" i="5"/>
  <c r="BY29" i="5"/>
  <c r="CD29" i="5"/>
  <c r="CC29" i="5"/>
  <c r="CA29" i="5"/>
  <c r="CE29" i="5"/>
  <c r="BV29" i="5"/>
  <c r="BT29" i="5"/>
  <c r="CI29" i="5"/>
  <c r="BS29" i="5"/>
  <c r="BJ29" i="5"/>
  <c r="BK29" i="5"/>
  <c r="BI29" i="5"/>
  <c r="BW29" i="5"/>
  <c r="BQ29" i="5"/>
  <c r="BH29" i="5"/>
  <c r="BR29" i="5"/>
  <c r="BM29" i="5"/>
  <c r="BE29" i="5"/>
  <c r="BG29" i="5"/>
  <c r="BA29" i="5"/>
  <c r="BP29" i="5" s="1"/>
  <c r="AV29" i="5"/>
  <c r="BC29" i="5" s="1"/>
  <c r="BD29" i="5"/>
  <c r="AZ29" i="5"/>
  <c r="AU29" i="5"/>
  <c r="BB29" i="5" s="1"/>
  <c r="AY29" i="5"/>
  <c r="BF29" i="5"/>
  <c r="CI10" i="5"/>
  <c r="CE10" i="5"/>
  <c r="CD10" i="5"/>
  <c r="CK10" i="5"/>
  <c r="CF10" i="5"/>
  <c r="BV10" i="5"/>
  <c r="BU10" i="5"/>
  <c r="BS10" i="5"/>
  <c r="BR10" i="5"/>
  <c r="CC10" i="5"/>
  <c r="CA10" i="5"/>
  <c r="BW10" i="5"/>
  <c r="BI10" i="5"/>
  <c r="BH10" i="5"/>
  <c r="BT10" i="5"/>
  <c r="BJ10" i="5"/>
  <c r="BQ10" i="5"/>
  <c r="BM10" i="5"/>
  <c r="BK10" i="5"/>
  <c r="BE10" i="5"/>
  <c r="BY10" i="5"/>
  <c r="BA10" i="5"/>
  <c r="BP10" i="5" s="1"/>
  <c r="BF10" i="5"/>
  <c r="AZ10" i="5"/>
  <c r="BG10" i="5"/>
  <c r="AY10" i="5"/>
  <c r="BD10" i="5"/>
  <c r="AV10" i="5"/>
  <c r="BC10" i="5" s="1"/>
  <c r="AU10" i="5"/>
  <c r="BN10" i="5" s="1"/>
  <c r="CI74" i="5"/>
  <c r="CI85" i="5" s="1"/>
  <c r="CI86" i="5" s="1"/>
  <c r="CE74" i="5"/>
  <c r="CE85" i="5" s="1"/>
  <c r="CE86" i="5" s="1"/>
  <c r="CA74" i="5"/>
  <c r="CA85" i="5" s="1"/>
  <c r="CA86" i="5" s="1"/>
  <c r="CK74" i="5"/>
  <c r="CK85" i="5" s="1"/>
  <c r="CK86" i="5" s="1"/>
  <c r="BV74" i="5"/>
  <c r="BV85" i="5" s="1"/>
  <c r="BV86" i="5" s="1"/>
  <c r="BS74" i="5"/>
  <c r="BS85" i="5" s="1"/>
  <c r="BS86" i="5" s="1"/>
  <c r="BR74" i="5"/>
  <c r="BR85" i="5" s="1"/>
  <c r="BR86" i="5" s="1"/>
  <c r="CF74" i="5"/>
  <c r="CF85" i="5" s="1"/>
  <c r="CF86" i="5" s="1"/>
  <c r="BT74" i="5"/>
  <c r="BT85" i="5" s="1"/>
  <c r="BT86" i="5" s="1"/>
  <c r="CD74" i="5"/>
  <c r="CD85" i="5" s="1"/>
  <c r="CD86" i="5" s="1"/>
  <c r="BU74" i="5"/>
  <c r="BU85" i="5" s="1"/>
  <c r="BU86" i="5" s="1"/>
  <c r="BY74" i="5"/>
  <c r="BY85" i="5" s="1"/>
  <c r="BY86" i="5" s="1"/>
  <c r="BI74" i="5"/>
  <c r="BI85" i="5" s="1"/>
  <c r="BI86" i="5" s="1"/>
  <c r="BH74" i="5"/>
  <c r="BH85" i="5" s="1"/>
  <c r="BH86" i="5" s="1"/>
  <c r="BK74" i="5"/>
  <c r="BK85" i="5" s="1"/>
  <c r="BK86" i="5" s="1"/>
  <c r="BE74" i="5"/>
  <c r="BE85" i="5" s="1"/>
  <c r="BE86" i="5" s="1"/>
  <c r="CC74" i="5"/>
  <c r="CC85" i="5" s="1"/>
  <c r="CC86" i="5" s="1"/>
  <c r="BW74" i="5"/>
  <c r="BW85" i="5" s="1"/>
  <c r="BW86" i="5" s="1"/>
  <c r="BQ74" i="5"/>
  <c r="BQ85" i="5" s="1"/>
  <c r="BQ86" i="5" s="1"/>
  <c r="BM74" i="5"/>
  <c r="BM85" i="5" s="1"/>
  <c r="BM86" i="5" s="1"/>
  <c r="BJ74" i="5"/>
  <c r="BJ85" i="5" s="1"/>
  <c r="BJ86" i="5" s="1"/>
  <c r="BA74" i="5"/>
  <c r="BA85" i="5" s="1"/>
  <c r="BA86" i="5" s="1"/>
  <c r="BF74" i="5"/>
  <c r="BF85" i="5" s="1"/>
  <c r="BF86" i="5" s="1"/>
  <c r="AZ74" i="5"/>
  <c r="AZ85" i="5" s="1"/>
  <c r="AZ86" i="5" s="1"/>
  <c r="BG74" i="5"/>
  <c r="BG85" i="5" s="1"/>
  <c r="BG86" i="5" s="1"/>
  <c r="AY74" i="5"/>
  <c r="AY85" i="5" s="1"/>
  <c r="AY86" i="5" s="1"/>
  <c r="BD74" i="5"/>
  <c r="BD85" i="5" s="1"/>
  <c r="BD86" i="5" s="1"/>
  <c r="AV74" i="5"/>
  <c r="AU74" i="5"/>
  <c r="CK3" i="5"/>
  <c r="CF3" i="5"/>
  <c r="CI3" i="5"/>
  <c r="CG3" i="5"/>
  <c r="CD3" i="5"/>
  <c r="CC3" i="5"/>
  <c r="CA3" i="5"/>
  <c r="BW3" i="5"/>
  <c r="BV3" i="5"/>
  <c r="BT3" i="5"/>
  <c r="BS3" i="5"/>
  <c r="BJ3" i="5"/>
  <c r="BM3" i="5"/>
  <c r="BQ3" i="5"/>
  <c r="BI3" i="5"/>
  <c r="BR3" i="5"/>
  <c r="BH3" i="5"/>
  <c r="CE3" i="5"/>
  <c r="BF3" i="5"/>
  <c r="BY3" i="5"/>
  <c r="BU3" i="5"/>
  <c r="BK3" i="5"/>
  <c r="BD3" i="5"/>
  <c r="BA3" i="5"/>
  <c r="BP3" i="5" s="1"/>
  <c r="BE3" i="5"/>
  <c r="AZ3" i="5"/>
  <c r="AY3" i="5"/>
  <c r="AV3" i="5"/>
  <c r="BC3" i="5" s="1"/>
  <c r="AU3" i="5"/>
  <c r="BB3" i="5" s="1"/>
  <c r="BG3" i="5"/>
  <c r="CK67" i="5"/>
  <c r="CF67" i="5"/>
  <c r="CI67" i="5"/>
  <c r="CD67" i="5"/>
  <c r="CC67" i="5"/>
  <c r="BW67" i="5"/>
  <c r="BV67" i="5"/>
  <c r="BT67" i="5"/>
  <c r="CA67" i="5"/>
  <c r="BS67" i="5"/>
  <c r="CE67" i="5"/>
  <c r="BJ67" i="5"/>
  <c r="BI67" i="5"/>
  <c r="BY67" i="5"/>
  <c r="BM67" i="5"/>
  <c r="BH67" i="5"/>
  <c r="BQ67" i="5"/>
  <c r="BF67" i="5"/>
  <c r="BU67" i="5"/>
  <c r="BR67" i="5"/>
  <c r="BK67" i="5"/>
  <c r="BD67" i="5"/>
  <c r="BA67" i="5"/>
  <c r="BP67" i="5" s="1"/>
  <c r="BE67" i="5"/>
  <c r="AZ67" i="5"/>
  <c r="AY67" i="5"/>
  <c r="AV67" i="5"/>
  <c r="BC67" i="5" s="1"/>
  <c r="BG67" i="5"/>
  <c r="AU67" i="5"/>
  <c r="BB67" i="5" s="1"/>
  <c r="CK21" i="5"/>
  <c r="CF21" i="5"/>
  <c r="CD21" i="5"/>
  <c r="CC21" i="5"/>
  <c r="CA21" i="5"/>
  <c r="BU21" i="5"/>
  <c r="CE21" i="5"/>
  <c r="CI21" i="5"/>
  <c r="BY21" i="5"/>
  <c r="BV21" i="5"/>
  <c r="BR21" i="5"/>
  <c r="BQ21" i="5"/>
  <c r="BW21" i="5"/>
  <c r="BM21" i="5"/>
  <c r="BS21" i="5"/>
  <c r="BJ21" i="5"/>
  <c r="BI21" i="5"/>
  <c r="BK21" i="5"/>
  <c r="BH21" i="5"/>
  <c r="BT21" i="5"/>
  <c r="BE21" i="5"/>
  <c r="BF21" i="5"/>
  <c r="BG21" i="5"/>
  <c r="BA21" i="5"/>
  <c r="BP21" i="5" s="1"/>
  <c r="AV21" i="5"/>
  <c r="BO21" i="5" s="1"/>
  <c r="AZ21" i="5"/>
  <c r="AU21" i="5"/>
  <c r="BB21" i="5" s="1"/>
  <c r="AY21" i="5"/>
  <c r="BD21" i="5"/>
  <c r="BC20" i="5"/>
  <c r="BP15" i="5"/>
  <c r="BC31" i="5"/>
  <c r="BN55" i="5"/>
  <c r="BZ55" i="5" s="1"/>
  <c r="BC63" i="5"/>
  <c r="F12" i="13"/>
  <c r="F40" i="13" s="1"/>
  <c r="D17" i="10"/>
  <c r="BC53" i="5"/>
  <c r="BO41" i="5"/>
  <c r="BO68" i="5"/>
  <c r="BC6" i="5"/>
  <c r="CK37" i="5"/>
  <c r="CF37" i="5"/>
  <c r="BU37" i="5"/>
  <c r="CI37" i="5"/>
  <c r="CE37" i="5"/>
  <c r="BY37" i="5"/>
  <c r="BV37" i="5"/>
  <c r="CD37" i="5"/>
  <c r="CC37" i="5"/>
  <c r="CA37" i="5"/>
  <c r="BQ37" i="5"/>
  <c r="BW37" i="5"/>
  <c r="BS37" i="5"/>
  <c r="BM37" i="5"/>
  <c r="BR37" i="5"/>
  <c r="BK37" i="5"/>
  <c r="BT37" i="5"/>
  <c r="BI37" i="5"/>
  <c r="BH37" i="5"/>
  <c r="BJ37" i="5"/>
  <c r="BE37" i="5"/>
  <c r="BD37" i="5"/>
  <c r="BA37" i="5"/>
  <c r="BP37" i="5" s="1"/>
  <c r="AV37" i="5"/>
  <c r="BC37" i="5" s="1"/>
  <c r="AZ37" i="5"/>
  <c r="AU37" i="5"/>
  <c r="BN37" i="5" s="1"/>
  <c r="BF37" i="5"/>
  <c r="AY37" i="5"/>
  <c r="BG37" i="5"/>
  <c r="BN17" i="5"/>
  <c r="CI18" i="5"/>
  <c r="CE18" i="5"/>
  <c r="BV18" i="5"/>
  <c r="CK18" i="5"/>
  <c r="CC18" i="5"/>
  <c r="CA18" i="5"/>
  <c r="CF18" i="5"/>
  <c r="BS18" i="5"/>
  <c r="BY18" i="5"/>
  <c r="BR18" i="5"/>
  <c r="BW18" i="5"/>
  <c r="BP18" i="5"/>
  <c r="BU18" i="5"/>
  <c r="BM18" i="5"/>
  <c r="BI18" i="5"/>
  <c r="BJ18" i="5"/>
  <c r="BH18" i="5"/>
  <c r="BK18" i="5"/>
  <c r="BT18" i="5"/>
  <c r="BE18" i="5"/>
  <c r="CD18" i="5"/>
  <c r="BQ18" i="5"/>
  <c r="BG18" i="5"/>
  <c r="BA18" i="5"/>
  <c r="AZ18" i="5"/>
  <c r="AY18" i="5"/>
  <c r="BD18" i="5"/>
  <c r="AV18" i="5"/>
  <c r="BO18" i="5" s="1"/>
  <c r="BF18" i="5"/>
  <c r="AU18" i="5"/>
  <c r="BN18" i="5" s="1"/>
  <c r="CK11" i="5"/>
  <c r="CF11" i="5"/>
  <c r="CI11" i="5"/>
  <c r="CD11" i="5"/>
  <c r="CH11" i="5"/>
  <c r="CE11" i="5"/>
  <c r="BW11" i="5"/>
  <c r="CG11" i="5"/>
  <c r="BZ11" i="5"/>
  <c r="BV11" i="5"/>
  <c r="CC11" i="5"/>
  <c r="CA11" i="5"/>
  <c r="BS11" i="5"/>
  <c r="BY11" i="5"/>
  <c r="BR11" i="5"/>
  <c r="BJ11" i="5"/>
  <c r="BT11" i="5"/>
  <c r="BQ11" i="5"/>
  <c r="BM11" i="5"/>
  <c r="CJ11" i="5"/>
  <c r="BI11" i="5"/>
  <c r="BL11" i="5"/>
  <c r="BH11" i="5"/>
  <c r="BF11" i="5"/>
  <c r="BX11" i="5"/>
  <c r="BK11" i="5"/>
  <c r="BU11" i="5"/>
  <c r="BE11" i="5"/>
  <c r="BA11" i="5"/>
  <c r="BP11" i="5" s="1"/>
  <c r="AZ11" i="5"/>
  <c r="BG11" i="5"/>
  <c r="AY11" i="5"/>
  <c r="AV11" i="5"/>
  <c r="BO11" i="5" s="1"/>
  <c r="AU11" i="5"/>
  <c r="BB11" i="5" s="1"/>
  <c r="BD11" i="5"/>
  <c r="CK2" i="5"/>
  <c r="CJ2" i="5"/>
  <c r="CF2" i="5"/>
  <c r="CI2" i="5"/>
  <c r="CH2" i="5"/>
  <c r="AT77" i="5"/>
  <c r="AT78" i="5" s="1"/>
  <c r="AS77" i="5"/>
  <c r="AS78" i="5" s="1"/>
  <c r="CG2" i="5"/>
  <c r="CE2" i="5"/>
  <c r="BW2" i="5"/>
  <c r="BV2" i="5"/>
  <c r="BT2" i="5"/>
  <c r="BZ2" i="5"/>
  <c r="BS2" i="5"/>
  <c r="CD2" i="5"/>
  <c r="CC2" i="5"/>
  <c r="BY2" i="5"/>
  <c r="BR2" i="5"/>
  <c r="BU2" i="5"/>
  <c r="BQ2" i="5"/>
  <c r="BM2" i="5"/>
  <c r="BJ2" i="5"/>
  <c r="BI2" i="5"/>
  <c r="CA2" i="5"/>
  <c r="BF2" i="5"/>
  <c r="BK2" i="5"/>
  <c r="BX2" i="5"/>
  <c r="BL2" i="5"/>
  <c r="BE2" i="5"/>
  <c r="BA2" i="5"/>
  <c r="BP2" i="5" s="1"/>
  <c r="AZ2" i="5"/>
  <c r="BG2" i="5"/>
  <c r="AY2" i="5"/>
  <c r="BH2" i="5"/>
  <c r="AV2" i="5"/>
  <c r="BD2" i="5"/>
  <c r="AU2" i="5"/>
  <c r="CK45" i="5"/>
  <c r="CF45" i="5"/>
  <c r="BU45" i="5"/>
  <c r="CE45" i="5"/>
  <c r="CI45" i="5"/>
  <c r="CD45" i="5"/>
  <c r="CC45" i="5"/>
  <c r="CA45" i="5"/>
  <c r="BY45" i="5"/>
  <c r="BW45" i="5"/>
  <c r="BS45" i="5"/>
  <c r="BM45" i="5"/>
  <c r="BQ45" i="5"/>
  <c r="BI45" i="5"/>
  <c r="BR45" i="5"/>
  <c r="BH45" i="5"/>
  <c r="BJ45" i="5"/>
  <c r="BT45" i="5"/>
  <c r="BK45" i="5"/>
  <c r="BV45" i="5"/>
  <c r="BE45" i="5"/>
  <c r="BD45" i="5"/>
  <c r="BF45" i="5"/>
  <c r="BA45" i="5"/>
  <c r="BP45" i="5" s="1"/>
  <c r="AV45" i="5"/>
  <c r="BC45" i="5" s="1"/>
  <c r="BG45" i="5"/>
  <c r="AZ45" i="5"/>
  <c r="AU45" i="5"/>
  <c r="BB45" i="5" s="1"/>
  <c r="AY45" i="5"/>
  <c r="BB31" i="5"/>
  <c r="BZ31" i="5" s="1"/>
  <c r="BP31" i="5"/>
  <c r="BD55" i="5"/>
  <c r="BL55" i="5" s="1"/>
  <c r="BB63" i="5"/>
  <c r="BZ63" i="5" s="1"/>
  <c r="CI24" i="5"/>
  <c r="CE24" i="5"/>
  <c r="CC24" i="5"/>
  <c r="BY24" i="5"/>
  <c r="BW24" i="5"/>
  <c r="CF24" i="5"/>
  <c r="BT24" i="5"/>
  <c r="CK24" i="5"/>
  <c r="BQ24" i="5"/>
  <c r="BV24" i="5"/>
  <c r="CD24" i="5"/>
  <c r="BU24" i="5"/>
  <c r="BR24" i="5"/>
  <c r="CA24" i="5"/>
  <c r="BK24" i="5"/>
  <c r="BM24" i="5"/>
  <c r="BS24" i="5"/>
  <c r="BJ24" i="5"/>
  <c r="BI24" i="5"/>
  <c r="BH24" i="5"/>
  <c r="AY24" i="5"/>
  <c r="BD24" i="5"/>
  <c r="BE24" i="5"/>
  <c r="BF24" i="5"/>
  <c r="BG24" i="5"/>
  <c r="BA24" i="5"/>
  <c r="BP24" i="5" s="1"/>
  <c r="AZ24" i="5"/>
  <c r="AV24" i="5"/>
  <c r="BC24" i="5" s="1"/>
  <c r="AU24" i="5"/>
  <c r="BB24" i="5" s="1"/>
  <c r="CI56" i="5"/>
  <c r="CE56" i="5"/>
  <c r="CC56" i="5"/>
  <c r="BY56" i="5"/>
  <c r="BW56" i="5"/>
  <c r="BQ56" i="5"/>
  <c r="BV56" i="5"/>
  <c r="BR56" i="5"/>
  <c r="CA56" i="5"/>
  <c r="CD56" i="5"/>
  <c r="BK56" i="5"/>
  <c r="CF56" i="5"/>
  <c r="BU56" i="5"/>
  <c r="BS56" i="5"/>
  <c r="BM56" i="5"/>
  <c r="BT56" i="5"/>
  <c r="CG56" i="5"/>
  <c r="BJ56" i="5"/>
  <c r="CK56" i="5"/>
  <c r="BI56" i="5"/>
  <c r="BH56" i="5"/>
  <c r="AY56" i="5"/>
  <c r="BD56" i="5"/>
  <c r="AU56" i="5"/>
  <c r="BN56" i="5" s="1"/>
  <c r="BE56" i="5"/>
  <c r="BF56" i="5"/>
  <c r="BG56" i="5"/>
  <c r="BA56" i="5"/>
  <c r="BP56" i="5" s="1"/>
  <c r="AZ56" i="5"/>
  <c r="AV56" i="5"/>
  <c r="BO56" i="5" s="1"/>
  <c r="BP53" i="5"/>
  <c r="CB17" i="5"/>
  <c r="CI26" i="5"/>
  <c r="CE26" i="5"/>
  <c r="CK26" i="5"/>
  <c r="CD26" i="5"/>
  <c r="CC26" i="5"/>
  <c r="CA26" i="5"/>
  <c r="BV26" i="5"/>
  <c r="BU26" i="5"/>
  <c r="BT26" i="5"/>
  <c r="BS26" i="5"/>
  <c r="CF26" i="5"/>
  <c r="BR26" i="5"/>
  <c r="BQ26" i="5"/>
  <c r="BK26" i="5"/>
  <c r="BI26" i="5"/>
  <c r="BH26" i="5"/>
  <c r="BY26" i="5"/>
  <c r="BW26" i="5"/>
  <c r="BE26" i="5"/>
  <c r="BM26" i="5"/>
  <c r="BJ26" i="5"/>
  <c r="BA26" i="5"/>
  <c r="BP26" i="5" s="1"/>
  <c r="AZ26" i="5"/>
  <c r="BD26" i="5"/>
  <c r="AY26" i="5"/>
  <c r="BF26" i="5"/>
  <c r="BG26" i="5"/>
  <c r="AV26" i="5"/>
  <c r="BO26" i="5" s="1"/>
  <c r="AU26" i="5"/>
  <c r="BN26" i="5" s="1"/>
  <c r="CK19" i="5"/>
  <c r="CF19" i="5"/>
  <c r="CI19" i="5"/>
  <c r="CD19" i="5"/>
  <c r="CE19" i="5"/>
  <c r="BW19" i="5"/>
  <c r="BV19" i="5"/>
  <c r="BS19" i="5"/>
  <c r="BU19" i="5"/>
  <c r="BT19" i="5"/>
  <c r="BQ19" i="5"/>
  <c r="BJ19" i="5"/>
  <c r="CC19" i="5"/>
  <c r="BY19" i="5"/>
  <c r="CA19" i="5"/>
  <c r="BR19" i="5"/>
  <c r="BM19" i="5"/>
  <c r="BI19" i="5"/>
  <c r="BH19" i="5"/>
  <c r="BK19" i="5"/>
  <c r="BF19" i="5"/>
  <c r="BG19" i="5"/>
  <c r="BA19" i="5"/>
  <c r="BP19" i="5" s="1"/>
  <c r="AZ19" i="5"/>
  <c r="AY19" i="5"/>
  <c r="AV19" i="5"/>
  <c r="BO19" i="5" s="1"/>
  <c r="BD19" i="5"/>
  <c r="BE19" i="5"/>
  <c r="AU19" i="5"/>
  <c r="BB19" i="5" s="1"/>
  <c r="CK4" i="5"/>
  <c r="CF4" i="5"/>
  <c r="CI4" i="5"/>
  <c r="CE4" i="5"/>
  <c r="BT4" i="5"/>
  <c r="CC4" i="5"/>
  <c r="CA4" i="5"/>
  <c r="BY4" i="5"/>
  <c r="CD4" i="5"/>
  <c r="BW4" i="5"/>
  <c r="BM4" i="5"/>
  <c r="BR4" i="5"/>
  <c r="BU4" i="5"/>
  <c r="BQ4" i="5"/>
  <c r="BK4" i="5"/>
  <c r="BV4" i="5"/>
  <c r="BI4" i="5"/>
  <c r="BS4" i="5"/>
  <c r="BH4" i="5"/>
  <c r="BG4" i="5"/>
  <c r="BJ4" i="5"/>
  <c r="BD4" i="5"/>
  <c r="BA4" i="5"/>
  <c r="BP4" i="5" s="1"/>
  <c r="BE4" i="5"/>
  <c r="AZ4" i="5"/>
  <c r="BF4" i="5"/>
  <c r="AY4" i="5"/>
  <c r="AV4" i="5"/>
  <c r="BC4" i="5" s="1"/>
  <c r="AU4" i="5"/>
  <c r="BB4" i="5" s="1"/>
  <c r="BD23" i="5"/>
  <c r="CB23" i="5" s="1"/>
  <c r="E29" i="10"/>
  <c r="BB30" i="5"/>
  <c r="BZ30" i="5" s="1"/>
  <c r="CI34" i="5"/>
  <c r="CE34" i="5"/>
  <c r="BV34" i="5"/>
  <c r="BS34" i="5"/>
  <c r="CK34" i="5"/>
  <c r="BY34" i="5"/>
  <c r="BR34" i="5"/>
  <c r="BQ34" i="5"/>
  <c r="CF34" i="5"/>
  <c r="CC34" i="5"/>
  <c r="CD34" i="5"/>
  <c r="BI34" i="5"/>
  <c r="BM34" i="5"/>
  <c r="BH34" i="5"/>
  <c r="BT34" i="5"/>
  <c r="CA34" i="5"/>
  <c r="BE34" i="5"/>
  <c r="BW34" i="5"/>
  <c r="BU34" i="5"/>
  <c r="BP34" i="5"/>
  <c r="BJ34" i="5"/>
  <c r="BK34" i="5"/>
  <c r="BD34" i="5"/>
  <c r="BA34" i="5"/>
  <c r="AZ34" i="5"/>
  <c r="AY34" i="5"/>
  <c r="BF34" i="5"/>
  <c r="BG34" i="5"/>
  <c r="AV34" i="5"/>
  <c r="BO34" i="5" s="1"/>
  <c r="AU34" i="5"/>
  <c r="BN34" i="5" s="1"/>
  <c r="CK27" i="5"/>
  <c r="CF27" i="5"/>
  <c r="CI27" i="5"/>
  <c r="BW27" i="5"/>
  <c r="CD27" i="5"/>
  <c r="CC27" i="5"/>
  <c r="CA27" i="5"/>
  <c r="BV27" i="5"/>
  <c r="CE27" i="5"/>
  <c r="BU27" i="5"/>
  <c r="BT27" i="5"/>
  <c r="BS27" i="5"/>
  <c r="BQ27" i="5"/>
  <c r="BM27" i="5"/>
  <c r="BJ27" i="5"/>
  <c r="BK27" i="5"/>
  <c r="BI27" i="5"/>
  <c r="BH27" i="5"/>
  <c r="BY27" i="5"/>
  <c r="BR27" i="5"/>
  <c r="BF27" i="5"/>
  <c r="BA27" i="5"/>
  <c r="BP27" i="5" s="1"/>
  <c r="AZ27" i="5"/>
  <c r="BD27" i="5"/>
  <c r="AY27" i="5"/>
  <c r="BE27" i="5"/>
  <c r="AV27" i="5"/>
  <c r="BC27" i="5" s="1"/>
  <c r="AU27" i="5"/>
  <c r="BB27" i="5" s="1"/>
  <c r="BG27" i="5"/>
  <c r="CK12" i="5"/>
  <c r="CF12" i="5"/>
  <c r="CI12" i="5"/>
  <c r="CE12" i="5"/>
  <c r="CC12" i="5"/>
  <c r="CA12" i="5"/>
  <c r="BT12" i="5"/>
  <c r="BY12" i="5"/>
  <c r="BW12" i="5"/>
  <c r="BU12" i="5"/>
  <c r="CD12" i="5"/>
  <c r="BQ12" i="5"/>
  <c r="BM12" i="5"/>
  <c r="BK12" i="5"/>
  <c r="BI12" i="5"/>
  <c r="BH12" i="5"/>
  <c r="BJ12" i="5"/>
  <c r="BG12" i="5"/>
  <c r="BR12" i="5"/>
  <c r="BV12" i="5"/>
  <c r="BS12" i="5"/>
  <c r="BD12" i="5"/>
  <c r="BE12" i="5"/>
  <c r="BF12" i="5"/>
  <c r="BA12" i="5"/>
  <c r="BP12" i="5" s="1"/>
  <c r="AZ12" i="5"/>
  <c r="AY12" i="5"/>
  <c r="AV12" i="5"/>
  <c r="BO12" i="5" s="1"/>
  <c r="AU12" i="5"/>
  <c r="BB12" i="5" s="1"/>
  <c r="BC60" i="5"/>
  <c r="BP60" i="5"/>
  <c r="BB7" i="5"/>
  <c r="BZ7" i="5" s="1"/>
  <c r="BN15" i="5"/>
  <c r="BZ15" i="5" s="1"/>
  <c r="BD39" i="5"/>
  <c r="BL39" i="5" s="1"/>
  <c r="BO47" i="5"/>
  <c r="BP63" i="5"/>
  <c r="BD71" i="5"/>
  <c r="CI32" i="5"/>
  <c r="CE32" i="5"/>
  <c r="CC32" i="5"/>
  <c r="BY32" i="5"/>
  <c r="CA32" i="5"/>
  <c r="BW32" i="5"/>
  <c r="CK32" i="5"/>
  <c r="BQ32" i="5"/>
  <c r="CD32" i="5"/>
  <c r="BT32" i="5"/>
  <c r="BK32" i="5"/>
  <c r="BS32" i="5"/>
  <c r="BM32" i="5"/>
  <c r="BJ32" i="5"/>
  <c r="BV32" i="5"/>
  <c r="BU32" i="5"/>
  <c r="BI32" i="5"/>
  <c r="CF32" i="5"/>
  <c r="BR32" i="5"/>
  <c r="BH32" i="5"/>
  <c r="BE32" i="5"/>
  <c r="AY32" i="5"/>
  <c r="BF32" i="5"/>
  <c r="BG32" i="5"/>
  <c r="BA32" i="5"/>
  <c r="BP32" i="5" s="1"/>
  <c r="BD32" i="5"/>
  <c r="AZ32" i="5"/>
  <c r="AV32" i="5"/>
  <c r="BC32" i="5" s="1"/>
  <c r="AU32" i="5"/>
  <c r="BN32" i="5" s="1"/>
  <c r="CI64" i="5"/>
  <c r="CE64" i="5"/>
  <c r="CC64" i="5"/>
  <c r="CF64" i="5"/>
  <c r="BY64" i="5"/>
  <c r="BW64" i="5"/>
  <c r="CA64" i="5"/>
  <c r="BU64" i="5"/>
  <c r="BQ64" i="5"/>
  <c r="BT64" i="5"/>
  <c r="BS64" i="5"/>
  <c r="CK64" i="5"/>
  <c r="BV64" i="5"/>
  <c r="BK64" i="5"/>
  <c r="BM64" i="5"/>
  <c r="BR64" i="5"/>
  <c r="BJ64" i="5"/>
  <c r="CD64" i="5"/>
  <c r="BI64" i="5"/>
  <c r="BH64" i="5"/>
  <c r="BE64" i="5"/>
  <c r="AY64" i="5"/>
  <c r="BF64" i="5"/>
  <c r="BG64" i="5"/>
  <c r="BA64" i="5"/>
  <c r="BP64" i="5" s="1"/>
  <c r="BD64" i="5"/>
  <c r="AZ64" i="5"/>
  <c r="AV64" i="5"/>
  <c r="BO64" i="5" s="1"/>
  <c r="AU64" i="5"/>
  <c r="BN64" i="5" s="1"/>
  <c r="CK13" i="5"/>
  <c r="CF13" i="5"/>
  <c r="BU13" i="5"/>
  <c r="CI13" i="5"/>
  <c r="CC13" i="5"/>
  <c r="CA13" i="5"/>
  <c r="CE13" i="5"/>
  <c r="BY13" i="5"/>
  <c r="BT13" i="5"/>
  <c r="BS13" i="5"/>
  <c r="BR13" i="5"/>
  <c r="BV13" i="5"/>
  <c r="BW13" i="5"/>
  <c r="BI13" i="5"/>
  <c r="CD13" i="5"/>
  <c r="BH13" i="5"/>
  <c r="BQ13" i="5"/>
  <c r="BM13" i="5"/>
  <c r="BJ13" i="5"/>
  <c r="BK13" i="5"/>
  <c r="BE13" i="5"/>
  <c r="BD13" i="5"/>
  <c r="BF13" i="5"/>
  <c r="BA13" i="5"/>
  <c r="BP13" i="5" s="1"/>
  <c r="AV13" i="5"/>
  <c r="BC13" i="5" s="1"/>
  <c r="BG13" i="5"/>
  <c r="AZ13" i="5"/>
  <c r="AU13" i="5"/>
  <c r="BN13" i="5" s="1"/>
  <c r="AY13" i="5"/>
  <c r="CI42" i="5"/>
  <c r="CE42" i="5"/>
  <c r="BV42" i="5"/>
  <c r="BS42" i="5"/>
  <c r="BR42" i="5"/>
  <c r="BY42" i="5"/>
  <c r="BT42" i="5"/>
  <c r="CD42" i="5"/>
  <c r="CA42" i="5"/>
  <c r="BU42" i="5"/>
  <c r="CF42" i="5"/>
  <c r="BI42" i="5"/>
  <c r="BQ42" i="5"/>
  <c r="BH42" i="5"/>
  <c r="BJ42" i="5"/>
  <c r="BK42" i="5"/>
  <c r="BE42" i="5"/>
  <c r="CK42" i="5"/>
  <c r="CC42" i="5"/>
  <c r="BW42" i="5"/>
  <c r="BM42" i="5"/>
  <c r="BA42" i="5"/>
  <c r="BP42" i="5" s="1"/>
  <c r="BF42" i="5"/>
  <c r="AZ42" i="5"/>
  <c r="BG42" i="5"/>
  <c r="AY42" i="5"/>
  <c r="BD42" i="5"/>
  <c r="AV42" i="5"/>
  <c r="BO42" i="5" s="1"/>
  <c r="AU42" i="5"/>
  <c r="BB42" i="5" s="1"/>
  <c r="CK35" i="5"/>
  <c r="CF35" i="5"/>
  <c r="CI35" i="5"/>
  <c r="CD35" i="5"/>
  <c r="CC35" i="5"/>
  <c r="CA35" i="5"/>
  <c r="BW35" i="5"/>
  <c r="BV35" i="5"/>
  <c r="BT35" i="5"/>
  <c r="BS35" i="5"/>
  <c r="BY35" i="5"/>
  <c r="BU35" i="5"/>
  <c r="BR35" i="5"/>
  <c r="BJ35" i="5"/>
  <c r="BI35" i="5"/>
  <c r="BM35" i="5"/>
  <c r="BH35" i="5"/>
  <c r="BF35" i="5"/>
  <c r="CE35" i="5"/>
  <c r="BQ35" i="5"/>
  <c r="BK35" i="5"/>
  <c r="BD35" i="5"/>
  <c r="BA35" i="5"/>
  <c r="BP35" i="5" s="1"/>
  <c r="BE35" i="5"/>
  <c r="AZ35" i="5"/>
  <c r="AY35" i="5"/>
  <c r="AV35" i="5"/>
  <c r="BO35" i="5" s="1"/>
  <c r="BG35" i="5"/>
  <c r="AU35" i="5"/>
  <c r="BN35" i="5" s="1"/>
  <c r="CK28" i="5"/>
  <c r="CF28" i="5"/>
  <c r="CI28" i="5"/>
  <c r="CE28" i="5"/>
  <c r="BT28" i="5"/>
  <c r="BY28" i="5"/>
  <c r="BW28" i="5"/>
  <c r="BM28" i="5"/>
  <c r="BK28" i="5"/>
  <c r="BR28" i="5"/>
  <c r="BJ28" i="5"/>
  <c r="CA28" i="5"/>
  <c r="BI28" i="5"/>
  <c r="BV28" i="5"/>
  <c r="BU28" i="5"/>
  <c r="BQ28" i="5"/>
  <c r="BH28" i="5"/>
  <c r="BG28" i="5"/>
  <c r="CC28" i="5"/>
  <c r="BS28" i="5"/>
  <c r="CD28" i="5"/>
  <c r="BD28" i="5"/>
  <c r="BA28" i="5"/>
  <c r="BP28" i="5" s="1"/>
  <c r="AZ28" i="5"/>
  <c r="AY28" i="5"/>
  <c r="AV28" i="5"/>
  <c r="BO28" i="5" s="1"/>
  <c r="AU28" i="5"/>
  <c r="BB28" i="5" s="1"/>
  <c r="BE28" i="5"/>
  <c r="BF28" i="5"/>
  <c r="BB60" i="5"/>
  <c r="BZ60" i="5" s="1"/>
  <c r="BD7" i="5"/>
  <c r="BL7" i="5" s="1"/>
  <c r="BC23" i="5"/>
  <c r="BC39" i="5"/>
  <c r="BC71" i="5"/>
  <c r="BB33" i="5"/>
  <c r="BZ33" i="5" s="1"/>
  <c r="AX77" i="5"/>
  <c r="AX78" i="5" s="1"/>
  <c r="CK61" i="5"/>
  <c r="CF61" i="5"/>
  <c r="BU61" i="5"/>
  <c r="CA61" i="5"/>
  <c r="BY61" i="5"/>
  <c r="CI61" i="5"/>
  <c r="BT61" i="5"/>
  <c r="BQ61" i="5"/>
  <c r="BM61" i="5"/>
  <c r="CE61" i="5"/>
  <c r="BV61" i="5"/>
  <c r="BK61" i="5"/>
  <c r="BJ61" i="5"/>
  <c r="CC61" i="5"/>
  <c r="BW61" i="5"/>
  <c r="BR61" i="5"/>
  <c r="BI61" i="5"/>
  <c r="BS61" i="5"/>
  <c r="BH61" i="5"/>
  <c r="CD61" i="5"/>
  <c r="BE61" i="5"/>
  <c r="BG61" i="5"/>
  <c r="BA61" i="5"/>
  <c r="BP61" i="5" s="1"/>
  <c r="AV61" i="5"/>
  <c r="BO61" i="5" s="1"/>
  <c r="BD61" i="5"/>
  <c r="AZ61" i="5"/>
  <c r="AU61" i="5"/>
  <c r="BN61" i="5" s="1"/>
  <c r="AY61" i="5"/>
  <c r="BF61" i="5"/>
  <c r="CI50" i="5"/>
  <c r="CE50" i="5"/>
  <c r="CK50" i="5"/>
  <c r="CD50" i="5"/>
  <c r="CC50" i="5"/>
  <c r="CA50" i="5"/>
  <c r="BV50" i="5"/>
  <c r="BS50" i="5"/>
  <c r="BY50" i="5"/>
  <c r="BR50" i="5"/>
  <c r="CF50" i="5"/>
  <c r="BU50" i="5"/>
  <c r="BW50" i="5"/>
  <c r="BI50" i="5"/>
  <c r="BT50" i="5"/>
  <c r="BJ50" i="5"/>
  <c r="BH50" i="5"/>
  <c r="BK50" i="5"/>
  <c r="BQ50" i="5"/>
  <c r="BE50" i="5"/>
  <c r="BM50" i="5"/>
  <c r="BG50" i="5"/>
  <c r="BA50" i="5"/>
  <c r="BP50" i="5" s="1"/>
  <c r="AZ50" i="5"/>
  <c r="AY50" i="5"/>
  <c r="BD50" i="5"/>
  <c r="AV50" i="5"/>
  <c r="BO50" i="5" s="1"/>
  <c r="BF50" i="5"/>
  <c r="AU50" i="5"/>
  <c r="BB50" i="5" s="1"/>
  <c r="CK43" i="5"/>
  <c r="CF43" i="5"/>
  <c r="CI43" i="5"/>
  <c r="CG43" i="5"/>
  <c r="CE43" i="5"/>
  <c r="BW43" i="5"/>
  <c r="BV43" i="5"/>
  <c r="BT43" i="5"/>
  <c r="BS43" i="5"/>
  <c r="BR43" i="5"/>
  <c r="BU43" i="5"/>
  <c r="BJ43" i="5"/>
  <c r="CC43" i="5"/>
  <c r="BM43" i="5"/>
  <c r="BI43" i="5"/>
  <c r="CD43" i="5"/>
  <c r="BQ43" i="5"/>
  <c r="BH43" i="5"/>
  <c r="BF43" i="5"/>
  <c r="CA43" i="5"/>
  <c r="BK43" i="5"/>
  <c r="BY43" i="5"/>
  <c r="BE43" i="5"/>
  <c r="BA43" i="5"/>
  <c r="BP43" i="5" s="1"/>
  <c r="AZ43" i="5"/>
  <c r="BG43" i="5"/>
  <c r="AY43" i="5"/>
  <c r="AV43" i="5"/>
  <c r="BO43" i="5" s="1"/>
  <c r="AU43" i="5"/>
  <c r="BN43" i="5" s="1"/>
  <c r="BD43" i="5"/>
  <c r="CK36" i="5"/>
  <c r="CF36" i="5"/>
  <c r="CI36" i="5"/>
  <c r="CE36" i="5"/>
  <c r="BY36" i="5"/>
  <c r="CD36" i="5"/>
  <c r="CC36" i="5"/>
  <c r="CA36" i="5"/>
  <c r="BW36" i="5"/>
  <c r="BT36" i="5"/>
  <c r="BV36" i="5"/>
  <c r="BR36" i="5"/>
  <c r="BK36" i="5"/>
  <c r="BS36" i="5"/>
  <c r="BI36" i="5"/>
  <c r="BM36" i="5"/>
  <c r="BH36" i="5"/>
  <c r="BG36" i="5"/>
  <c r="BU36" i="5"/>
  <c r="BJ36" i="5"/>
  <c r="BQ36" i="5"/>
  <c r="BD36" i="5"/>
  <c r="BA36" i="5"/>
  <c r="BP36" i="5" s="1"/>
  <c r="BE36" i="5"/>
  <c r="AZ36" i="5"/>
  <c r="BF36" i="5"/>
  <c r="AY36" i="5"/>
  <c r="AV36" i="5"/>
  <c r="BC36" i="5" s="1"/>
  <c r="AU36" i="5"/>
  <c r="BN36" i="5" s="1"/>
  <c r="BD20" i="5"/>
  <c r="CB20" i="5" s="1"/>
  <c r="BC7" i="5"/>
  <c r="BC33" i="5"/>
  <c r="CI8" i="5"/>
  <c r="CE8" i="5"/>
  <c r="CC8" i="5"/>
  <c r="CJ8" i="5"/>
  <c r="CG8" i="5"/>
  <c r="CD8" i="5"/>
  <c r="BY8" i="5"/>
  <c r="CK8" i="5"/>
  <c r="CH8" i="5"/>
  <c r="BW8" i="5"/>
  <c r="CA8" i="5"/>
  <c r="BZ8" i="5"/>
  <c r="BT8" i="5"/>
  <c r="BX8" i="5"/>
  <c r="BQ8" i="5"/>
  <c r="BV8" i="5"/>
  <c r="BS8" i="5"/>
  <c r="BL8" i="5"/>
  <c r="BK8" i="5"/>
  <c r="BJ8" i="5"/>
  <c r="BM8" i="5"/>
  <c r="BR8" i="5"/>
  <c r="CF8" i="5"/>
  <c r="BU8" i="5"/>
  <c r="BI8" i="5"/>
  <c r="BH8" i="5"/>
  <c r="BG8" i="5"/>
  <c r="AY8" i="5"/>
  <c r="BD8" i="5"/>
  <c r="BE8" i="5"/>
  <c r="BA8" i="5"/>
  <c r="BP8" i="5" s="1"/>
  <c r="BF8" i="5"/>
  <c r="AZ8" i="5"/>
  <c r="AV8" i="5"/>
  <c r="BO8" i="5" s="1"/>
  <c r="AU8" i="5"/>
  <c r="BB8" i="5" s="1"/>
  <c r="CI40" i="5"/>
  <c r="CE40" i="5"/>
  <c r="CC40" i="5"/>
  <c r="CA40" i="5"/>
  <c r="BY40" i="5"/>
  <c r="CD40" i="5"/>
  <c r="BW40" i="5"/>
  <c r="CF40" i="5"/>
  <c r="CK40" i="5"/>
  <c r="BQ40" i="5"/>
  <c r="BV40" i="5"/>
  <c r="BU40" i="5"/>
  <c r="BS40" i="5"/>
  <c r="BR40" i="5"/>
  <c r="BK40" i="5"/>
  <c r="BJ40" i="5"/>
  <c r="BT40" i="5"/>
  <c r="BM40" i="5"/>
  <c r="BI40" i="5"/>
  <c r="BH40" i="5"/>
  <c r="BG40" i="5"/>
  <c r="AY40" i="5"/>
  <c r="BD40" i="5"/>
  <c r="BE40" i="5"/>
  <c r="BA40" i="5"/>
  <c r="BP40" i="5" s="1"/>
  <c r="BF40" i="5"/>
  <c r="AZ40" i="5"/>
  <c r="AV40" i="5"/>
  <c r="BC40" i="5" s="1"/>
  <c r="AU40" i="5"/>
  <c r="BB40" i="5" s="1"/>
  <c r="CI72" i="5"/>
  <c r="CI79" i="5" s="1"/>
  <c r="CI80" i="5" s="1"/>
  <c r="CE72" i="5"/>
  <c r="CE79" i="5" s="1"/>
  <c r="CE80" i="5" s="1"/>
  <c r="CC72" i="5"/>
  <c r="CC79" i="5" s="1"/>
  <c r="CC80" i="5" s="1"/>
  <c r="BY72" i="5"/>
  <c r="BY79" i="5" s="1"/>
  <c r="BY80" i="5" s="1"/>
  <c r="CK72" i="5"/>
  <c r="CK79" i="5" s="1"/>
  <c r="CK80" i="5" s="1"/>
  <c r="M12" i="13" s="1"/>
  <c r="M40" i="13" s="1"/>
  <c r="BW72" i="5"/>
  <c r="BW79" i="5" s="1"/>
  <c r="BW80" i="5" s="1"/>
  <c r="CF72" i="5"/>
  <c r="CF79" i="5" s="1"/>
  <c r="CF80" i="5" s="1"/>
  <c r="CD72" i="5"/>
  <c r="CD79" i="5" s="1"/>
  <c r="CD80" i="5" s="1"/>
  <c r="BQ72" i="5"/>
  <c r="BQ79" i="5" s="1"/>
  <c r="BQ80" i="5" s="1"/>
  <c r="BV72" i="5"/>
  <c r="BV79" i="5" s="1"/>
  <c r="BV80" i="5" s="1"/>
  <c r="CA72" i="5"/>
  <c r="CA79" i="5" s="1"/>
  <c r="CA80" i="5" s="1"/>
  <c r="BS72" i="5"/>
  <c r="BS79" i="5" s="1"/>
  <c r="BS80" i="5" s="1"/>
  <c r="BK72" i="5"/>
  <c r="BK79" i="5" s="1"/>
  <c r="BK80" i="5" s="1"/>
  <c r="BR72" i="5"/>
  <c r="BR79" i="5" s="1"/>
  <c r="BR80" i="5" s="1"/>
  <c r="BT72" i="5"/>
  <c r="BT79" i="5" s="1"/>
  <c r="BT80" i="5" s="1"/>
  <c r="BJ72" i="5"/>
  <c r="BJ79" i="5" s="1"/>
  <c r="BJ80" i="5" s="1"/>
  <c r="BM72" i="5"/>
  <c r="BM79" i="5" s="1"/>
  <c r="BM80" i="5" s="1"/>
  <c r="G17" i="10" s="1"/>
  <c r="BI72" i="5"/>
  <c r="BI79" i="5" s="1"/>
  <c r="BI80" i="5" s="1"/>
  <c r="BU72" i="5"/>
  <c r="BU79" i="5" s="1"/>
  <c r="BU80" i="5" s="1"/>
  <c r="BH72" i="5"/>
  <c r="BH79" i="5" s="1"/>
  <c r="BH80" i="5" s="1"/>
  <c r="BG72" i="5"/>
  <c r="BG79" i="5" s="1"/>
  <c r="BG80" i="5" s="1"/>
  <c r="AY72" i="5"/>
  <c r="AY79" i="5" s="1"/>
  <c r="AY80" i="5" s="1"/>
  <c r="BD72" i="5"/>
  <c r="BE72" i="5"/>
  <c r="BE79" i="5" s="1"/>
  <c r="BE80" i="5" s="1"/>
  <c r="BA72" i="5"/>
  <c r="BP72" i="5" s="1"/>
  <c r="BF72" i="5"/>
  <c r="BF79" i="5" s="1"/>
  <c r="BF80" i="5" s="1"/>
  <c r="AZ72" i="5"/>
  <c r="AZ79" i="5" s="1"/>
  <c r="AZ80" i="5" s="1"/>
  <c r="AV72" i="5"/>
  <c r="AV79" i="5" s="1"/>
  <c r="AV80" i="5" s="1"/>
  <c r="AU72" i="5"/>
  <c r="BB72" i="5" s="1"/>
  <c r="BB79" i="5" s="1"/>
  <c r="BB80" i="5" s="1"/>
  <c r="BB53" i="5"/>
  <c r="BZ53" i="5" s="1"/>
  <c r="BB68" i="5"/>
  <c r="BZ68" i="5" s="1"/>
  <c r="CI58" i="5"/>
  <c r="CE58" i="5"/>
  <c r="CD58" i="5"/>
  <c r="CC58" i="5"/>
  <c r="CA58" i="5"/>
  <c r="CK58" i="5"/>
  <c r="CF58" i="5"/>
  <c r="BV58" i="5"/>
  <c r="BS58" i="5"/>
  <c r="BR58" i="5"/>
  <c r="BW58" i="5"/>
  <c r="BT58" i="5"/>
  <c r="BQ58" i="5"/>
  <c r="BK58" i="5"/>
  <c r="BI58" i="5"/>
  <c r="BY58" i="5"/>
  <c r="BH58" i="5"/>
  <c r="BU58" i="5"/>
  <c r="BM58" i="5"/>
  <c r="BE58" i="5"/>
  <c r="BJ58" i="5"/>
  <c r="BA58" i="5"/>
  <c r="BP58" i="5" s="1"/>
  <c r="AZ58" i="5"/>
  <c r="BD58" i="5"/>
  <c r="AY58" i="5"/>
  <c r="BF58" i="5"/>
  <c r="BG58" i="5"/>
  <c r="AV58" i="5"/>
  <c r="BO58" i="5" s="1"/>
  <c r="AU58" i="5"/>
  <c r="BN58" i="5" s="1"/>
  <c r="CK51" i="5"/>
  <c r="CF51" i="5"/>
  <c r="CI51" i="5"/>
  <c r="BW51" i="5"/>
  <c r="CE51" i="5"/>
  <c r="BV51" i="5"/>
  <c r="BU51" i="5"/>
  <c r="BT51" i="5"/>
  <c r="CD51" i="5"/>
  <c r="CC51" i="5"/>
  <c r="CA51" i="5"/>
  <c r="BS51" i="5"/>
  <c r="BJ51" i="5"/>
  <c r="BI51" i="5"/>
  <c r="BH51" i="5"/>
  <c r="BK51" i="5"/>
  <c r="BF51" i="5"/>
  <c r="BQ51" i="5"/>
  <c r="BR51" i="5"/>
  <c r="BM51" i="5"/>
  <c r="BY51" i="5"/>
  <c r="BG51" i="5"/>
  <c r="BA51" i="5"/>
  <c r="BP51" i="5" s="1"/>
  <c r="AZ51" i="5"/>
  <c r="AY51" i="5"/>
  <c r="AV51" i="5"/>
  <c r="BO51" i="5" s="1"/>
  <c r="AU51" i="5"/>
  <c r="BN51" i="5" s="1"/>
  <c r="BD51" i="5"/>
  <c r="BE51" i="5"/>
  <c r="CK44" i="5"/>
  <c r="CF44" i="5"/>
  <c r="CI44" i="5"/>
  <c r="CE44" i="5"/>
  <c r="CD44" i="5"/>
  <c r="CC44" i="5"/>
  <c r="CA44" i="5"/>
  <c r="BY44" i="5"/>
  <c r="BW44" i="5"/>
  <c r="BT44" i="5"/>
  <c r="BQ44" i="5"/>
  <c r="BK44" i="5"/>
  <c r="BS44" i="5"/>
  <c r="BM44" i="5"/>
  <c r="BI44" i="5"/>
  <c r="BR44" i="5"/>
  <c r="BH44" i="5"/>
  <c r="BJ44" i="5"/>
  <c r="BG44" i="5"/>
  <c r="BV44" i="5"/>
  <c r="BU44" i="5"/>
  <c r="BD44" i="5"/>
  <c r="BE44" i="5"/>
  <c r="BF44" i="5"/>
  <c r="BA44" i="5"/>
  <c r="BP44" i="5" s="1"/>
  <c r="AZ44" i="5"/>
  <c r="AY44" i="5"/>
  <c r="AV44" i="5"/>
  <c r="BC44" i="5" s="1"/>
  <c r="AU44" i="5"/>
  <c r="BB44" i="5" s="1"/>
  <c r="BD47" i="5"/>
  <c r="BP68" i="5"/>
  <c r="AA11" i="13"/>
  <c r="G39" i="13"/>
  <c r="L28" i="10"/>
  <c r="L29" i="10" s="1"/>
  <c r="K29" i="10"/>
  <c r="H16" i="10"/>
  <c r="CJ5" i="5"/>
  <c r="CK5" i="5"/>
  <c r="CH5" i="5"/>
  <c r="CF5" i="5"/>
  <c r="CE5" i="5"/>
  <c r="BU5" i="5"/>
  <c r="BT5" i="5"/>
  <c r="CG5" i="5"/>
  <c r="BX5" i="5"/>
  <c r="BY5" i="5"/>
  <c r="CI5" i="5"/>
  <c r="BV5" i="5"/>
  <c r="CD5" i="5"/>
  <c r="BW5" i="5"/>
  <c r="BQ5" i="5"/>
  <c r="CC5" i="5"/>
  <c r="BK5" i="5"/>
  <c r="BM5" i="5"/>
  <c r="BL5" i="5"/>
  <c r="BR5" i="5"/>
  <c r="BI5" i="5"/>
  <c r="BZ5" i="5"/>
  <c r="BS5" i="5"/>
  <c r="BH5" i="5"/>
  <c r="CA5" i="5"/>
  <c r="BJ5" i="5"/>
  <c r="BE5" i="5"/>
  <c r="BB5" i="5"/>
  <c r="BD5" i="5"/>
  <c r="BA5" i="5"/>
  <c r="BP5" i="5" s="1"/>
  <c r="AV5" i="5"/>
  <c r="BC5" i="5" s="1"/>
  <c r="AZ5" i="5"/>
  <c r="AU5" i="5"/>
  <c r="BN5" i="5" s="1"/>
  <c r="BF5" i="5"/>
  <c r="AY5" i="5"/>
  <c r="BG5" i="5"/>
  <c r="BN14" i="5"/>
  <c r="CI66" i="5"/>
  <c r="CE66" i="5"/>
  <c r="CF66" i="5"/>
  <c r="CA66" i="5"/>
  <c r="BV66" i="5"/>
  <c r="CD66" i="5"/>
  <c r="CC66" i="5"/>
  <c r="BS66" i="5"/>
  <c r="BY66" i="5"/>
  <c r="BU66" i="5"/>
  <c r="BR66" i="5"/>
  <c r="BQ66" i="5"/>
  <c r="BW66" i="5"/>
  <c r="BT66" i="5"/>
  <c r="BI66" i="5"/>
  <c r="BM66" i="5"/>
  <c r="BH66" i="5"/>
  <c r="BE66" i="5"/>
  <c r="BK66" i="5"/>
  <c r="CK66" i="5"/>
  <c r="BJ66" i="5"/>
  <c r="BD66" i="5"/>
  <c r="BA66" i="5"/>
  <c r="BP66" i="5" s="1"/>
  <c r="AZ66" i="5"/>
  <c r="AY66" i="5"/>
  <c r="BF66" i="5"/>
  <c r="BG66" i="5"/>
  <c r="AV66" i="5"/>
  <c r="BC66" i="5" s="1"/>
  <c r="AU66" i="5"/>
  <c r="BN66" i="5" s="1"/>
  <c r="CK59" i="5"/>
  <c r="CF59" i="5"/>
  <c r="CI59" i="5"/>
  <c r="CD59" i="5"/>
  <c r="CC59" i="5"/>
  <c r="BW59" i="5"/>
  <c r="BV59" i="5"/>
  <c r="BT59" i="5"/>
  <c r="CE59" i="5"/>
  <c r="BS59" i="5"/>
  <c r="CA59" i="5"/>
  <c r="BU59" i="5"/>
  <c r="BQ59" i="5"/>
  <c r="BY59" i="5"/>
  <c r="BJ59" i="5"/>
  <c r="BR59" i="5"/>
  <c r="BK59" i="5"/>
  <c r="BI59" i="5"/>
  <c r="BH59" i="5"/>
  <c r="BM59" i="5"/>
  <c r="BF59" i="5"/>
  <c r="BA59" i="5"/>
  <c r="BP59" i="5" s="1"/>
  <c r="AZ59" i="5"/>
  <c r="BD59" i="5"/>
  <c r="AY59" i="5"/>
  <c r="BE59" i="5"/>
  <c r="AV59" i="5"/>
  <c r="BO59" i="5" s="1"/>
  <c r="AU59" i="5"/>
  <c r="BN59" i="5" s="1"/>
  <c r="BG59" i="5"/>
  <c r="CK52" i="5"/>
  <c r="CI52" i="5"/>
  <c r="CE52" i="5"/>
  <c r="CF52" i="5"/>
  <c r="BY52" i="5"/>
  <c r="BW52" i="5"/>
  <c r="BU52" i="5"/>
  <c r="BT52" i="5"/>
  <c r="CD52" i="5"/>
  <c r="CC52" i="5"/>
  <c r="CA52" i="5"/>
  <c r="BS52" i="5"/>
  <c r="BK52" i="5"/>
  <c r="BV52" i="5"/>
  <c r="BJ52" i="5"/>
  <c r="BI52" i="5"/>
  <c r="BH52" i="5"/>
  <c r="BG52" i="5"/>
  <c r="BQ52" i="5"/>
  <c r="BR52" i="5"/>
  <c r="BM52" i="5"/>
  <c r="BD52" i="5"/>
  <c r="BF52" i="5"/>
  <c r="BA52" i="5"/>
  <c r="BP52" i="5" s="1"/>
  <c r="AZ52" i="5"/>
  <c r="AY52" i="5"/>
  <c r="AV52" i="5"/>
  <c r="BC52" i="5" s="1"/>
  <c r="AU52" i="5"/>
  <c r="BB52" i="5" s="1"/>
  <c r="BE52" i="5"/>
  <c r="BP71" i="5"/>
  <c r="F10" i="13"/>
  <c r="D15" i="10"/>
  <c r="D18" i="10" s="1"/>
  <c r="D21" i="10" s="1"/>
  <c r="CI16" i="5"/>
  <c r="CE16" i="5"/>
  <c r="CC16" i="5"/>
  <c r="BY16" i="5"/>
  <c r="BW16" i="5"/>
  <c r="CK16" i="5"/>
  <c r="BT16" i="5"/>
  <c r="CD16" i="5"/>
  <c r="BQ16" i="5"/>
  <c r="CF16" i="5"/>
  <c r="BV16" i="5"/>
  <c r="BK16" i="5"/>
  <c r="BU16" i="5"/>
  <c r="BR16" i="5"/>
  <c r="BS16" i="5"/>
  <c r="BI16" i="5"/>
  <c r="CA16" i="5"/>
  <c r="BM16" i="5"/>
  <c r="BJ16" i="5"/>
  <c r="BH16" i="5"/>
  <c r="AY16" i="5"/>
  <c r="BD16" i="5"/>
  <c r="BE16" i="5"/>
  <c r="BF16" i="5"/>
  <c r="BG16" i="5"/>
  <c r="BA16" i="5"/>
  <c r="BP16" i="5" s="1"/>
  <c r="AZ16" i="5"/>
  <c r="AV16" i="5"/>
  <c r="BC16" i="5" s="1"/>
  <c r="AU16" i="5"/>
  <c r="BB16" i="5" s="1"/>
  <c r="CI48" i="5"/>
  <c r="CE48" i="5"/>
  <c r="CC48" i="5"/>
  <c r="CK48" i="5"/>
  <c r="CD48" i="5"/>
  <c r="BY48" i="5"/>
  <c r="BW48" i="5"/>
  <c r="CA48" i="5"/>
  <c r="BQ48" i="5"/>
  <c r="BV48" i="5"/>
  <c r="BR48" i="5"/>
  <c r="BK48" i="5"/>
  <c r="BT48" i="5"/>
  <c r="CF48" i="5"/>
  <c r="BU48" i="5"/>
  <c r="BM48" i="5"/>
  <c r="BI48" i="5"/>
  <c r="BS48" i="5"/>
  <c r="BJ48" i="5"/>
  <c r="BH48" i="5"/>
  <c r="AY48" i="5"/>
  <c r="BD48" i="5"/>
  <c r="BE48" i="5"/>
  <c r="BF48" i="5"/>
  <c r="BG48" i="5"/>
  <c r="BA48" i="5"/>
  <c r="BP48" i="5" s="1"/>
  <c r="AZ48" i="5"/>
  <c r="AV48" i="5"/>
  <c r="BO48" i="5" s="1"/>
  <c r="AU48" i="5"/>
  <c r="BN48" i="5" s="1"/>
  <c r="F67" i="13"/>
  <c r="F67" i="12"/>
  <c r="D14" i="7"/>
  <c r="J39" i="12" l="1"/>
  <c r="H40" i="10"/>
  <c r="E42" i="10" s="1"/>
  <c r="E43" i="10" s="1"/>
  <c r="K17" i="10"/>
  <c r="AA45" i="12"/>
  <c r="AC45" i="12" s="1"/>
  <c r="BB43" i="5"/>
  <c r="BO52" i="5"/>
  <c r="I12" i="13"/>
  <c r="I40" i="13" s="1"/>
  <c r="BN11" i="5"/>
  <c r="BO27" i="5"/>
  <c r="BO66" i="5"/>
  <c r="BB64" i="5"/>
  <c r="BZ64" i="5" s="1"/>
  <c r="BL33" i="5"/>
  <c r="AS96" i="5"/>
  <c r="BB36" i="5"/>
  <c r="BB58" i="5"/>
  <c r="BZ58" i="5" s="1"/>
  <c r="BB34" i="5"/>
  <c r="BN28" i="5"/>
  <c r="BC34" i="5"/>
  <c r="BC28" i="5"/>
  <c r="BB56" i="5"/>
  <c r="BO67" i="5"/>
  <c r="G12" i="16"/>
  <c r="E50" i="10"/>
  <c r="BN8" i="5"/>
  <c r="BC50" i="5"/>
  <c r="BN21" i="5"/>
  <c r="F12" i="16"/>
  <c r="F40" i="16" s="1"/>
  <c r="D50" i="10"/>
  <c r="BB66" i="5"/>
  <c r="BZ66" i="5" s="1"/>
  <c r="BB61" i="5"/>
  <c r="BN12" i="5"/>
  <c r="BO45" i="5"/>
  <c r="AV94" i="5"/>
  <c r="AY97" i="5"/>
  <c r="AY98" i="5" s="1"/>
  <c r="AV95" i="5"/>
  <c r="AY94" i="5"/>
  <c r="AY95" i="5"/>
  <c r="AV97" i="5"/>
  <c r="AV98" i="5" s="1"/>
  <c r="BN67" i="5"/>
  <c r="I48" i="10"/>
  <c r="K10" i="16"/>
  <c r="F10" i="16"/>
  <c r="D48" i="10"/>
  <c r="BB48" i="5"/>
  <c r="BZ48" i="5" s="1"/>
  <c r="BO16" i="5"/>
  <c r="BN52" i="5"/>
  <c r="BO5" i="5"/>
  <c r="BB51" i="5"/>
  <c r="BZ51" i="5" s="1"/>
  <c r="BO72" i="5"/>
  <c r="BO79" i="5" s="1"/>
  <c r="BO80" i="5" s="1"/>
  <c r="AU79" i="5"/>
  <c r="AU80" i="5" s="1"/>
  <c r="BC12" i="5"/>
  <c r="BC11" i="5"/>
  <c r="BN74" i="5"/>
  <c r="BN85" i="5" s="1"/>
  <c r="BN86" i="5" s="1"/>
  <c r="AU85" i="5"/>
  <c r="AU86" i="5" s="1"/>
  <c r="BN19" i="5"/>
  <c r="BZ19" i="5" s="1"/>
  <c r="BB26" i="5"/>
  <c r="BZ26" i="5" s="1"/>
  <c r="BZ56" i="5"/>
  <c r="BC56" i="5"/>
  <c r="BO74" i="5"/>
  <c r="BO85" i="5" s="1"/>
  <c r="BO86" i="5" s="1"/>
  <c r="AV85" i="5"/>
  <c r="AV86" i="5" s="1"/>
  <c r="G50" i="10"/>
  <c r="I12" i="16"/>
  <c r="I40" i="16" s="1"/>
  <c r="AA39" i="16"/>
  <c r="J39" i="16"/>
  <c r="BN27" i="5"/>
  <c r="BN3" i="5"/>
  <c r="BZ3" i="5" s="1"/>
  <c r="BP74" i="5"/>
  <c r="BP85" i="5" s="1"/>
  <c r="BP86" i="5" s="1"/>
  <c r="M12" i="16"/>
  <c r="M40" i="16" s="1"/>
  <c r="K50" i="10"/>
  <c r="BB22" i="5"/>
  <c r="BN22" i="5"/>
  <c r="BN4" i="5"/>
  <c r="G10" i="16"/>
  <c r="E48" i="10"/>
  <c r="J50" i="10"/>
  <c r="L12" i="16"/>
  <c r="BL58" i="5"/>
  <c r="BZ43" i="5"/>
  <c r="G42" i="10"/>
  <c r="G43" i="10" s="1"/>
  <c r="CB5" i="5"/>
  <c r="BZ61" i="5"/>
  <c r="CB8" i="5"/>
  <c r="F42" i="10"/>
  <c r="F43" i="10" s="1"/>
  <c r="BL67" i="5"/>
  <c r="AC39" i="12"/>
  <c r="BZ36" i="5"/>
  <c r="BL35" i="5"/>
  <c r="BL32" i="5"/>
  <c r="CB11" i="5"/>
  <c r="BL29" i="5"/>
  <c r="BZ34" i="5"/>
  <c r="BL69" i="5"/>
  <c r="CB66" i="5"/>
  <c r="BX66" i="5"/>
  <c r="CB16" i="5"/>
  <c r="BX16" i="5"/>
  <c r="CB10" i="5"/>
  <c r="BX10" i="5"/>
  <c r="G10" i="13"/>
  <c r="E15" i="10"/>
  <c r="CB61" i="5"/>
  <c r="BX61" i="5"/>
  <c r="BX32" i="5"/>
  <c r="CB32" i="5"/>
  <c r="BX24" i="5"/>
  <c r="CB24" i="5"/>
  <c r="CB3" i="5"/>
  <c r="BX3" i="5"/>
  <c r="CB51" i="5"/>
  <c r="BX51" i="5"/>
  <c r="CB44" i="5"/>
  <c r="BX44" i="5"/>
  <c r="F15" i="10"/>
  <c r="H10" i="13"/>
  <c r="H38" i="13" s="1"/>
  <c r="BX27" i="5"/>
  <c r="CB27" i="5"/>
  <c r="CB67" i="5"/>
  <c r="BX67" i="5"/>
  <c r="G12" i="13"/>
  <c r="E17" i="10"/>
  <c r="BX40" i="5"/>
  <c r="CB40" i="5"/>
  <c r="BX43" i="5"/>
  <c r="CB43" i="5"/>
  <c r="BX50" i="5"/>
  <c r="CB50" i="5"/>
  <c r="CB64" i="5"/>
  <c r="BX64" i="5"/>
  <c r="BX21" i="5"/>
  <c r="CB21" i="5"/>
  <c r="BX29" i="5"/>
  <c r="CB29" i="5"/>
  <c r="L12" i="13"/>
  <c r="L40" i="13" s="1"/>
  <c r="J17" i="10"/>
  <c r="CB4" i="5"/>
  <c r="BX4" i="5"/>
  <c r="CB45" i="5"/>
  <c r="BX45" i="5"/>
  <c r="CB2" i="5"/>
  <c r="BP77" i="5"/>
  <c r="BP78" i="5" s="1"/>
  <c r="CB69" i="5"/>
  <c r="BX69" i="5"/>
  <c r="CB58" i="5"/>
  <c r="BX58" i="5"/>
  <c r="CB72" i="5"/>
  <c r="BX72" i="5"/>
  <c r="BC48" i="5"/>
  <c r="BN16" i="5"/>
  <c r="BZ16" i="5" s="1"/>
  <c r="BN44" i="5"/>
  <c r="BZ44" i="5" s="1"/>
  <c r="BL51" i="5"/>
  <c r="BC51" i="5"/>
  <c r="BO40" i="5"/>
  <c r="BC8" i="5"/>
  <c r="BL43" i="5"/>
  <c r="CB35" i="5"/>
  <c r="BX35" i="5"/>
  <c r="BL42" i="5"/>
  <c r="BB13" i="5"/>
  <c r="BZ13" i="5" s="1"/>
  <c r="BL13" i="5"/>
  <c r="BL64" i="5"/>
  <c r="CB60" i="5"/>
  <c r="BX60" i="5"/>
  <c r="BC19" i="5"/>
  <c r="BC26" i="5"/>
  <c r="BX56" i="5"/>
  <c r="CB56" i="5"/>
  <c r="BL24" i="5"/>
  <c r="AU77" i="5"/>
  <c r="AU78" i="5" s="1"/>
  <c r="BB2" i="5"/>
  <c r="BK77" i="5"/>
  <c r="BK78" i="5" s="1"/>
  <c r="BR77" i="5"/>
  <c r="BR78" i="5" s="1"/>
  <c r="BW77" i="5"/>
  <c r="BW78" i="5" s="1"/>
  <c r="CB18" i="5"/>
  <c r="BX18" i="5"/>
  <c r="BO29" i="5"/>
  <c r="BX52" i="5"/>
  <c r="CB52" i="5"/>
  <c r="CB71" i="5"/>
  <c r="BP79" i="5"/>
  <c r="BP80" i="5" s="1"/>
  <c r="BX71" i="5"/>
  <c r="BL48" i="5"/>
  <c r="CB48" i="5"/>
  <c r="BX48" i="5"/>
  <c r="BL59" i="5"/>
  <c r="CB68" i="5"/>
  <c r="BX68" i="5"/>
  <c r="BC58" i="5"/>
  <c r="BN72" i="5"/>
  <c r="BO36" i="5"/>
  <c r="BC43" i="5"/>
  <c r="BL61" i="5"/>
  <c r="BC42" i="5"/>
  <c r="BZ12" i="5"/>
  <c r="BL27" i="5"/>
  <c r="H29" i="10"/>
  <c r="F31" i="10" s="1"/>
  <c r="F32" i="10" s="1"/>
  <c r="BL19" i="5"/>
  <c r="CB19" i="5"/>
  <c r="BX19" i="5"/>
  <c r="BO24" i="5"/>
  <c r="BD77" i="5"/>
  <c r="BD78" i="5" s="1"/>
  <c r="BE77" i="5"/>
  <c r="BE78" i="5" s="1"/>
  <c r="BF77" i="5"/>
  <c r="BF78" i="5" s="1"/>
  <c r="BY77" i="5"/>
  <c r="BY78" i="5" s="1"/>
  <c r="CE77" i="5"/>
  <c r="CE78" i="5" s="1"/>
  <c r="CK77" i="5"/>
  <c r="CK78" i="5" s="1"/>
  <c r="BL21" i="5"/>
  <c r="BO3" i="5"/>
  <c r="BB74" i="5"/>
  <c r="CB55" i="5"/>
  <c r="BN40" i="5"/>
  <c r="BZ40" i="5" s="1"/>
  <c r="BX36" i="5"/>
  <c r="CB36" i="5"/>
  <c r="BL28" i="5"/>
  <c r="BX28" i="5"/>
  <c r="CB28" i="5"/>
  <c r="CB42" i="5"/>
  <c r="BX42" i="5"/>
  <c r="BL71" i="5"/>
  <c r="BD79" i="5"/>
  <c r="BD80" i="5" s="1"/>
  <c r="CB12" i="5"/>
  <c r="BX12" i="5"/>
  <c r="CB26" i="5"/>
  <c r="BX26" i="5"/>
  <c r="AV77" i="5"/>
  <c r="AV78" i="5" s="1"/>
  <c r="BC2" i="5"/>
  <c r="CA77" i="5"/>
  <c r="CA78" i="5" s="1"/>
  <c r="CC77" i="5"/>
  <c r="CC78" i="5" s="1"/>
  <c r="BZ67" i="5"/>
  <c r="BO44" i="5"/>
  <c r="BL52" i="5"/>
  <c r="BN50" i="5"/>
  <c r="BZ50" i="5" s="1"/>
  <c r="BB35" i="5"/>
  <c r="BZ35" i="5" s="1"/>
  <c r="BC64" i="5"/>
  <c r="BX63" i="5"/>
  <c r="CB63" i="5"/>
  <c r="BL12" i="5"/>
  <c r="CB34" i="5"/>
  <c r="BX34" i="5"/>
  <c r="BN24" i="5"/>
  <c r="BZ24" i="5" s="1"/>
  <c r="BH77" i="5"/>
  <c r="BH78" i="5" s="1"/>
  <c r="BN2" i="5"/>
  <c r="BI77" i="5"/>
  <c r="BI78" i="5" s="1"/>
  <c r="CD77" i="5"/>
  <c r="CD78" i="5" s="1"/>
  <c r="F10" i="12"/>
  <c r="D4" i="10"/>
  <c r="BB18" i="5"/>
  <c r="BZ18" i="5" s="1"/>
  <c r="BA79" i="5"/>
  <c r="BA80" i="5" s="1"/>
  <c r="BC21" i="5"/>
  <c r="BL74" i="5"/>
  <c r="BL85" i="5" s="1"/>
  <c r="BL86" i="5" s="1"/>
  <c r="BB10" i="5"/>
  <c r="BZ10" i="5" s="1"/>
  <c r="BN29" i="5"/>
  <c r="BZ29" i="5" s="1"/>
  <c r="CB7" i="5"/>
  <c r="BL16" i="5"/>
  <c r="BB59" i="5"/>
  <c r="BZ59" i="5" s="1"/>
  <c r="BL47" i="5"/>
  <c r="CB47" i="5"/>
  <c r="BL72" i="5"/>
  <c r="BC72" i="5"/>
  <c r="BC79" i="5" s="1"/>
  <c r="BC80" i="5" s="1"/>
  <c r="BC61" i="5"/>
  <c r="BC35" i="5"/>
  <c r="BN42" i="5"/>
  <c r="BZ42" i="5" s="1"/>
  <c r="BO13" i="5"/>
  <c r="BB32" i="5"/>
  <c r="BZ32" i="5" s="1"/>
  <c r="BO4" i="5"/>
  <c r="BX53" i="5"/>
  <c r="CB53" i="5"/>
  <c r="BX31" i="5"/>
  <c r="CB31" i="5"/>
  <c r="AY77" i="5"/>
  <c r="AY78" i="5" s="1"/>
  <c r="BJ77" i="5"/>
  <c r="BJ78" i="5" s="1"/>
  <c r="BS77" i="5"/>
  <c r="BS78" i="5" s="1"/>
  <c r="D6" i="10"/>
  <c r="F12" i="12"/>
  <c r="F40" i="12" s="1"/>
  <c r="BB37" i="5"/>
  <c r="BZ37" i="5" s="1"/>
  <c r="BO37" i="5"/>
  <c r="BC74" i="5"/>
  <c r="BC85" i="5" s="1"/>
  <c r="BC86" i="5" s="1"/>
  <c r="BL10" i="5"/>
  <c r="BO10" i="5"/>
  <c r="BB69" i="5"/>
  <c r="BZ69" i="5" s="1"/>
  <c r="BZ52" i="5"/>
  <c r="BC59" i="5"/>
  <c r="BZ28" i="5"/>
  <c r="BO32" i="5"/>
  <c r="BL56" i="5"/>
  <c r="BN45" i="5"/>
  <c r="BZ45" i="5" s="1"/>
  <c r="BG77" i="5"/>
  <c r="BG78" i="5" s="1"/>
  <c r="BO2" i="5"/>
  <c r="BM77" i="5"/>
  <c r="BM78" i="5" s="1"/>
  <c r="BL18" i="5"/>
  <c r="BL37" i="5"/>
  <c r="BL3" i="5"/>
  <c r="BO69" i="5"/>
  <c r="CB39" i="5"/>
  <c r="BL44" i="5"/>
  <c r="BL40" i="5"/>
  <c r="BL4" i="5"/>
  <c r="BL26" i="5"/>
  <c r="AZ77" i="5"/>
  <c r="AZ78" i="5" s="1"/>
  <c r="BQ77" i="5"/>
  <c r="BQ78" i="5" s="1"/>
  <c r="BT77" i="5"/>
  <c r="BT78" i="5" s="1"/>
  <c r="CI77" i="5"/>
  <c r="CI78" i="5" s="1"/>
  <c r="BC18" i="5"/>
  <c r="CB74" i="5"/>
  <c r="CB85" i="5" s="1"/>
  <c r="CB86" i="5" s="1"/>
  <c r="F38" i="13"/>
  <c r="F41" i="13" s="1"/>
  <c r="F13" i="13"/>
  <c r="F16" i="13" s="1"/>
  <c r="CB59" i="5"/>
  <c r="BX59" i="5"/>
  <c r="BL66" i="5"/>
  <c r="AA39" i="13"/>
  <c r="J39" i="13"/>
  <c r="BL36" i="5"/>
  <c r="BL50" i="5"/>
  <c r="CB13" i="5"/>
  <c r="BX13" i="5"/>
  <c r="BZ27" i="5"/>
  <c r="BL34" i="5"/>
  <c r="BZ4" i="5"/>
  <c r="BL45" i="5"/>
  <c r="BA77" i="5"/>
  <c r="BA78" i="5" s="1"/>
  <c r="BU77" i="5"/>
  <c r="BU78" i="5" s="1"/>
  <c r="BV77" i="5"/>
  <c r="BV78" i="5" s="1"/>
  <c r="CF77" i="5"/>
  <c r="CF78" i="5" s="1"/>
  <c r="BX37" i="5"/>
  <c r="CB37" i="5"/>
  <c r="CB15" i="5"/>
  <c r="BX15" i="5"/>
  <c r="BZ21" i="5"/>
  <c r="BZ54" i="5"/>
  <c r="N40" i="13"/>
  <c r="N12" i="13"/>
  <c r="F45" i="13"/>
  <c r="F75" i="13"/>
  <c r="F80" i="13" s="1"/>
  <c r="F75" i="12"/>
  <c r="F80" i="12" s="1"/>
  <c r="AB10" i="9"/>
  <c r="H42" i="10" l="1"/>
  <c r="H43" i="10" s="1"/>
  <c r="L17" i="10"/>
  <c r="L50" i="10"/>
  <c r="BX74" i="5"/>
  <c r="BX85" i="5" s="1"/>
  <c r="BX86" i="5" s="1"/>
  <c r="BZ22" i="5"/>
  <c r="AX95" i="5"/>
  <c r="J9" i="11" s="1"/>
  <c r="AX94" i="5"/>
  <c r="J8" i="11" s="1"/>
  <c r="AA10" i="16"/>
  <c r="G38" i="16"/>
  <c r="AY96" i="5"/>
  <c r="D51" i="10"/>
  <c r="D54" i="10" s="1"/>
  <c r="G13" i="16"/>
  <c r="G40" i="16"/>
  <c r="AC39" i="16"/>
  <c r="AA45" i="16"/>
  <c r="AC45" i="16" s="1"/>
  <c r="F38" i="16"/>
  <c r="F41" i="16" s="1"/>
  <c r="F13" i="16"/>
  <c r="F16" i="16" s="1"/>
  <c r="AV96" i="5"/>
  <c r="G48" i="10"/>
  <c r="G51" i="10" s="1"/>
  <c r="I10" i="16"/>
  <c r="AW94" i="5"/>
  <c r="AW95" i="5"/>
  <c r="AW97" i="5"/>
  <c r="AW98" i="5" s="1"/>
  <c r="L40" i="16"/>
  <c r="N40" i="16" s="1"/>
  <c r="N12" i="16"/>
  <c r="AX97" i="5"/>
  <c r="H12" i="16"/>
  <c r="H40" i="16" s="1"/>
  <c r="F50" i="10"/>
  <c r="AZ97" i="5"/>
  <c r="AZ98" i="5" s="1"/>
  <c r="AZ94" i="5"/>
  <c r="AZ95" i="5"/>
  <c r="E51" i="10"/>
  <c r="BZ74" i="5"/>
  <c r="BZ85" i="5" s="1"/>
  <c r="BZ86" i="5" s="1"/>
  <c r="BB85" i="5"/>
  <c r="BB86" i="5" s="1"/>
  <c r="E18" i="10"/>
  <c r="BN77" i="5"/>
  <c r="BN78" i="5" s="1"/>
  <c r="E31" i="10"/>
  <c r="E32" i="10" s="1"/>
  <c r="G10" i="12"/>
  <c r="E4" i="10"/>
  <c r="K6" i="10"/>
  <c r="M12" i="12"/>
  <c r="M40" i="12" s="1"/>
  <c r="BZ77" i="5"/>
  <c r="BZ78" i="5" s="1"/>
  <c r="BB77" i="5"/>
  <c r="BB78" i="5" s="1"/>
  <c r="CB77" i="5"/>
  <c r="CB78" i="5" s="1"/>
  <c r="K10" i="13"/>
  <c r="I15" i="10"/>
  <c r="BX77" i="5"/>
  <c r="BX78" i="5" s="1"/>
  <c r="BZ72" i="5"/>
  <c r="BZ79" i="5" s="1"/>
  <c r="BZ80" i="5" s="1"/>
  <c r="BN79" i="5"/>
  <c r="BN80" i="5" s="1"/>
  <c r="BX79" i="5"/>
  <c r="BX80" i="5" s="1"/>
  <c r="F43" i="13"/>
  <c r="F44" i="13"/>
  <c r="K10" i="12"/>
  <c r="I4" i="10"/>
  <c r="J6" i="10"/>
  <c r="L12" i="12"/>
  <c r="BL79" i="5"/>
  <c r="BL80" i="5" s="1"/>
  <c r="BL77" i="5"/>
  <c r="BL78" i="5" s="1"/>
  <c r="E6" i="10"/>
  <c r="G12" i="12"/>
  <c r="F17" i="10"/>
  <c r="H17" i="10" s="1"/>
  <c r="H12" i="13"/>
  <c r="BC77" i="5"/>
  <c r="BC78" i="5" s="1"/>
  <c r="CB79" i="5"/>
  <c r="CB80" i="5" s="1"/>
  <c r="G40" i="13"/>
  <c r="J32" i="10"/>
  <c r="AC39" i="13"/>
  <c r="AA45" i="13"/>
  <c r="AC45" i="13" s="1"/>
  <c r="G6" i="10"/>
  <c r="I12" i="12"/>
  <c r="I40" i="12" s="1"/>
  <c r="D7" i="10"/>
  <c r="D10" i="10" s="1"/>
  <c r="BO77" i="5"/>
  <c r="BO78" i="5" s="1"/>
  <c r="F38" i="12"/>
  <c r="F41" i="12" s="1"/>
  <c r="F13" i="12"/>
  <c r="F16" i="12" s="1"/>
  <c r="AA10" i="13"/>
  <c r="G38" i="13"/>
  <c r="G13" i="13"/>
  <c r="AA11" i="9"/>
  <c r="AC11" i="9"/>
  <c r="AA10" i="9"/>
  <c r="L6" i="10" l="1"/>
  <c r="BA95" i="5"/>
  <c r="M9" i="11" s="1"/>
  <c r="BA97" i="5"/>
  <c r="BA98" i="5" s="1"/>
  <c r="M12" i="11" s="1"/>
  <c r="BA94" i="5"/>
  <c r="M8" i="11" s="1"/>
  <c r="AX98" i="5"/>
  <c r="J12" i="11" s="1"/>
  <c r="J11" i="11"/>
  <c r="AZ96" i="5"/>
  <c r="AW96" i="5"/>
  <c r="G31" i="10"/>
  <c r="G32" i="10" s="1"/>
  <c r="AX96" i="5"/>
  <c r="J12" i="16"/>
  <c r="H50" i="10"/>
  <c r="I38" i="16"/>
  <c r="I13" i="16"/>
  <c r="F43" i="16"/>
  <c r="F44" i="16"/>
  <c r="F45" i="16"/>
  <c r="H10" i="16"/>
  <c r="F48" i="10"/>
  <c r="H48" i="10" s="1"/>
  <c r="AA38" i="16"/>
  <c r="G41" i="16"/>
  <c r="J48" i="10"/>
  <c r="L10" i="16"/>
  <c r="J40" i="16"/>
  <c r="AA38" i="13"/>
  <c r="AA44" i="13" s="1"/>
  <c r="G41" i="13"/>
  <c r="H40" i="13"/>
  <c r="H13" i="13"/>
  <c r="J4" i="10"/>
  <c r="J7" i="10" s="1"/>
  <c r="L10" i="12"/>
  <c r="J15" i="10"/>
  <c r="J18" i="10" s="1"/>
  <c r="L10" i="13"/>
  <c r="G40" i="12"/>
  <c r="F43" i="12"/>
  <c r="F44" i="12"/>
  <c r="F45" i="12"/>
  <c r="I10" i="12"/>
  <c r="G4" i="10"/>
  <c r="J12" i="13"/>
  <c r="F18" i="10"/>
  <c r="G15" i="10"/>
  <c r="I10" i="13"/>
  <c r="H12" i="12"/>
  <c r="H40" i="12" s="1"/>
  <c r="F6" i="10"/>
  <c r="H6" i="10" s="1"/>
  <c r="N12" i="12"/>
  <c r="L40" i="12"/>
  <c r="N40" i="12" s="1"/>
  <c r="E7" i="10"/>
  <c r="H10" i="12"/>
  <c r="F4" i="10"/>
  <c r="F7" i="10" s="1"/>
  <c r="AA10" i="12"/>
  <c r="G38" i="12"/>
  <c r="AA38" i="12" s="1"/>
  <c r="G13" i="12"/>
  <c r="AC10" i="9"/>
  <c r="H31" i="10" l="1"/>
  <c r="H32" i="10" s="1"/>
  <c r="BA96" i="5"/>
  <c r="M10" i="11" s="1"/>
  <c r="M11" i="11"/>
  <c r="BA100" i="5"/>
  <c r="AX100" i="5"/>
  <c r="J10" i="11"/>
  <c r="I41" i="16"/>
  <c r="L13" i="16"/>
  <c r="L38" i="16"/>
  <c r="H38" i="16"/>
  <c r="H13" i="16"/>
  <c r="J13" i="16" s="1"/>
  <c r="J10" i="16"/>
  <c r="J51" i="10"/>
  <c r="AA44" i="16"/>
  <c r="F51" i="10"/>
  <c r="J43" i="10"/>
  <c r="AA44" i="12"/>
  <c r="J40" i="12"/>
  <c r="J12" i="12"/>
  <c r="H4" i="10"/>
  <c r="G7" i="10"/>
  <c r="H7" i="10" s="1"/>
  <c r="L38" i="13"/>
  <c r="L41" i="13" s="1"/>
  <c r="L13" i="13"/>
  <c r="I38" i="12"/>
  <c r="I41" i="12" s="1"/>
  <c r="I13" i="12"/>
  <c r="L38" i="12"/>
  <c r="L41" i="12" s="1"/>
  <c r="L13" i="12"/>
  <c r="J10" i="13"/>
  <c r="I38" i="13"/>
  <c r="I13" i="13"/>
  <c r="J13" i="13" s="1"/>
  <c r="H13" i="12"/>
  <c r="H38" i="12"/>
  <c r="H41" i="12" s="1"/>
  <c r="H15" i="10"/>
  <c r="G18" i="10"/>
  <c r="H18" i="10" s="1"/>
  <c r="J10" i="12"/>
  <c r="J40" i="13"/>
  <c r="H41" i="13"/>
  <c r="G41" i="12"/>
  <c r="E73" i="9"/>
  <c r="E72" i="9"/>
  <c r="M14" i="11" l="1"/>
  <c r="BA108" i="5"/>
  <c r="M22" i="11" s="1"/>
  <c r="AX108" i="5"/>
  <c r="J22" i="11" s="1"/>
  <c r="J14" i="11"/>
  <c r="H51" i="10"/>
  <c r="E53" i="10" s="1"/>
  <c r="H15" i="16"/>
  <c r="H16" i="16" s="1"/>
  <c r="G15" i="16"/>
  <c r="H41" i="16"/>
  <c r="J38" i="16"/>
  <c r="J41" i="16" s="1"/>
  <c r="G51" i="16" s="1"/>
  <c r="L41" i="16"/>
  <c r="J13" i="12"/>
  <c r="G15" i="12" s="1"/>
  <c r="G16" i="12" s="1"/>
  <c r="E9" i="10"/>
  <c r="F9" i="10"/>
  <c r="F10" i="10" s="1"/>
  <c r="E20" i="10"/>
  <c r="F20" i="10"/>
  <c r="F21" i="10" s="1"/>
  <c r="H15" i="13"/>
  <c r="H16" i="13" s="1"/>
  <c r="G15" i="13"/>
  <c r="J38" i="13"/>
  <c r="J41" i="13" s="1"/>
  <c r="G51" i="13" s="1"/>
  <c r="I41" i="13"/>
  <c r="J38" i="12"/>
  <c r="J41" i="12" s="1"/>
  <c r="G51" i="12" s="1"/>
  <c r="J79" i="9"/>
  <c r="J78" i="9"/>
  <c r="J77" i="9"/>
  <c r="I51" i="13" l="1"/>
  <c r="H15" i="12"/>
  <c r="H51" i="16"/>
  <c r="H43" i="16" s="1"/>
  <c r="H51" i="13"/>
  <c r="H52" i="13" s="1"/>
  <c r="H56" i="13" s="1"/>
  <c r="H60" i="13" s="1"/>
  <c r="G43" i="16"/>
  <c r="G52" i="16"/>
  <c r="G56" i="16" s="1"/>
  <c r="G60" i="16" s="1"/>
  <c r="G16" i="16"/>
  <c r="I15" i="16"/>
  <c r="I16" i="16" s="1"/>
  <c r="E54" i="10"/>
  <c r="G53" i="10"/>
  <c r="G54" i="10" s="1"/>
  <c r="F53" i="10"/>
  <c r="F54" i="10" s="1"/>
  <c r="I51" i="16"/>
  <c r="I15" i="12"/>
  <c r="I16" i="12" s="1"/>
  <c r="H16" i="12"/>
  <c r="I43" i="13"/>
  <c r="I52" i="13"/>
  <c r="I56" i="13" s="1"/>
  <c r="I60" i="13" s="1"/>
  <c r="G16" i="13"/>
  <c r="I15" i="13"/>
  <c r="I16" i="13" s="1"/>
  <c r="G20" i="10"/>
  <c r="E21" i="10"/>
  <c r="G43" i="12"/>
  <c r="G52" i="12"/>
  <c r="G56" i="12" s="1"/>
  <c r="G60" i="12" s="1"/>
  <c r="I51" i="12"/>
  <c r="G9" i="10"/>
  <c r="G10" i="10" s="1"/>
  <c r="E10" i="10"/>
  <c r="G52" i="13"/>
  <c r="G56" i="13" s="1"/>
  <c r="G60" i="13" s="1"/>
  <c r="G43" i="13"/>
  <c r="H51" i="12"/>
  <c r="H63" i="9"/>
  <c r="J15" i="16" l="1"/>
  <c r="J16" i="16" s="1"/>
  <c r="L16" i="16" s="1"/>
  <c r="H43" i="13"/>
  <c r="J43" i="13" s="1"/>
  <c r="J51" i="13"/>
  <c r="J52" i="13" s="1"/>
  <c r="J56" i="13" s="1"/>
  <c r="J60" i="13" s="1"/>
  <c r="J67" i="13" s="1"/>
  <c r="H68" i="13" s="1"/>
  <c r="J68" i="13" s="1"/>
  <c r="H52" i="16"/>
  <c r="H56" i="16" s="1"/>
  <c r="H60" i="16" s="1"/>
  <c r="H67" i="16" s="1"/>
  <c r="J54" i="10"/>
  <c r="I52" i="16"/>
  <c r="I56" i="16" s="1"/>
  <c r="I60" i="16" s="1"/>
  <c r="I43" i="16"/>
  <c r="J43" i="16" s="1"/>
  <c r="H53" i="10"/>
  <c r="H54" i="10" s="1"/>
  <c r="J51" i="16"/>
  <c r="J52" i="16" s="1"/>
  <c r="J56" i="16" s="1"/>
  <c r="J60" i="16" s="1"/>
  <c r="J67" i="16" s="1"/>
  <c r="G67" i="16"/>
  <c r="G44" i="16"/>
  <c r="J15" i="12"/>
  <c r="J16" i="12" s="1"/>
  <c r="L16" i="12" s="1"/>
  <c r="J51" i="12"/>
  <c r="J52" i="12" s="1"/>
  <c r="J56" i="12" s="1"/>
  <c r="J60" i="12" s="1"/>
  <c r="J67" i="12" s="1"/>
  <c r="H9" i="10"/>
  <c r="H10" i="10" s="1"/>
  <c r="G21" i="10"/>
  <c r="H20" i="10"/>
  <c r="H21" i="10" s="1"/>
  <c r="G44" i="13"/>
  <c r="G67" i="13"/>
  <c r="I44" i="13"/>
  <c r="I67" i="13"/>
  <c r="I45" i="13" s="1"/>
  <c r="H43" i="12"/>
  <c r="H52" i="12"/>
  <c r="H56" i="12" s="1"/>
  <c r="H60" i="12" s="1"/>
  <c r="I52" i="12"/>
  <c r="I56" i="12" s="1"/>
  <c r="I60" i="12" s="1"/>
  <c r="I43" i="12"/>
  <c r="G44" i="12"/>
  <c r="G67" i="12"/>
  <c r="G45" i="12" s="1"/>
  <c r="J15" i="13"/>
  <c r="J16" i="13" s="1"/>
  <c r="H67" i="13"/>
  <c r="H44" i="13"/>
  <c r="K8" i="9"/>
  <c r="H44" i="16" l="1"/>
  <c r="K43" i="13"/>
  <c r="G73" i="13"/>
  <c r="I73" i="13" s="1"/>
  <c r="J73" i="13" s="1"/>
  <c r="K43" i="16"/>
  <c r="J10" i="10"/>
  <c r="O72" i="13"/>
  <c r="M72" i="13"/>
  <c r="G72" i="13"/>
  <c r="G45" i="16"/>
  <c r="H68" i="16"/>
  <c r="J68" i="16" s="1"/>
  <c r="M72" i="16"/>
  <c r="G72" i="16"/>
  <c r="G73" i="16"/>
  <c r="O72" i="16"/>
  <c r="H45" i="16"/>
  <c r="I67" i="16"/>
  <c r="I44" i="16"/>
  <c r="J44" i="16" s="1"/>
  <c r="K44" i="16" s="1"/>
  <c r="H68" i="12"/>
  <c r="J68" i="12" s="1"/>
  <c r="G73" i="12"/>
  <c r="I73" i="12" s="1"/>
  <c r="J73" i="12" s="1"/>
  <c r="O72" i="12"/>
  <c r="M72" i="12"/>
  <c r="H44" i="12"/>
  <c r="H67" i="12"/>
  <c r="J43" i="12"/>
  <c r="K43" i="12" s="1"/>
  <c r="J44" i="13"/>
  <c r="K44" i="13" s="1"/>
  <c r="I44" i="12"/>
  <c r="I67" i="12"/>
  <c r="I45" i="12" s="1"/>
  <c r="H75" i="13"/>
  <c r="H80" i="13" s="1"/>
  <c r="H45" i="13"/>
  <c r="L16" i="13"/>
  <c r="J21" i="10"/>
  <c r="G45" i="13"/>
  <c r="I35" i="9"/>
  <c r="G63" i="9"/>
  <c r="I63" i="9" s="1"/>
  <c r="G75" i="13" l="1"/>
  <c r="G80" i="13" s="1"/>
  <c r="I45" i="16"/>
  <c r="J45" i="16" s="1"/>
  <c r="H75" i="16"/>
  <c r="H80" i="16" s="1"/>
  <c r="G75" i="12"/>
  <c r="G80" i="12" s="1"/>
  <c r="I73" i="16"/>
  <c r="J73" i="16" s="1"/>
  <c r="G75" i="16"/>
  <c r="G80" i="16" s="1"/>
  <c r="J45" i="13"/>
  <c r="J44" i="12"/>
  <c r="K44" i="12" s="1"/>
  <c r="H75" i="12"/>
  <c r="H80" i="12" s="1"/>
  <c r="H45" i="12"/>
  <c r="J45" i="12" s="1"/>
  <c r="K50" i="9"/>
  <c r="K46" i="16" l="1"/>
  <c r="K45" i="16"/>
  <c r="K45" i="12"/>
  <c r="K46" i="12"/>
  <c r="K45" i="13"/>
  <c r="K46" i="13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6"/>
  <c r="J72" i="16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6" i="5" l="1"/>
  <c r="CH22" i="5"/>
  <c r="CH30" i="5"/>
  <c r="CH38" i="5"/>
  <c r="CH46" i="5"/>
  <c r="CH54" i="5"/>
  <c r="CH62" i="5"/>
  <c r="CJ62" i="5" s="1"/>
  <c r="CH70" i="5"/>
  <c r="CH28" i="5"/>
  <c r="CH7" i="5"/>
  <c r="CH15" i="5"/>
  <c r="CH31" i="5"/>
  <c r="CH39" i="5"/>
  <c r="CH47" i="5"/>
  <c r="CH55" i="5"/>
  <c r="CH63" i="5"/>
  <c r="CH71" i="5"/>
  <c r="CH44" i="5"/>
  <c r="CH16" i="5"/>
  <c r="CH24" i="5"/>
  <c r="CH32" i="5"/>
  <c r="CH40" i="5"/>
  <c r="CH48" i="5"/>
  <c r="CH56" i="5"/>
  <c r="CJ56" i="5" s="1"/>
  <c r="CH64" i="5"/>
  <c r="CH72" i="5"/>
  <c r="CH12" i="5"/>
  <c r="CH68" i="5"/>
  <c r="CH9" i="5"/>
  <c r="CH25" i="5"/>
  <c r="CH33" i="5"/>
  <c r="CH41" i="5"/>
  <c r="CH49" i="5"/>
  <c r="CH57" i="5"/>
  <c r="CH65" i="5"/>
  <c r="CH73" i="5"/>
  <c r="CJ73" i="5" s="1"/>
  <c r="CH36" i="5"/>
  <c r="CH10" i="5"/>
  <c r="CH18" i="5"/>
  <c r="CH26" i="5"/>
  <c r="CH34" i="5"/>
  <c r="CH42" i="5"/>
  <c r="CH50" i="5"/>
  <c r="CH58" i="5"/>
  <c r="CH66" i="5"/>
  <c r="CH74" i="5"/>
  <c r="CH85" i="5" s="1"/>
  <c r="CH86" i="5" s="1"/>
  <c r="CH52" i="5"/>
  <c r="CH3" i="5"/>
  <c r="CH19" i="5"/>
  <c r="CH27" i="5"/>
  <c r="CH35" i="5"/>
  <c r="CH43" i="5"/>
  <c r="CJ43" i="5" s="1"/>
  <c r="CH51" i="5"/>
  <c r="CH59" i="5"/>
  <c r="CH67" i="5"/>
  <c r="CH4" i="5"/>
  <c r="CH60" i="5"/>
  <c r="CH13" i="5"/>
  <c r="CH21" i="5"/>
  <c r="CH29" i="5"/>
  <c r="CH37" i="5"/>
  <c r="CH45" i="5"/>
  <c r="CH53" i="5"/>
  <c r="CH61" i="5"/>
  <c r="CH69" i="5"/>
  <c r="CG4" i="5"/>
  <c r="CG12" i="5"/>
  <c r="CJ12" i="5" s="1"/>
  <c r="CG28" i="5"/>
  <c r="CG36" i="5"/>
  <c r="CJ36" i="5" s="1"/>
  <c r="CG44" i="5"/>
  <c r="CG52" i="5"/>
  <c r="CJ52" i="5" s="1"/>
  <c r="CG60" i="5"/>
  <c r="CG68" i="5"/>
  <c r="CJ68" i="5" s="1"/>
  <c r="CG13" i="5"/>
  <c r="CG21" i="5"/>
  <c r="CJ21" i="5" s="1"/>
  <c r="CG29" i="5"/>
  <c r="CJ29" i="5" s="1"/>
  <c r="CG37" i="5"/>
  <c r="CJ37" i="5" s="1"/>
  <c r="CG45" i="5"/>
  <c r="CG53" i="5"/>
  <c r="CJ53" i="5" s="1"/>
  <c r="CG61" i="5"/>
  <c r="CJ61" i="5" s="1"/>
  <c r="CG69" i="5"/>
  <c r="CJ69" i="5" s="1"/>
  <c r="CG6" i="5"/>
  <c r="CG22" i="5"/>
  <c r="CG30" i="5"/>
  <c r="CG38" i="5"/>
  <c r="CG46" i="5"/>
  <c r="CG54" i="5"/>
  <c r="CG70" i="5"/>
  <c r="CJ70" i="5" s="1"/>
  <c r="CG7" i="5"/>
  <c r="CG15" i="5"/>
  <c r="CG31" i="5"/>
  <c r="CG39" i="5"/>
  <c r="CG47" i="5"/>
  <c r="CG55" i="5"/>
  <c r="CG63" i="5"/>
  <c r="CG16" i="5"/>
  <c r="CG24" i="5"/>
  <c r="CJ24" i="5" s="1"/>
  <c r="CG32" i="5"/>
  <c r="CJ32" i="5" s="1"/>
  <c r="CG40" i="5"/>
  <c r="CG48" i="5"/>
  <c r="CG64" i="5"/>
  <c r="CG72" i="5"/>
  <c r="CG9" i="5"/>
  <c r="CG25" i="5"/>
  <c r="CG33" i="5"/>
  <c r="CG41" i="5"/>
  <c r="CG49" i="5"/>
  <c r="CG57" i="5"/>
  <c r="CG65" i="5"/>
  <c r="CG10" i="5"/>
  <c r="CJ10" i="5" s="1"/>
  <c r="CG18" i="5"/>
  <c r="CJ18" i="5" s="1"/>
  <c r="CG26" i="5"/>
  <c r="CJ26" i="5" s="1"/>
  <c r="CG34" i="5"/>
  <c r="CJ34" i="5" s="1"/>
  <c r="CG42" i="5"/>
  <c r="CJ42" i="5" s="1"/>
  <c r="CG50" i="5"/>
  <c r="CJ50" i="5" s="1"/>
  <c r="CG58" i="5"/>
  <c r="CJ58" i="5" s="1"/>
  <c r="CG66" i="5"/>
  <c r="CJ66" i="5" s="1"/>
  <c r="CG74" i="5"/>
  <c r="CG19" i="5"/>
  <c r="CG27" i="5"/>
  <c r="CG35" i="5"/>
  <c r="CG51" i="5"/>
  <c r="CJ51" i="5" s="1"/>
  <c r="CG59" i="5"/>
  <c r="CG67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63" i="5" l="1"/>
  <c r="CJ38" i="5"/>
  <c r="CJ31" i="5"/>
  <c r="CJ41" i="5"/>
  <c r="CJ6" i="5"/>
  <c r="CJ33" i="5"/>
  <c r="CJ74" i="5"/>
  <c r="CJ85" i="5" s="1"/>
  <c r="CJ86" i="5" s="1"/>
  <c r="CG85" i="5"/>
  <c r="CG86" i="5" s="1"/>
  <c r="CJ72" i="5"/>
  <c r="CG79" i="5"/>
  <c r="CG80" i="5" s="1"/>
  <c r="CJ46" i="5"/>
  <c r="CJ44" i="5"/>
  <c r="CJ71" i="5"/>
  <c r="CH79" i="5"/>
  <c r="CH80" i="5" s="1"/>
  <c r="CJ16" i="5"/>
  <c r="CJ3" i="5"/>
  <c r="CH77" i="5"/>
  <c r="CH78" i="5" s="1"/>
  <c r="CJ55" i="5"/>
  <c r="CJ35" i="5"/>
  <c r="CJ65" i="5"/>
  <c r="CJ64" i="5"/>
  <c r="CJ48" i="5"/>
  <c r="CJ30" i="5"/>
  <c r="CJ15" i="5"/>
  <c r="CG77" i="5"/>
  <c r="CG78" i="5" s="1"/>
  <c r="CJ13" i="5"/>
  <c r="CJ7" i="5"/>
  <c r="CJ25" i="5"/>
  <c r="CJ60" i="5"/>
  <c r="CJ27" i="5"/>
  <c r="CJ19" i="5"/>
  <c r="CJ9" i="5"/>
  <c r="CJ54" i="5"/>
  <c r="CJ47" i="5"/>
  <c r="CJ57" i="5"/>
  <c r="CJ39" i="5"/>
  <c r="CJ28" i="5"/>
  <c r="CJ45" i="5"/>
  <c r="CJ59" i="5"/>
  <c r="CJ49" i="5"/>
  <c r="CJ40" i="5"/>
  <c r="CJ22" i="5"/>
  <c r="CJ67" i="5"/>
  <c r="CJ4" i="5"/>
  <c r="F80" i="9"/>
  <c r="F45" i="9"/>
  <c r="N22" i="9"/>
  <c r="N21" i="9"/>
  <c r="H51" i="9"/>
  <c r="I51" i="9"/>
  <c r="G51" i="9"/>
  <c r="G43" i="9" s="1"/>
  <c r="CJ77" i="5" l="1"/>
  <c r="CJ78" i="5" s="1"/>
  <c r="K4" i="10" s="1"/>
  <c r="CJ79" i="5"/>
  <c r="CJ80" i="5" s="1"/>
  <c r="K15" i="10" s="1"/>
  <c r="M10" i="16"/>
  <c r="K48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2" l="1"/>
  <c r="M10" i="13"/>
  <c r="N10" i="13" s="1"/>
  <c r="N13" i="13" s="1"/>
  <c r="K51" i="10"/>
  <c r="L48" i="10"/>
  <c r="L51" i="10" s="1"/>
  <c r="M13" i="16"/>
  <c r="M38" i="16"/>
  <c r="AB10" i="16"/>
  <c r="AC10" i="16" s="1"/>
  <c r="N10" i="16"/>
  <c r="N13" i="16" s="1"/>
  <c r="M38" i="13"/>
  <c r="AB10" i="13"/>
  <c r="AC10" i="13" s="1"/>
  <c r="K18" i="10"/>
  <c r="L15" i="10"/>
  <c r="L18" i="10" s="1"/>
  <c r="K7" i="10"/>
  <c r="L4" i="10"/>
  <c r="L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M13" i="13" l="1"/>
  <c r="M41" i="16"/>
  <c r="AB38" i="16"/>
  <c r="N38" i="16"/>
  <c r="M41" i="13"/>
  <c r="N38" i="13"/>
  <c r="AB38" i="13"/>
  <c r="M41" i="12"/>
  <c r="N38" i="12"/>
  <c r="AB38" i="12"/>
  <c r="I45" i="9"/>
  <c r="J44" i="9"/>
  <c r="K44" i="9" s="1"/>
  <c r="AB44" i="16" l="1"/>
  <c r="AC44" i="16" s="1"/>
  <c r="AC38" i="16"/>
  <c r="N41" i="16"/>
  <c r="I69" i="16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6" l="1"/>
  <c r="J75" i="16" s="1"/>
  <c r="J80" i="16" s="1"/>
  <c r="I75" i="16"/>
  <c r="I80" i="16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31763BB-6D36-4C30-9FD1-017716BEB15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874C10C-FC98-44FD-8247-FB1A18A4A8C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93788CA-D7AE-4FC9-A040-C467723C7AC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AB3AE4B-4747-454D-A1C0-A7F98EFA9F7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CD02BC1-8479-43EA-A3FE-A5A1F7BC751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828DE91-6D9B-41E3-8A7C-CA0C36E2071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7DBE440-74F2-4D73-8AFC-2445FD50F6B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FD32241-6FD2-4FA3-9F44-6F3AAEA2FF1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0FDF88D-46D1-48DA-BCE2-2805DB6834A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94E3D84-E3D8-4950-974C-FABECE653F4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880F841-8D92-4D77-943D-095F3436377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B7CE409-72CF-4013-8255-993EC554169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631AC43-C942-4166-A088-9BD4C4919F8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4B88CDC-18A4-47F3-8396-7BA39929AEB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AB4C09C-CFAD-485A-A13A-6F39D0311AA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80DEC7F-17F3-42BC-9DD7-983B2E74CC6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AE3DB97-CCE6-4762-A584-9D4431A2906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F33EAE3-8562-46B5-AC9F-EFC85E77F69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7EE3C98-4CBA-46FB-96B0-4A13F3CA2E4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3546AC4-81C4-4DE5-8C10-01C9842F951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BB1D2E2-4E24-47F5-A9E7-8EE90258E85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ABDAC95-FEF5-4206-A89A-F17C3405375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C19A804-2D98-4542-9F80-5901204F10A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2362BD1-EEEF-48BD-B74C-3C631D17B48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CFB940C-3B9E-4FF8-8246-8227E8EDEEE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6E5EC50-AED9-4AFD-8BDD-42751E74AC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4FA70A3-DC17-4D74-9E1A-3AAB7979FF0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5D734B90-5CAE-41ED-A9A4-C63A9DDF2F1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7892A75-7DF3-43FA-89D9-2C80103915D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A2DE8E71-C229-47CF-B0FA-2A67F79259B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40946C62-714C-424A-9B97-DA599EBA8A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895FF71B-84C1-4C45-8A87-8C2EA4A1845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<sst xmlns="http://schemas.openxmlformats.org/spreadsheetml/2006/main" count="2367" uniqueCount="651">
  <si>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</si>
  <si>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</si>
  <si>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</si>
  <si>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</si>
  <si>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</si>
  <si>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</si>
  <si>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</si>
  <si>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</si>
  <si>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</si>
  <si>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</si>
  <si>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</si>
  <si>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</si>
  <si>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</si>
  <si>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</si>
  <si>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</si>
  <si>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</si>
  <si>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</si>
  <si>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</si>
  <si>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</si>
  <si>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</si>
  <si>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</si>
  <si>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</si>
  <si>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</si>
  <si>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</si>
  <si>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</si>
  <si>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</si>
  <si>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</si>
  <si>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</si>
  <si>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</si>
  <si>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</si>
  <si>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</si>
  <si>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</si>
  <si>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</si>
  <si>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</si>
  <si>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</si>
  <si>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</si>
  <si>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</si>
  <si>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</si>
  <si>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</si>
  <si>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</si>
  <si>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</si>
  <si>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</si>
  <si>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</si>
  <si>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</si>
  <si>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</si>
  <si>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</si>
  <si>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</si>
  <si>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</si>
  <si>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</si>
  <si>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</si>
  <si>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</si>
  <si>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</si>
  <si>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</si>
  <si>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</si>
  <si>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</si>
  <si>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</si>
  <si>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</si>
  <si>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</si>
  <si>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</si>
  <si>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</si>
  <si>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</si>
  <si>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</si>
  <si>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</si>
  <si>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</si>
  <si>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</si>
  <si>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</si>
  <si>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</si>
  <si>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</si>
  <si>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</si>
  <si>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</si>
  <si>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</si>
  <si>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</si>
  <si>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</si>
  <si>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</si>
  <si>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</si>
  <si>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</si>
  <si>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</si>
  <si>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</si>
  <si>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</si>
  <si>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</si>
  <si>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</si>
  <si>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</si>
  <si>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</si>
  <si>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</si>
  <si>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</si>
  <si>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</si>
  <si>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</si>
  <si>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</si>
  <si>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</si>
  <si>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</si>
  <si>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</si>
  <si>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</si>
  <si>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</si>
  <si>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</si>
  <si>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</si>
  <si>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</si>
  <si>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</si>
  <si>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</si>
  <si>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</si>
  <si>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</si>
  <si>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</si>
  <si>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</si>
  <si>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</si>
  <si>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</si>
  <si>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</si>
  <si>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</si>
  <si>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</si>
  <si>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</si>
  <si>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</si>
  <si>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</si>
  <si>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</si>
  <si>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</si>
  <si>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</si>
  <si>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</si>
  <si>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</si>
  <si>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</si>
  <si>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</si>
  <si>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</si>
  <si>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</si>
  <si>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</si>
  <si>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</si>
  <si>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</si>
  <si>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</si>
  <si>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</si>
  <si>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</si>
  <si>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</si>
  <si>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</si>
  <si>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</si>
  <si>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</si>
  <si>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</si>
  <si>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</si>
  <si>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</si>
  <si>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</si>
  <si>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</si>
  <si>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</si>
  <si>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</si>
  <si>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</si>
  <si>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</si>
  <si>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</si>
  <si>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</si>
  <si>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</si>
  <si>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</si>
  <si>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</si>
  <si>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</si>
  <si>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</si>
  <si>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</si>
  <si>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</si>
  <si>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</si>
  <si>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</si>
  <si>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</si>
  <si>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</si>
  <si>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</si>
  <si>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</si>
  <si>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</si>
  <si>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</si>
  <si>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</si>
  <si>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</si>
  <si>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</si>
  <si>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</si>
  <si>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</si>
  <si>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</si>
  <si>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</si>
  <si>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183</t>
  </si>
  <si>
    <t>9999</t>
  </si>
  <si>
    <t xml:space="preserve">GROUP POSITION      </t>
  </si>
  <si>
    <t>0550</t>
  </si>
  <si>
    <t>01</t>
  </si>
  <si>
    <t>GVFA</t>
  </si>
  <si>
    <t>001</t>
  </si>
  <si>
    <t>90000</t>
  </si>
  <si>
    <t>00</t>
  </si>
  <si>
    <t>V</t>
  </si>
  <si>
    <t>NG</t>
  </si>
  <si>
    <t>N</t>
  </si>
  <si>
    <t>0032</t>
  </si>
  <si>
    <t xml:space="preserve">PUBLIC INFO OFCR    </t>
  </si>
  <si>
    <t>05578</t>
  </si>
  <si>
    <t>L</t>
  </si>
  <si>
    <t>F</t>
  </si>
  <si>
    <t>NR</t>
  </si>
  <si>
    <t>FLINT, JENNIFER L.</t>
  </si>
  <si>
    <t>FLINT</t>
  </si>
  <si>
    <t>JENNIFER</t>
  </si>
  <si>
    <t>LYNN</t>
  </si>
  <si>
    <t xml:space="preserve">HL   </t>
  </si>
  <si>
    <t>H</t>
  </si>
  <si>
    <t>FS</t>
  </si>
  <si>
    <t>E</t>
  </si>
  <si>
    <t>Y</t>
  </si>
  <si>
    <t xml:space="preserve">    </t>
  </si>
  <si>
    <t>0071</t>
  </si>
  <si>
    <t>FINANCIAL SPECIALIST</t>
  </si>
  <si>
    <t>04246</t>
  </si>
  <si>
    <t>K</t>
  </si>
  <si>
    <t>CR</t>
  </si>
  <si>
    <t>WESTER, CHRIS D.</t>
  </si>
  <si>
    <t>WESTER</t>
  </si>
  <si>
    <t>CHRIS</t>
  </si>
  <si>
    <t>D</t>
  </si>
  <si>
    <t xml:space="preserve">HK   </t>
  </si>
  <si>
    <t>9998</t>
  </si>
  <si>
    <t xml:space="preserve">TEMPORARY EMPLOYEES </t>
  </si>
  <si>
    <t>95000</t>
  </si>
  <si>
    <t>0031</t>
  </si>
  <si>
    <t xml:space="preserve">ADMIN ASST 2        </t>
  </si>
  <si>
    <t>01231</t>
  </si>
  <si>
    <t>I</t>
  </si>
  <si>
    <t>CAMPOPIANO, HEIDI D.</t>
  </si>
  <si>
    <t>CAMPOPIANO</t>
  </si>
  <si>
    <t>HEIDI</t>
  </si>
  <si>
    <t xml:space="preserve">HI   </t>
  </si>
  <si>
    <t>0069</t>
  </si>
  <si>
    <t>IT SOFTWARE ENGINEER</t>
  </si>
  <si>
    <t>01715</t>
  </si>
  <si>
    <t xml:space="preserve">BELLAMKONDA, MAMATHA </t>
  </si>
  <si>
    <t>BELLAMKONDA</t>
  </si>
  <si>
    <t>MAMATHA</t>
  </si>
  <si>
    <t xml:space="preserve">              </t>
  </si>
  <si>
    <t>9993</t>
  </si>
  <si>
    <t xml:space="preserve">RETIREMENT BD       </t>
  </si>
  <si>
    <t>50146</t>
  </si>
  <si>
    <t>0030</t>
  </si>
  <si>
    <t xml:space="preserve">IT MANAGER III      </t>
  </si>
  <si>
    <t>01743</t>
  </si>
  <si>
    <t>O</t>
  </si>
  <si>
    <t>SWEAT, LARRY D.</t>
  </si>
  <si>
    <t>SWEAT</t>
  </si>
  <si>
    <t>LARRY</t>
  </si>
  <si>
    <t xml:space="preserve">HO   </t>
  </si>
  <si>
    <t>0068</t>
  </si>
  <si>
    <t>01714</t>
  </si>
  <si>
    <t>WOLFRUM, TIMOTHY J.</t>
  </si>
  <si>
    <t>WOLFRUM</t>
  </si>
  <si>
    <t>TIMOTHY</t>
  </si>
  <si>
    <t>J</t>
  </si>
  <si>
    <t>0078</t>
  </si>
  <si>
    <t xml:space="preserve">PENSION ACTUARY     </t>
  </si>
  <si>
    <t>20159</t>
  </si>
  <si>
    <t>0029</t>
  </si>
  <si>
    <t xml:space="preserve">RETIREMENT SPEC     </t>
  </si>
  <si>
    <t>08908</t>
  </si>
  <si>
    <t>HARPER, ALICIA A.</t>
  </si>
  <si>
    <t>HARPER</t>
  </si>
  <si>
    <t>ALICIA</t>
  </si>
  <si>
    <t>A</t>
  </si>
  <si>
    <t xml:space="preserve">HJ   </t>
  </si>
  <si>
    <t>0067</t>
  </si>
  <si>
    <t xml:space="preserve">TECH RECORDS SPEC 2 </t>
  </si>
  <si>
    <t>01103</t>
  </si>
  <si>
    <t xml:space="preserve">STORMS, ELIZA </t>
  </si>
  <si>
    <t>STORMS</t>
  </si>
  <si>
    <t>ELIZA</t>
  </si>
  <si>
    <t>0058</t>
  </si>
  <si>
    <t xml:space="preserve">TRAINING SPEC       </t>
  </si>
  <si>
    <t>05122</t>
  </si>
  <si>
    <t>0027</t>
  </si>
  <si>
    <t>SMITH, JASON P.</t>
  </si>
  <si>
    <t>SMITH</t>
  </si>
  <si>
    <t>JASON</t>
  </si>
  <si>
    <t>PAUL</t>
  </si>
  <si>
    <t>0066</t>
  </si>
  <si>
    <t xml:space="preserve">CUSTOMER SVC REP 2  </t>
  </si>
  <si>
    <t>01120</t>
  </si>
  <si>
    <t xml:space="preserve">MADRID, MARIA </t>
  </si>
  <si>
    <t>MADRID</t>
  </si>
  <si>
    <t>MARIA</t>
  </si>
  <si>
    <t xml:space="preserve">HH   </t>
  </si>
  <si>
    <t>0037</t>
  </si>
  <si>
    <t>0026</t>
  </si>
  <si>
    <t xml:space="preserve">TECH RECORDS SPEC 1 </t>
  </si>
  <si>
    <t>01104</t>
  </si>
  <si>
    <t>MOORE  JR, LLOYD E.</t>
  </si>
  <si>
    <t>MOORE  JR</t>
  </si>
  <si>
    <t>LLOYD</t>
  </si>
  <si>
    <t>0065</t>
  </si>
  <si>
    <t>FINANCIAL TECHNICIAN</t>
  </si>
  <si>
    <t>04248</t>
  </si>
  <si>
    <t xml:space="preserve">ABEJAR, NATHANAEL </t>
  </si>
  <si>
    <t>ABEJAR</t>
  </si>
  <si>
    <t>NATHANAEL</t>
  </si>
  <si>
    <t>0025</t>
  </si>
  <si>
    <t xml:space="preserve">PROJECT MANAGER 1   </t>
  </si>
  <si>
    <t>05567</t>
  </si>
  <si>
    <t>0024</t>
  </si>
  <si>
    <t>BRADBURN, GINGER M.</t>
  </si>
  <si>
    <t>BRADBURN</t>
  </si>
  <si>
    <t>GINGER</t>
  </si>
  <si>
    <t>M</t>
  </si>
  <si>
    <t>0064</t>
  </si>
  <si>
    <t>STEVAHN  JR, ROBERT E.</t>
  </si>
  <si>
    <t>STEVAHN  JR</t>
  </si>
  <si>
    <t>ROBERT</t>
  </si>
  <si>
    <t>0020</t>
  </si>
  <si>
    <t>0023</t>
  </si>
  <si>
    <t>VICKERY, MATT C.</t>
  </si>
  <si>
    <t>VICKERY</t>
  </si>
  <si>
    <t>MATT</t>
  </si>
  <si>
    <t>C</t>
  </si>
  <si>
    <t>0062</t>
  </si>
  <si>
    <t>MILLAR, WAYNE D.</t>
  </si>
  <si>
    <t>MILLAR</t>
  </si>
  <si>
    <t>WAYNE</t>
  </si>
  <si>
    <t>0022</t>
  </si>
  <si>
    <t>ANDREWS, CATHY J.</t>
  </si>
  <si>
    <t>ANDREWS</t>
  </si>
  <si>
    <t>CATHY</t>
  </si>
  <si>
    <t>JEAN</t>
  </si>
  <si>
    <t>0061</t>
  </si>
  <si>
    <t>DURAN, TINA M.</t>
  </si>
  <si>
    <t>DURAN</t>
  </si>
  <si>
    <t>TINA</t>
  </si>
  <si>
    <t>MARIE</t>
  </si>
  <si>
    <t>0021</t>
  </si>
  <si>
    <t>ROSS, BEVERLY J.</t>
  </si>
  <si>
    <t>ROSS</t>
  </si>
  <si>
    <t>BEVERLY</t>
  </si>
  <si>
    <t>0060</t>
  </si>
  <si>
    <t>04244</t>
  </si>
  <si>
    <t>ANDERSON, MICHAEL S.</t>
  </si>
  <si>
    <t>ANDERSON</t>
  </si>
  <si>
    <t>MICHAEL</t>
  </si>
  <si>
    <t>S</t>
  </si>
  <si>
    <t xml:space="preserve">HM   </t>
  </si>
  <si>
    <t>0019</t>
  </si>
  <si>
    <t>MILLAR, ANDREW J.</t>
  </si>
  <si>
    <t>ANDREW</t>
  </si>
  <si>
    <t>0059</t>
  </si>
  <si>
    <t>QUITUGUA, MARIA S.</t>
  </si>
  <si>
    <t>QUITUGUA</t>
  </si>
  <si>
    <t>SABLAN</t>
  </si>
  <si>
    <t>0018</t>
  </si>
  <si>
    <t>MYTRYSAK, STEPHEN L.</t>
  </si>
  <si>
    <t>MYTRYSAK</t>
  </si>
  <si>
    <t>STEPHEN</t>
  </si>
  <si>
    <t>0057</t>
  </si>
  <si>
    <t>LEACH, VANESSA M.</t>
  </si>
  <si>
    <t>LEACH</t>
  </si>
  <si>
    <t>VANESSA</t>
  </si>
  <si>
    <t>0017</t>
  </si>
  <si>
    <t>IT INFO SYS AND INFR</t>
  </si>
  <si>
    <t>01731</t>
  </si>
  <si>
    <t xml:space="preserve">DENISOV, PAVEL </t>
  </si>
  <si>
    <t>DENISOV</t>
  </si>
  <si>
    <t>PAVEL</t>
  </si>
  <si>
    <t>0056</t>
  </si>
  <si>
    <t>04245</t>
  </si>
  <si>
    <t>ROWLANDS, KELLY A.</t>
  </si>
  <si>
    <t>ROWLANDS</t>
  </si>
  <si>
    <t>KELLY</t>
  </si>
  <si>
    <t>ANN</t>
  </si>
  <si>
    <t>0016</t>
  </si>
  <si>
    <t>MANAGEMENT ASSISTANT</t>
  </si>
  <si>
    <t>05272</t>
  </si>
  <si>
    <t>RUPP, LENA M.</t>
  </si>
  <si>
    <t>RUPP</t>
  </si>
  <si>
    <t>LENA</t>
  </si>
  <si>
    <t>0055</t>
  </si>
  <si>
    <t>HARPER, BRETT L.</t>
  </si>
  <si>
    <t>BRETT</t>
  </si>
  <si>
    <t>0015</t>
  </si>
  <si>
    <t>PARKER, LINDA M.</t>
  </si>
  <si>
    <t>PARKER</t>
  </si>
  <si>
    <t>LINDA</t>
  </si>
  <si>
    <t>0054</t>
  </si>
  <si>
    <t>OFFICE SERVICES SUPV</t>
  </si>
  <si>
    <t>01101</t>
  </si>
  <si>
    <t>WARDLE, SHASTA J.</t>
  </si>
  <si>
    <t>WARDLE</t>
  </si>
  <si>
    <t>SHASTA</t>
  </si>
  <si>
    <t>JAY LEE</t>
  </si>
  <si>
    <t>0014</t>
  </si>
  <si>
    <t>DEFINED CONT PLAN PR</t>
  </si>
  <si>
    <t>08906</t>
  </si>
  <si>
    <t>KAISER, DIANE S.</t>
  </si>
  <si>
    <t>KAISER</t>
  </si>
  <si>
    <t>DIANE</t>
  </si>
  <si>
    <t>SUE</t>
  </si>
  <si>
    <t>0052</t>
  </si>
  <si>
    <t>FINANCIAL SUPPORT TE</t>
  </si>
  <si>
    <t>04250</t>
  </si>
  <si>
    <t>G</t>
  </si>
  <si>
    <t>SIMON, SHARON M.</t>
  </si>
  <si>
    <t>SIMON</t>
  </si>
  <si>
    <t>SHARON</t>
  </si>
  <si>
    <t xml:space="preserve">HG   </t>
  </si>
  <si>
    <t>0013</t>
  </si>
  <si>
    <t xml:space="preserve">IT OPS &amp; SUPPORT SR </t>
  </si>
  <si>
    <t>01708</t>
  </si>
  <si>
    <t>COLT, KRIS T.</t>
  </si>
  <si>
    <t>COLT</t>
  </si>
  <si>
    <t>KRIS</t>
  </si>
  <si>
    <t>TED</t>
  </si>
  <si>
    <t>0051</t>
  </si>
  <si>
    <t xml:space="preserve">DEPUTY DIRECTOR     </t>
  </si>
  <si>
    <t>29521</t>
  </si>
  <si>
    <t>HAMPTON, MICHAEL L.</t>
  </si>
  <si>
    <t>HAMPTON</t>
  </si>
  <si>
    <t>LEONAL</t>
  </si>
  <si>
    <t>00000</t>
  </si>
  <si>
    <t>0012</t>
  </si>
  <si>
    <t>BIAS-FOURSTAR, APRIL M.</t>
  </si>
  <si>
    <t>BIAS-FOURSTAR</t>
  </si>
  <si>
    <t>APRIL</t>
  </si>
  <si>
    <t>0050</t>
  </si>
  <si>
    <t>FROEHLKE, TERESA J.</t>
  </si>
  <si>
    <t>FROEHLKE</t>
  </si>
  <si>
    <t>TERESA</t>
  </si>
  <si>
    <t>0011</t>
  </si>
  <si>
    <t>ASTIN, ROBERT S.</t>
  </si>
  <si>
    <t>ASTIN</t>
  </si>
  <si>
    <t>SHAWN</t>
  </si>
  <si>
    <t>0049</t>
  </si>
  <si>
    <t xml:space="preserve">OGLESBY PETERSON, LISA </t>
  </si>
  <si>
    <t>OGLESBY PETERSON</t>
  </si>
  <si>
    <t>LISA</t>
  </si>
  <si>
    <t>0010</t>
  </si>
  <si>
    <t>SIMONDS, JESS G.</t>
  </si>
  <si>
    <t>SIMONDS</t>
  </si>
  <si>
    <t>JESS</t>
  </si>
  <si>
    <t>GRANT</t>
  </si>
  <si>
    <t>0048</t>
  </si>
  <si>
    <t>01716</t>
  </si>
  <si>
    <t>PARR, STACY R.</t>
  </si>
  <si>
    <t>PARR</t>
  </si>
  <si>
    <t>STACY</t>
  </si>
  <si>
    <t>R</t>
  </si>
  <si>
    <t>0009</t>
  </si>
  <si>
    <t>RETIREMENT MEMBER SV</t>
  </si>
  <si>
    <t>08904</t>
  </si>
  <si>
    <t>HARTWIG, CASEY L.</t>
  </si>
  <si>
    <t>HARTWIG</t>
  </si>
  <si>
    <t>CASEY</t>
  </si>
  <si>
    <t>LEWIN</t>
  </si>
  <si>
    <t>0047</t>
  </si>
  <si>
    <t>EPPLEY, ASHLY R.</t>
  </si>
  <si>
    <t>EPPLEY</t>
  </si>
  <si>
    <t>ASHLY</t>
  </si>
  <si>
    <t>0008</t>
  </si>
  <si>
    <t>CARPENTER, ERIC A.</t>
  </si>
  <si>
    <t>CARPENTER</t>
  </si>
  <si>
    <t>ERIC</t>
  </si>
  <si>
    <t>ALFRED</t>
  </si>
  <si>
    <t>0046</t>
  </si>
  <si>
    <t>QUALITY ASSURANCE MA</t>
  </si>
  <si>
    <t>05200</t>
  </si>
  <si>
    <t>FUNK, LISA L.</t>
  </si>
  <si>
    <t>FUNK</t>
  </si>
  <si>
    <t>LEANN</t>
  </si>
  <si>
    <t>0007</t>
  </si>
  <si>
    <t xml:space="preserve">IT MANAGER II       </t>
  </si>
  <si>
    <t>01742</t>
  </si>
  <si>
    <t>KENNAH, BRANDEN J.</t>
  </si>
  <si>
    <t>KENNAH</t>
  </si>
  <si>
    <t>BRANDEN</t>
  </si>
  <si>
    <t xml:space="preserve">HN   </t>
  </si>
  <si>
    <t>0044</t>
  </si>
  <si>
    <t>HEDQUIST, ALAN S.</t>
  </si>
  <si>
    <t>HEDQUIST</t>
  </si>
  <si>
    <t>ALAN</t>
  </si>
  <si>
    <t>0006</t>
  </si>
  <si>
    <t xml:space="preserve">EXECUTIVE DIRECTOR  </t>
  </si>
  <si>
    <t>29520</t>
  </si>
  <si>
    <t>DRUM, DONALD D.</t>
  </si>
  <si>
    <t>DRUM</t>
  </si>
  <si>
    <t>DONALD</t>
  </si>
  <si>
    <t>DEAN</t>
  </si>
  <si>
    <t>0043</t>
  </si>
  <si>
    <t>FOWLER, ELLISE J.</t>
  </si>
  <si>
    <t>FOWLER</t>
  </si>
  <si>
    <t>ELLISE</t>
  </si>
  <si>
    <t>0042</t>
  </si>
  <si>
    <t>CHAFFIN, BONNIE I.</t>
  </si>
  <si>
    <t>CHAFFIN</t>
  </si>
  <si>
    <t>BONNIE</t>
  </si>
  <si>
    <t>0040</t>
  </si>
  <si>
    <t xml:space="preserve">MARTINEZ, PATRICIA </t>
  </si>
  <si>
    <t>MARTINEZ</t>
  </si>
  <si>
    <t>PATRICIA</t>
  </si>
  <si>
    <t>0039</t>
  </si>
  <si>
    <t xml:space="preserve">FINANCIAL EXECUTIVE </t>
  </si>
  <si>
    <t>04240</t>
  </si>
  <si>
    <t>P</t>
  </si>
  <si>
    <t>SIMPSON, ALEXANDER M.</t>
  </si>
  <si>
    <t>SIMPSON</t>
  </si>
  <si>
    <t>ALEXANDER</t>
  </si>
  <si>
    <t xml:space="preserve">HP   </t>
  </si>
  <si>
    <t>0038</t>
  </si>
  <si>
    <t xml:space="preserve">BUSINESS ANALYST    </t>
  </si>
  <si>
    <t>05520</t>
  </si>
  <si>
    <t>ATCHISON, CATHERINE A.</t>
  </si>
  <si>
    <t>ATCHISON</t>
  </si>
  <si>
    <t>CATHERINE</t>
  </si>
  <si>
    <t>ANNE</t>
  </si>
  <si>
    <t>0079</t>
  </si>
  <si>
    <t>HOLLERON, MARYLYNNE T.</t>
  </si>
  <si>
    <t>HOLLERON</t>
  </si>
  <si>
    <t>MARYLYNNE</t>
  </si>
  <si>
    <t>TONKIN</t>
  </si>
  <si>
    <t>0036</t>
  </si>
  <si>
    <t>STACY, ADELWISA M.</t>
  </si>
  <si>
    <t>ADELWISA</t>
  </si>
  <si>
    <t>MIRANDA</t>
  </si>
  <si>
    <t>0076</t>
  </si>
  <si>
    <t xml:space="preserve">PURCHASING AGENT    </t>
  </si>
  <si>
    <t>01532</t>
  </si>
  <si>
    <t>WALD, JON A.</t>
  </si>
  <si>
    <t>WALD</t>
  </si>
  <si>
    <t>JON</t>
  </si>
  <si>
    <t>0035</t>
  </si>
  <si>
    <t xml:space="preserve">OFFICE SPECIALIST 2 </t>
  </si>
  <si>
    <t>01239</t>
  </si>
  <si>
    <t>COLE, JANET M.</t>
  </si>
  <si>
    <t>COLE</t>
  </si>
  <si>
    <t>JANET</t>
  </si>
  <si>
    <t>0075</t>
  </si>
  <si>
    <t>MIKUS, RAYMOND J.</t>
  </si>
  <si>
    <t>MIKUS</t>
  </si>
  <si>
    <t>RAYMOND</t>
  </si>
  <si>
    <t>0034</t>
  </si>
  <si>
    <t>01730</t>
  </si>
  <si>
    <t>MICKELS, BRIAN J.</t>
  </si>
  <si>
    <t>MICKELS</t>
  </si>
  <si>
    <t>BRIAN</t>
  </si>
  <si>
    <t>0074</t>
  </si>
  <si>
    <t xml:space="preserve">ADMIN ASST 1        </t>
  </si>
  <si>
    <t>01235</t>
  </si>
  <si>
    <t>ADAMS, KATHY K.</t>
  </si>
  <si>
    <t>ADAMS</t>
  </si>
  <si>
    <t>KATHY</t>
  </si>
  <si>
    <t>0033</t>
  </si>
  <si>
    <t>WHITE, KELSEY K.</t>
  </si>
  <si>
    <t>WHITE</t>
  </si>
  <si>
    <t>KELSEY</t>
  </si>
  <si>
    <t>0072</t>
  </si>
  <si>
    <t xml:space="preserve">PROGRAM MANAGER     </t>
  </si>
  <si>
    <t>09047</t>
  </si>
  <si>
    <t>CROSS, KELLY S.</t>
  </si>
  <si>
    <t>CROSS</t>
  </si>
  <si>
    <t>0063</t>
  </si>
  <si>
    <t xml:space="preserve">INVESTMENT OFFICER  </t>
  </si>
  <si>
    <t>02</t>
  </si>
  <si>
    <t>GVFB</t>
  </si>
  <si>
    <t>20158</t>
  </si>
  <si>
    <t>SUGIYAMA, RICHELLE A.</t>
  </si>
  <si>
    <t>SUGIYAMA</t>
  </si>
  <si>
    <t>RICHELLE</t>
  </si>
  <si>
    <t>0053</t>
  </si>
  <si>
    <t xml:space="preserve">SAWICKI, ROSE MARIE </t>
  </si>
  <si>
    <t>SAWICKI</t>
  </si>
  <si>
    <t>ROSE MARIE</t>
  </si>
  <si>
    <t>0045</t>
  </si>
  <si>
    <t>CHIEF INVESTMENT OFF</t>
  </si>
  <si>
    <t>20109</t>
  </si>
  <si>
    <t>MAYNARD, ROBERT M.</t>
  </si>
  <si>
    <t>MAYNARD</t>
  </si>
  <si>
    <t>0073</t>
  </si>
  <si>
    <t>0560</t>
  </si>
  <si>
    <t>GVFJ</t>
  </si>
  <si>
    <t>WAGEMAN, SHEILA G.</t>
  </si>
  <si>
    <t>WAGEMAN</t>
  </si>
  <si>
    <t>SHEILA</t>
  </si>
  <si>
    <t>GAY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</si>
  <si>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</si>
  <si>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</si>
  <si>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</si>
  <si>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</si>
  <si>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</si>
  <si>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</si>
  <si>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</si>
  <si>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</si>
  <si>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</si>
  <si>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</si>
  <si>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</si>
  <si>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</si>
  <si>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</si>
  <si>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</si>
  <si>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</si>
  <si>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</si>
  <si>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</si>
  <si>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</si>
  <si>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</si>
  <si>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</si>
  <si>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</si>
  <si>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</si>
  <si>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</si>
  <si>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</si>
  <si>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</si>
  <si>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</si>
  <si>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</si>
  <si>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</si>
  <si>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</si>
  <si>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</si>
  <si>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</si>
  <si>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</si>
  <si>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</si>
  <si>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</si>
  <si>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</si>
  <si>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</si>
  <si>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</si>
  <si>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</si>
  <si>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</si>
  <si>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</si>
  <si>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</si>
  <si>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</si>
  <si>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</si>
  <si>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</si>
  <si>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</si>
  <si>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</si>
  <si>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</si>
  <si>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</si>
  <si>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GVFA 0550-01</t>
  </si>
  <si>
    <t>GVFA 0550</t>
  </si>
  <si>
    <t>Office of the Governor</t>
  </si>
  <si>
    <t>Public Employee Retirement System</t>
  </si>
  <si>
    <t>Retirement Administration</t>
  </si>
  <si>
    <t>PERSI Administrative</t>
  </si>
  <si>
    <t>0550-01</t>
  </si>
  <si>
    <t>55001</t>
  </si>
  <si>
    <t>Retirement Administration, PERSI Administrative   GVFA-0550-01</t>
  </si>
  <si>
    <t>GVFB 0550-02</t>
  </si>
  <si>
    <t>GVFB 0550</t>
  </si>
  <si>
    <t>Portfolio Investment</t>
  </si>
  <si>
    <t>PERSI Special</t>
  </si>
  <si>
    <t>0550-02</t>
  </si>
  <si>
    <t>55002</t>
  </si>
  <si>
    <t>Portfolio Investment, PERSI Special   GVFB-0550-02</t>
  </si>
  <si>
    <t>GVFC 0550-02</t>
  </si>
  <si>
    <t>GVFC 0550</t>
  </si>
  <si>
    <t>Portfolio Investment, PERSI Special   GVFC-0550-02</t>
  </si>
  <si>
    <t>GVFE 0560-00</t>
  </si>
  <si>
    <t>GVFE 0560</t>
  </si>
  <si>
    <t>Judges' Retirement</t>
  </si>
  <si>
    <t>0560-00</t>
  </si>
  <si>
    <t>56000</t>
  </si>
  <si>
    <t>Retirement Administration, Judges' Retirement   GVFE-0560-00</t>
  </si>
  <si>
    <t>GVFJ 0560-00</t>
  </si>
  <si>
    <t>GVFJ 0560</t>
  </si>
  <si>
    <t>Retirement Administration, Judges' Retirement   GVFJ-0560-00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</si>
  <si>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</si>
  <si>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</si>
  <si>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</si>
  <si>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</si>
  <si>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</si>
  <si>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</si>
  <si>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</si>
  <si>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Fund-0550</t>
  </si>
  <si>
    <t>Fund-0560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</si>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</sst>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0" fillId="0" borderId="18" xfId="0" applyNumberFormat="1" applyBorder="1"/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24FA-D728-4032-ABFB-51144AC16C90}">
  <sheetPr>
    <pageSetUpPr fitToPage="1"/>
  </sheetPr>
  <dimension ref="A1:CP80"/>
  <sheetViews>
    <sheetView showGridLines="0" tabSelected="1" topLeftCell="A43" zoomScaleNormal="100" workbookViewId="0">
      <selection activeCell="G73" sqref="G7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617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615</v>
      </c>
      <c r="J5" s="472"/>
      <c r="K5" s="472"/>
      <c r="L5" s="471"/>
      <c r="M5" s="352" t="s">
        <v>115</v>
      </c>
      <c r="N5" s="32" t="s">
        <v>616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"&amp;'GVFA|0550-01'!FiscalYear-1&amp;" SALARY"</f>
        <v>FY 2022 SALARY</v>
      </c>
      <c r="H8" s="50" t="str">
        <f>"FY "&amp;'GVFA|0550-01'!FiscalYear-1&amp;" HEALTH BENEFITS"</f>
        <v>FY 2022 HEALTH BENEFITS</v>
      </c>
      <c r="I8" s="50" t="str">
        <f>"FY "&amp;'GVFA|0550-01'!FiscalYear-1&amp;" VAR BENEFITS"</f>
        <v>FY 2022 VAR BENEFITS</v>
      </c>
      <c r="J8" s="50" t="str">
        <f>"FY "&amp;'GVFA|0550-01'!FiscalYear-1&amp;" TOTAL"</f>
        <v>FY 2022 TOTAL</v>
      </c>
      <c r="K8" s="50" t="str">
        <f>"FY "&amp;'GVFA|0550-01'!FiscalYear&amp;" SALARY CHANGE"</f>
        <v>FY 2023 SALARY CHANGE</v>
      </c>
      <c r="L8" s="50" t="str">
        <f>"FY "&amp;'GVFA|0550-01'!FiscalYear&amp;" CHG HEALTH BENEFITS"</f>
        <v>FY 2023 CHG HEALTH BENEFITS</v>
      </c>
      <c r="M8" s="50" t="str">
        <f>"FY "&amp;'GVFA|0550-01'!FiscalYear&amp;"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[0]!GVFA055001col_INC_FTI</f>
        <v>61</v>
      </c>
      <c r="G10" s="218">
        <f>[0]!GVFA055001col_FTI_SALARY_PERM</f>
        <v>3116734.3999999985</v>
      </c>
      <c r="H10" s="218">
        <f>[0]!GVFA055001col_HEALTH_PERM</f>
        <v>710650</v>
      </c>
      <c r="I10" s="218">
        <f>[0]!GVFA055001col_TOT_VB_PERM</f>
        <v>667824.69848800031</v>
      </c>
      <c r="J10" s="219">
        <f>SUM(G10:I10)</f>
        <v>4495209.0984879993</v>
      </c>
      <c r="K10" s="219">
        <f>[0]!GVFA055001col_1_27TH_PP</f>
        <v>0</v>
      </c>
      <c r="L10" s="218">
        <f>[0]!GVFA055001col_HEALTH_PERM_CHG</f>
        <v>0</v>
      </c>
      <c r="M10" s="218">
        <f>[0]!GVFA055001col_TOT_VB_PERM_CHG</f>
        <v>-14982.100160000004</v>
      </c>
      <c r="N10" s="218">
        <f>SUM(L10:M10)</f>
        <v>-14982.100160000004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31200</v>
      </c>
      <c r="AB10" s="335">
        <f>ROUND(PermVarBen*CECPerm+(CECPerm*PermVarBenChg),-2)</f>
        <v>6500</v>
      </c>
      <c r="AC10" s="335">
        <f>SUM(AA10:AB10)</f>
        <v>37700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[0]!GVFA055001col_Group_Salary</f>
        <v>11837.6</v>
      </c>
      <c r="H11" s="218">
        <v>0</v>
      </c>
      <c r="I11" s="218">
        <f>[0]!GVFA055001col_Group_Ben</f>
        <v>6427.65</v>
      </c>
      <c r="J11" s="219">
        <f>SUM(G11:I11)</f>
        <v>18265.25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[0]!GVFA055001col_TOTAL_ELECT_PCN_FTI</f>
        <v>0</v>
      </c>
      <c r="G12" s="218">
        <f>[0]!GVFA055001col_FTI_SALARY_ELECT</f>
        <v>0</v>
      </c>
      <c r="H12" s="218">
        <f>[0]!GVFA055001col_HEALTH_ELECT</f>
        <v>0</v>
      </c>
      <c r="I12" s="218">
        <f>[0]!GVFA055001col_TOT_VB_ELECT</f>
        <v>0</v>
      </c>
      <c r="J12" s="219">
        <f>SUM(G12:I12)</f>
        <v>0</v>
      </c>
      <c r="K12" s="268"/>
      <c r="L12" s="218">
        <f>[0]!GVFA055001col_HEALTH_ELECT_CHG</f>
        <v>0</v>
      </c>
      <c r="M12" s="218">
        <f>[0]!GVFA055001col_TOT_VB_ELECT_CHG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61</v>
      </c>
      <c r="G13" s="221">
        <f>SUM(G10:G12)</f>
        <v>3128571.9999999986</v>
      </c>
      <c r="H13" s="221">
        <f>SUM(H10:H12)</f>
        <v>710650</v>
      </c>
      <c r="I13" s="221">
        <f>SUM(I10:I12)</f>
        <v>674252.34848800034</v>
      </c>
      <c r="J13" s="219">
        <f>SUM(G13:I13)</f>
        <v>4513474.3484879993</v>
      </c>
      <c r="K13" s="268"/>
      <c r="L13" s="219">
        <f>SUM(L10:L12)</f>
        <v>0</v>
      </c>
      <c r="M13" s="219">
        <f>SUM(M10:M12)</f>
        <v>-14982.100160000004</v>
      </c>
      <c r="N13" s="219">
        <f>SUM(N10:N12)</f>
        <v>-14982.100160000004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"&amp;'GVFA|0550-01'!FiscalYear-1</f>
        <v>FY 2022</v>
      </c>
      <c r="D15" s="158" t="s">
        <v>31</v>
      </c>
      <c r="E15" s="355">
        <v>5098300</v>
      </c>
      <c r="F15" s="55">
        <v>68</v>
      </c>
      <c r="G15" s="223">
        <f>IF(OrigApprop=0,0,(G13/$J$13)*OrigApprop)</f>
        <v>3533951.3191081565</v>
      </c>
      <c r="H15" s="223">
        <f>IF(OrigApprop=0,0,(H13/$J$13)*OrigApprop)</f>
        <v>802731.24765043368</v>
      </c>
      <c r="I15" s="223">
        <f>IF(G15=0,0,(I13/$J$13)*OrigApprop)</f>
        <v>761617.43324140925</v>
      </c>
      <c r="J15" s="223">
        <f>SUM(G15:I15)</f>
        <v>5098299.9999999991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7</v>
      </c>
      <c r="G16" s="162">
        <f>G15-G13</f>
        <v>405379.31910815788</v>
      </c>
      <c r="H16" s="162">
        <f>H15-H13</f>
        <v>92081.247650433681</v>
      </c>
      <c r="I16" s="162">
        <f>I15-I13</f>
        <v>87365.084753408912</v>
      </c>
      <c r="J16" s="162">
        <f>J15-J13</f>
        <v>584825.65151199978</v>
      </c>
      <c r="K16" s="269"/>
      <c r="L16" s="56" t="str">
        <f>IF('GVFA|0550-01'!OrigApprop=0,"ERROR! Enter Original Appropriation amount in DU 3.00!","Calculated "&amp;IF('GVFA|0550-01'!AdjustedTotal&gt;0,"overfunding ","underfunding ")&amp;"is "&amp;TEXT('GVFA|0550-01'!AdjustedTotal/'GVFA|0550-01'!AppropTotal,"#.0%;(#.0% );0% ;")&amp;" of Original Appropriation")</f>
        <v>Calculated overfunding is 11.5%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61</v>
      </c>
      <c r="G38" s="191">
        <f>SUMIF($E10:$E35,$E38,$G10:$G35)</f>
        <v>3116734.3999999985</v>
      </c>
      <c r="H38" s="192">
        <f>SUMIF($E10:$E35,$E38,$H10:$H35)</f>
        <v>710650</v>
      </c>
      <c r="I38" s="192">
        <f>SUMIF($E10:$E35,$E38,$I10:$I35)</f>
        <v>667824.69848800031</v>
      </c>
      <c r="J38" s="192">
        <f>SUM(G38:I38)</f>
        <v>4495209.0984879993</v>
      </c>
      <c r="K38" s="166"/>
      <c r="L38" s="191">
        <f>SUMIF($E10:$E35,$E38,$L10:$L35)</f>
        <v>0</v>
      </c>
      <c r="M38" s="192">
        <f>SUMIF($E10:$E35,$E38,$M10:$M35)</f>
        <v>-14982.100160000004</v>
      </c>
      <c r="N38" s="192">
        <f>SUM(L38:M38)</f>
        <v>-14982.100160000004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31200</v>
      </c>
      <c r="AB38" s="338">
        <f>ROUND((AdjPermVB*CECPerm+AdjPermVBBY*CECPerm),-2)</f>
        <v>6500</v>
      </c>
      <c r="AC38" s="338">
        <f>SUM(AA38:AB38)</f>
        <v>37700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11837.6</v>
      </c>
      <c r="H39" s="152">
        <f>SUMIF($E10:$E35,$E39,$H10:$H35)</f>
        <v>0</v>
      </c>
      <c r="I39" s="152">
        <f>SUMIF($E10:$E35,$E39,$I10:$I35)</f>
        <v>6427.65</v>
      </c>
      <c r="J39" s="152">
        <f>SUM(G39:I39)</f>
        <v>18265.25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100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61</v>
      </c>
      <c r="G41" s="195">
        <f>SUM($G$38:$G$40)</f>
        <v>3128571.9999999986</v>
      </c>
      <c r="H41" s="162">
        <f>SUM($H$38:$H$40)</f>
        <v>710650</v>
      </c>
      <c r="I41" s="162">
        <f>SUM($I$38:$I$40)</f>
        <v>674252.34848800034</v>
      </c>
      <c r="J41" s="162">
        <f>SUM($J$38:$J$40)</f>
        <v>4513474.3484879993</v>
      </c>
      <c r="K41" s="259"/>
      <c r="L41" s="195">
        <f>SUM($L$38:$L$40)</f>
        <v>0</v>
      </c>
      <c r="M41" s="162">
        <f>SUM($M$38:$M$40)</f>
        <v>-14982.100160000004</v>
      </c>
      <c r="N41" s="162">
        <f>SUM(L41:M41)</f>
        <v>-14982.100160000004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7</v>
      </c>
      <c r="G43" s="206">
        <f>ROUND(G51-G41,-2)</f>
        <v>405400</v>
      </c>
      <c r="H43" s="159">
        <f>ROUND(H51-H41,-2)</f>
        <v>92100</v>
      </c>
      <c r="I43" s="159">
        <f>ROUND(I51-I41,-2)</f>
        <v>87400</v>
      </c>
      <c r="J43" s="159">
        <f>SUM(G43:I43)</f>
        <v>584900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11.5%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7</v>
      </c>
      <c r="G44" s="206">
        <f>ROUND(G60-G41,-2)</f>
        <v>405400</v>
      </c>
      <c r="H44" s="159">
        <f>ROUND(H60-H41,-2)</f>
        <v>92100</v>
      </c>
      <c r="I44" s="159">
        <f>ROUND(I60-I41,-2)</f>
        <v>87300</v>
      </c>
      <c r="J44" s="159">
        <f>SUM(G44:I44)</f>
        <v>584800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11.5%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7</v>
      </c>
      <c r="G45" s="206">
        <f>ROUND(G67-G41-G63,-2)</f>
        <v>405400</v>
      </c>
      <c r="H45" s="206">
        <f>ROUND(H67-H41-H63,-2)</f>
        <v>92100</v>
      </c>
      <c r="I45" s="206">
        <f>ROUND(I67-I41-I63,-2)</f>
        <v>87300</v>
      </c>
      <c r="J45" s="159">
        <f>SUM(G45:I45)</f>
        <v>584800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11.5%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5098300</v>
      </c>
      <c r="F51" s="272">
        <f>AppropFTP</f>
        <v>68</v>
      </c>
      <c r="G51" s="274">
        <f>IF(E51=0,0,(G41/$J$41)*$E$51)</f>
        <v>3533951.3191081565</v>
      </c>
      <c r="H51" s="274">
        <f>IF(E51=0,0,(H41/$J$41)*$E$51)</f>
        <v>802731.24765043368</v>
      </c>
      <c r="I51" s="275">
        <f>IF(E51=0,0,(I41/$J$41)*$E$51)</f>
        <v>761617.43324140925</v>
      </c>
      <c r="J51" s="90">
        <f>SUM(G51:I51)</f>
        <v>5098299.9999999991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68</v>
      </c>
      <c r="G52" s="79">
        <f>ROUND(G51,-2)</f>
        <v>3534000</v>
      </c>
      <c r="H52" s="79">
        <f>ROUND(H51,-2)</f>
        <v>802700</v>
      </c>
      <c r="I52" s="266">
        <f>ROUND(I51,-2)</f>
        <v>761600</v>
      </c>
      <c r="J52" s="80">
        <f>ROUND(J51,-2)</f>
        <v>5098300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68</v>
      </c>
      <c r="G56" s="80">
        <f>SUM(G52:G55)</f>
        <v>3534000</v>
      </c>
      <c r="H56" s="80">
        <f>SUM(H52:H55)</f>
        <v>802700</v>
      </c>
      <c r="I56" s="260">
        <f>SUM(I52:I55)</f>
        <v>761600</v>
      </c>
      <c r="J56" s="80">
        <f>SUM(J52:J55)</f>
        <v>5098300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68</v>
      </c>
      <c r="G60" s="80">
        <f>SUM(G56:G59)</f>
        <v>3534000</v>
      </c>
      <c r="H60" s="80">
        <f>SUM(H56:H59)</f>
        <v>802700</v>
      </c>
      <c r="I60" s="260">
        <f>SUM(I56:I59)</f>
        <v>761600</v>
      </c>
      <c r="J60" s="80">
        <f>SUM(J56:J59)</f>
        <v>5098300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68</v>
      </c>
      <c r="G67" s="80">
        <f>SUM(G60:G64)</f>
        <v>3534000</v>
      </c>
      <c r="H67" s="80">
        <f>SUM(H60:H64)</f>
        <v>802700</v>
      </c>
      <c r="I67" s="80">
        <f>SUM(I60:I64)</f>
        <v>761600</v>
      </c>
      <c r="J67" s="80">
        <f>SUM(J60:J64)</f>
        <v>5098300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-15000</v>
      </c>
      <c r="J69" s="287">
        <f>SUM(G69:I69)</f>
        <v>-15000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31200</v>
      </c>
      <c r="H72" s="287"/>
      <c r="I72" s="287">
        <f>ROUND(($G72*PermVBBY+$G72*Retire1BY),-2)</f>
        <v>6600</v>
      </c>
      <c r="J72" s="113">
        <f>SUM(G72:I72)</f>
        <v>37800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68</v>
      </c>
      <c r="G75" s="80">
        <f>SUM(G67:G74)</f>
        <v>3565300</v>
      </c>
      <c r="H75" s="80">
        <f>SUM(H67:H74)</f>
        <v>802700</v>
      </c>
      <c r="I75" s="80">
        <f>SUM(I67:I74)</f>
        <v>753200</v>
      </c>
      <c r="J75" s="80">
        <f>SUM(J67:K74)</f>
        <v>5121200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68</v>
      </c>
      <c r="G80" s="80">
        <f>SUM(G75:G79)</f>
        <v>3565300</v>
      </c>
      <c r="H80" s="80">
        <f>SUM(H75:H79)</f>
        <v>802700</v>
      </c>
      <c r="I80" s="80">
        <f>SUM(I75:I79)</f>
        <v>753200</v>
      </c>
      <c r="J80" s="80">
        <f>SUM(J75:J79)</f>
        <v>5121200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4" priority="5">
      <formula>$J$44&lt;0</formula>
    </cfRule>
  </conditionalFormatting>
  <conditionalFormatting sqref="K43">
    <cfRule type="expression" dxfId="23" priority="4">
      <formula>$J$43&lt;0</formula>
    </cfRule>
  </conditionalFormatting>
  <conditionalFormatting sqref="L16">
    <cfRule type="expression" dxfId="22" priority="3">
      <formula>$J$16&lt;0</formula>
    </cfRule>
  </conditionalFormatting>
  <conditionalFormatting sqref="K45">
    <cfRule type="expression" dxfId="21" priority="2">
      <formula>$J$44&lt;0</formula>
    </cfRule>
  </conditionalFormatting>
  <conditionalFormatting sqref="K43:N45">
    <cfRule type="containsText" dxfId="2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A8C96B-291E-4061-8812-56C28DBA101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3EFC-7AFD-4207-932B-73296FD6C67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624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621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541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622</v>
      </c>
      <c r="J5" s="472"/>
      <c r="K5" s="472"/>
      <c r="L5" s="471"/>
      <c r="M5" s="352" t="s">
        <v>115</v>
      </c>
      <c r="N5" s="32" t="s">
        <v>623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"&amp;'GVFB|0550-02'!FiscalYear-1&amp;" SALARY"</f>
        <v>FY 2022 SALARY</v>
      </c>
      <c r="H8" s="50" t="str">
        <f>"FY "&amp;'GVFB|0550-02'!FiscalYear-1&amp;" HEALTH BENEFITS"</f>
        <v>FY 2022 HEALTH BENEFITS</v>
      </c>
      <c r="I8" s="50" t="str">
        <f>"FY "&amp;'GVFB|0550-02'!FiscalYear-1&amp;" VAR BENEFITS"</f>
        <v>FY 2022 VAR BENEFITS</v>
      </c>
      <c r="J8" s="50" t="str">
        <f>"FY "&amp;'GVFB|0550-02'!FiscalYear-1&amp;" TOTAL"</f>
        <v>FY 2022 TOTAL</v>
      </c>
      <c r="K8" s="50" t="str">
        <f>"FY "&amp;'GVFB|0550-02'!FiscalYear&amp;" SALARY CHANGE"</f>
        <v>FY 2023 SALARY CHANGE</v>
      </c>
      <c r="L8" s="50" t="str">
        <f>"FY "&amp;'GVFB|0550-02'!FiscalYear&amp;" CHG HEALTH BENEFITS"</f>
        <v>FY 2023 CHG HEALTH BENEFITS</v>
      </c>
      <c r="M8" s="50" t="str">
        <f>"FY "&amp;'GVFB|0550-02'!FiscalYear&amp;"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[0]!GVFB055002col_INC_FTI</f>
        <v>3</v>
      </c>
      <c r="G10" s="218">
        <f>[0]!GVFB055002col_FTI_SALARY_PERM</f>
        <v>533208</v>
      </c>
      <c r="H10" s="218">
        <f>[0]!GVFB055002col_HEALTH_PERM</f>
        <v>34950</v>
      </c>
      <c r="I10" s="218">
        <f>[0]!GVFB055002col_TOT_VB_PERM</f>
        <v>99743.72306400002</v>
      </c>
      <c r="J10" s="219">
        <f>SUM(G10:I10)</f>
        <v>667901.72306400002</v>
      </c>
      <c r="K10" s="219">
        <f>[0]!GVFB055002col_1_27TH_PP</f>
        <v>0</v>
      </c>
      <c r="L10" s="218">
        <f>[0]!GVFB055002col_HEALTH_PERM_CHG</f>
        <v>0</v>
      </c>
      <c r="M10" s="218">
        <f>[0]!GVFB055002col_TOT_VB_PERM_CHG</f>
        <v>-2140.2815999999989</v>
      </c>
      <c r="N10" s="218">
        <f>SUM(L10:M10)</f>
        <v>-2140.2815999999989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5300</v>
      </c>
      <c r="AB10" s="335">
        <f>ROUND(PermVarBen*CECPerm+(CECPerm*PermVarBenChg),-2)</f>
        <v>1000</v>
      </c>
      <c r="AC10" s="335">
        <f>SUM(AA10:AB10)</f>
        <v>6300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[0]!GVFB055002col_Group_Salary</f>
        <v>0</v>
      </c>
      <c r="H11" s="218">
        <v>0</v>
      </c>
      <c r="I11" s="218">
        <f>[0]!GVFB055002col_Group_Ben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[0]!GVFB055002col_TOTAL_ELECT_PCN_FTI</f>
        <v>0</v>
      </c>
      <c r="G12" s="218">
        <f>[0]!GVFB055002col_FTI_SALARY_ELECT</f>
        <v>0</v>
      </c>
      <c r="H12" s="218">
        <f>[0]!GVFB055002col_HEALTH_ELECT</f>
        <v>0</v>
      </c>
      <c r="I12" s="218">
        <f>[0]!GVFB055002col_TOT_VB_ELECT</f>
        <v>0</v>
      </c>
      <c r="J12" s="219">
        <f>SUM(G12:I12)</f>
        <v>0</v>
      </c>
      <c r="K12" s="268"/>
      <c r="L12" s="218">
        <f>[0]!GVFB055002col_HEALTH_ELECT_CHG</f>
        <v>0</v>
      </c>
      <c r="M12" s="218">
        <f>[0]!GVFB055002col_TOT_VB_ELECT_CHG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</v>
      </c>
      <c r="G13" s="221">
        <f>SUM(G10:G12)</f>
        <v>533208</v>
      </c>
      <c r="H13" s="221">
        <f>SUM(H10:H12)</f>
        <v>34950</v>
      </c>
      <c r="I13" s="221">
        <f>SUM(I10:I12)</f>
        <v>99743.72306400002</v>
      </c>
      <c r="J13" s="219">
        <f>SUM(G13:I13)</f>
        <v>667901.72306400002</v>
      </c>
      <c r="K13" s="268"/>
      <c r="L13" s="219">
        <f>SUM(L10:L12)</f>
        <v>0</v>
      </c>
      <c r="M13" s="219">
        <f>SUM(M10:M12)</f>
        <v>-2140.2815999999989</v>
      </c>
      <c r="N13" s="219">
        <f>SUM(N10:N12)</f>
        <v>-2140.2815999999989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"&amp;'GVFB|0550-02'!FiscalYear-1</f>
        <v>FY 2022</v>
      </c>
      <c r="D15" s="158" t="s">
        <v>31</v>
      </c>
      <c r="E15" s="355">
        <v>847800</v>
      </c>
      <c r="F15" s="55">
        <v>4</v>
      </c>
      <c r="G15" s="223">
        <f>IF(OrigApprop=0,0,(G13/$J$13)*OrigApprop)</f>
        <v>676826.73481691722</v>
      </c>
      <c r="H15" s="223">
        <f>IF(OrigApprop=0,0,(H13/$J$13)*OrigApprop)</f>
        <v>44363.727441919953</v>
      </c>
      <c r="I15" s="223">
        <f>IF(G15=0,0,(I13/$J$13)*OrigApprop)</f>
        <v>126609.53774116287</v>
      </c>
      <c r="J15" s="223">
        <f>SUM(G15:I15)</f>
        <v>847800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</v>
      </c>
      <c r="G16" s="162">
        <f>G15-G13</f>
        <v>143618.73481691722</v>
      </c>
      <c r="H16" s="162">
        <f>H15-H13</f>
        <v>9413.727441919953</v>
      </c>
      <c r="I16" s="162">
        <f>I15-I13</f>
        <v>26865.814677162853</v>
      </c>
      <c r="J16" s="162">
        <f>J15-J13</f>
        <v>179898.27693599998</v>
      </c>
      <c r="K16" s="269"/>
      <c r="L16" s="56" t="str">
        <f>IF('GVFB|0550-02'!OrigApprop=0,"ERROR! Enter Original Appropriation amount in DU 3.00!","Calculated "&amp;IF('GVFB|0550-02'!AdjustedTotal&gt;0,"overfunding ","underfunding ")&amp;"is "&amp;TEXT('GVFB|0550-02'!AdjustedTotal/'GVFB|0550-02'!AppropTotal,"#.0%;(#.0% );0% ;")&amp;" of Original Appropriation")</f>
        <v>Calculated overfunding is 21.2%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</v>
      </c>
      <c r="G38" s="191">
        <f>SUMIF($E10:$E35,$E38,$G10:$G35)</f>
        <v>533208</v>
      </c>
      <c r="H38" s="192">
        <f>SUMIF($E10:$E35,$E38,$H10:$H35)</f>
        <v>34950</v>
      </c>
      <c r="I38" s="192">
        <f>SUMIF($E10:$E35,$E38,$I10:$I35)</f>
        <v>99743.72306400002</v>
      </c>
      <c r="J38" s="192">
        <f>SUM(G38:I38)</f>
        <v>667901.72306400002</v>
      </c>
      <c r="K38" s="166"/>
      <c r="L38" s="191">
        <f>SUMIF($E10:$E35,$E38,$L10:$L35)</f>
        <v>0</v>
      </c>
      <c r="M38" s="192">
        <f>SUMIF($E10:$E35,$E38,$M10:$M35)</f>
        <v>-2140.2815999999989</v>
      </c>
      <c r="N38" s="192">
        <f>SUM(L38:M38)</f>
        <v>-2140.2815999999989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5300</v>
      </c>
      <c r="AB38" s="338">
        <f>ROUND((AdjPermVB*CECPerm+AdjPermVBBY*CECPerm),-2)</f>
        <v>1000</v>
      </c>
      <c r="AC38" s="338">
        <f>SUM(AA38:AB38)</f>
        <v>6300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</v>
      </c>
      <c r="G41" s="195">
        <f>SUM($G$38:$G$40)</f>
        <v>533208</v>
      </c>
      <c r="H41" s="162">
        <f>SUM($H$38:$H$40)</f>
        <v>34950</v>
      </c>
      <c r="I41" s="162">
        <f>SUM($I$38:$I$40)</f>
        <v>99743.72306400002</v>
      </c>
      <c r="J41" s="162">
        <f>SUM($J$38:$J$40)</f>
        <v>667901.72306400002</v>
      </c>
      <c r="K41" s="259"/>
      <c r="L41" s="195">
        <f>SUM($L$38:$L$40)</f>
        <v>0</v>
      </c>
      <c r="M41" s="162">
        <f>SUM($M$38:$M$40)</f>
        <v>-2140.2815999999989</v>
      </c>
      <c r="N41" s="162">
        <f>SUM(L41:M41)</f>
        <v>-2140.2815999999989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</v>
      </c>
      <c r="G43" s="206">
        <f>ROUND(G51-G41,-2)</f>
        <v>143600</v>
      </c>
      <c r="H43" s="159">
        <f>ROUND(H51-H41,-2)</f>
        <v>9400</v>
      </c>
      <c r="I43" s="159">
        <f>ROUND(I51-I41,-2)</f>
        <v>26900</v>
      </c>
      <c r="J43" s="159">
        <f>SUM(G43:I43)</f>
        <v>179900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21.2%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</v>
      </c>
      <c r="G44" s="206">
        <f>ROUND(G60-G41,-2)</f>
        <v>143600</v>
      </c>
      <c r="H44" s="159">
        <f>ROUND(H60-H41,-2)</f>
        <v>9500</v>
      </c>
      <c r="I44" s="159">
        <f>ROUND(I60-I41,-2)</f>
        <v>26900</v>
      </c>
      <c r="J44" s="159">
        <f>SUM(G44:I44)</f>
        <v>180000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21.2%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143600</v>
      </c>
      <c r="H45" s="206">
        <f>ROUND(H67-H41-H63,-2)</f>
        <v>9500</v>
      </c>
      <c r="I45" s="206">
        <f>ROUND(I67-I41-I63,-2)</f>
        <v>26900</v>
      </c>
      <c r="J45" s="159">
        <f>SUM(G45:I45)</f>
        <v>180000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21.2%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847800</v>
      </c>
      <c r="F51" s="272">
        <f>AppropFTP</f>
        <v>4</v>
      </c>
      <c r="G51" s="274">
        <f>IF(E51=0,0,(G41/$J$41)*$E$51)</f>
        <v>676826.73481691722</v>
      </c>
      <c r="H51" s="274">
        <f>IF(E51=0,0,(H41/$J$41)*$E$51)</f>
        <v>44363.727441919953</v>
      </c>
      <c r="I51" s="275">
        <f>IF(E51=0,0,(I41/$J$41)*$E$51)</f>
        <v>126609.53774116287</v>
      </c>
      <c r="J51" s="90">
        <f>SUM(G51:I51)</f>
        <v>847800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676800</v>
      </c>
      <c r="H52" s="79">
        <f>ROUND(H51,-2)</f>
        <v>44400</v>
      </c>
      <c r="I52" s="266">
        <f>ROUND(I51,-2)</f>
        <v>126600</v>
      </c>
      <c r="J52" s="80">
        <f>ROUND(J51,-2)</f>
        <v>847800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</v>
      </c>
      <c r="G56" s="80">
        <f>SUM(G52:G55)</f>
        <v>676800</v>
      </c>
      <c r="H56" s="80">
        <f>SUM(H52:H55)</f>
        <v>44400</v>
      </c>
      <c r="I56" s="260">
        <f>SUM(I52:I55)</f>
        <v>126600</v>
      </c>
      <c r="J56" s="80">
        <f>SUM(J52:J55)</f>
        <v>847800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</v>
      </c>
      <c r="G60" s="80">
        <f>SUM(G56:G59)</f>
        <v>676800</v>
      </c>
      <c r="H60" s="80">
        <f>SUM(H56:H59)</f>
        <v>44400</v>
      </c>
      <c r="I60" s="260">
        <f>SUM(I56:I59)</f>
        <v>126600</v>
      </c>
      <c r="J60" s="80">
        <f>SUM(J56:J59)</f>
        <v>847800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</v>
      </c>
      <c r="G67" s="80">
        <f>SUM(G60:G64)</f>
        <v>676800</v>
      </c>
      <c r="H67" s="80">
        <f>SUM(H60:H64)</f>
        <v>44400</v>
      </c>
      <c r="I67" s="80">
        <f>SUM(I60:I64)</f>
        <v>126600</v>
      </c>
      <c r="J67" s="80">
        <f>SUM(J60:J64)</f>
        <v>847800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-2100</v>
      </c>
      <c r="J69" s="287">
        <f>SUM(G69:I69)</f>
        <v>-2100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5300</v>
      </c>
      <c r="H72" s="287"/>
      <c r="I72" s="287">
        <f>ROUND(($G72*PermVBBY+$G72*Retire1BY),-2)</f>
        <v>1100</v>
      </c>
      <c r="J72" s="113">
        <f>SUM(G72:I72)</f>
        <v>6400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</v>
      </c>
      <c r="G75" s="80">
        <f>SUM(G67:G74)</f>
        <v>682100</v>
      </c>
      <c r="H75" s="80">
        <f>SUM(H67:H74)</f>
        <v>44400</v>
      </c>
      <c r="I75" s="80">
        <f>SUM(I67:I74)</f>
        <v>125600</v>
      </c>
      <c r="J75" s="80">
        <f>SUM(J67:K74)</f>
        <v>852100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</v>
      </c>
      <c r="G80" s="80">
        <f>SUM(G75:G79)</f>
        <v>682100</v>
      </c>
      <c r="H80" s="80">
        <f>SUM(H75:H79)</f>
        <v>44400</v>
      </c>
      <c r="I80" s="80">
        <f>SUM(I75:I79)</f>
        <v>125600</v>
      </c>
      <c r="J80" s="80">
        <f>SUM(J75:J79)</f>
        <v>852100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9" priority="5">
      <formula>$J$44&lt;0</formula>
    </cfRule>
  </conditionalFormatting>
  <conditionalFormatting sqref="K43">
    <cfRule type="expression" dxfId="18" priority="4">
      <formula>$J$43&lt;0</formula>
    </cfRule>
  </conditionalFormatting>
  <conditionalFormatting sqref="L16">
    <cfRule type="expression" dxfId="17" priority="3">
      <formula>$J$16&lt;0</formula>
    </cfRule>
  </conditionalFormatting>
  <conditionalFormatting sqref="K45">
    <cfRule type="expression" dxfId="16" priority="2">
      <formula>$J$44&lt;0</formula>
    </cfRule>
  </conditionalFormatting>
  <conditionalFormatting sqref="K43:N45">
    <cfRule type="containsText" dxfId="1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621176-72AD-480A-81F4-E6CDAE210B5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8F3D-CE14-465B-BDA4-AF965FB9FDCC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633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557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631</v>
      </c>
      <c r="J5" s="472"/>
      <c r="K5" s="472"/>
      <c r="L5" s="471"/>
      <c r="M5" s="352" t="s">
        <v>115</v>
      </c>
      <c r="N5" s="32" t="s">
        <v>632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"&amp;'GVFJ|0560-00'!FiscalYear-1&amp;" SALARY"</f>
        <v>FY 2022 SALARY</v>
      </c>
      <c r="H8" s="50" t="str">
        <f>"FY "&amp;'GVFJ|0560-00'!FiscalYear-1&amp;" HEALTH BENEFITS"</f>
        <v>FY 2022 HEALTH BENEFITS</v>
      </c>
      <c r="I8" s="50" t="str">
        <f>"FY "&amp;'GVFJ|0560-00'!FiscalYear-1&amp;" VAR BENEFITS"</f>
        <v>FY 2022 VAR BENEFITS</v>
      </c>
      <c r="J8" s="50" t="str">
        <f>"FY "&amp;'GVFJ|0560-00'!FiscalYear-1&amp;" TOTAL"</f>
        <v>FY 2022 TOTAL</v>
      </c>
      <c r="K8" s="50" t="str">
        <f>"FY "&amp;'GVFJ|0560-00'!FiscalYear&amp;" SALARY CHANGE"</f>
        <v>FY 2023 SALARY CHANGE</v>
      </c>
      <c r="L8" s="50" t="str">
        <f>"FY "&amp;'GVFJ|0560-00'!FiscalYear&amp;" CHG HEALTH BENEFITS"</f>
        <v>FY 2023 CHG HEALTH BENEFITS</v>
      </c>
      <c r="M8" s="50" t="str">
        <f>"FY "&amp;'GVFJ|0560-00'!FiscalYear&amp;"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[0]!GVFJ056000col_INC_FTI</f>
        <v>1</v>
      </c>
      <c r="G10" s="218">
        <f>[0]!GVFJ056000col_FTI_SALARY_PERM</f>
        <v>38667.199999999997</v>
      </c>
      <c r="H10" s="218">
        <f>[0]!GVFJ056000col_HEALTH_PERM</f>
        <v>11650</v>
      </c>
      <c r="I10" s="218">
        <f>[0]!GVFJ056000col_TOT_VB_PERM</f>
        <v>8361.588663999999</v>
      </c>
      <c r="J10" s="219">
        <f>SUM(G10:I10)</f>
        <v>58678.788663999992</v>
      </c>
      <c r="K10" s="219">
        <f>[0]!GVFJ056000col_1_27TH_PP</f>
        <v>0</v>
      </c>
      <c r="L10" s="218">
        <f>[0]!GVFJ056000col_HEALTH_PERM_CHG</f>
        <v>0</v>
      </c>
      <c r="M10" s="218">
        <f>[0]!GVFJ056000col_TOT_VB_PERM_CHG</f>
        <v>-201.06943999999999</v>
      </c>
      <c r="N10" s="218">
        <f>SUM(L10:M10)</f>
        <v>-201.06943999999999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[0]!GVFJ056000col_Group_Salary</f>
        <v>0</v>
      </c>
      <c r="H11" s="218">
        <v>0</v>
      </c>
      <c r="I11" s="218">
        <f>[0]!GVFJ056000col_Group_Ben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[0]!GVFJ056000col_TOTAL_ELECT_PCN_FTI</f>
        <v>0</v>
      </c>
      <c r="G12" s="218">
        <f>[0]!GVFJ056000col_FTI_SALARY_ELECT</f>
        <v>0</v>
      </c>
      <c r="H12" s="218">
        <f>[0]!GVFJ056000col_HEALTH_ELECT</f>
        <v>0</v>
      </c>
      <c r="I12" s="218">
        <f>[0]!GVFJ056000col_TOT_VB_ELECT</f>
        <v>0</v>
      </c>
      <c r="J12" s="219">
        <f>SUM(G12:I12)</f>
        <v>0</v>
      </c>
      <c r="K12" s="268"/>
      <c r="L12" s="218">
        <f>[0]!GVFJ056000col_HEALTH_ELECT_CHG</f>
        <v>0</v>
      </c>
      <c r="M12" s="218">
        <f>[0]!GVFJ056000col_TOT_VB_ELECT_CHG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</v>
      </c>
      <c r="G13" s="221">
        <f>SUM(G10:G12)</f>
        <v>38667.199999999997</v>
      </c>
      <c r="H13" s="221">
        <f>SUM(H10:H12)</f>
        <v>11650</v>
      </c>
      <c r="I13" s="221">
        <f>SUM(I10:I12)</f>
        <v>8361.588663999999</v>
      </c>
      <c r="J13" s="219">
        <f>SUM(G13:I13)</f>
        <v>58678.788663999992</v>
      </c>
      <c r="K13" s="268"/>
      <c r="L13" s="219">
        <f>SUM(L10:L12)</f>
        <v>0</v>
      </c>
      <c r="M13" s="219">
        <f>SUM(M10:M12)</f>
        <v>-201.06943999999999</v>
      </c>
      <c r="N13" s="219">
        <f>SUM(N10:N12)</f>
        <v>-201.06943999999999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"&amp;'GVFJ|0560-00'!FiscalYear-1</f>
        <v>FY 2022</v>
      </c>
      <c r="D15" s="158" t="s">
        <v>31</v>
      </c>
      <c r="E15" s="355">
        <v>66000</v>
      </c>
      <c r="F15" s="55">
        <v>1</v>
      </c>
      <c r="G15" s="223">
        <f>IF(OrigApprop=0,0,(G13/$J$13)*OrigApprop)</f>
        <v>43491.613547327681</v>
      </c>
      <c r="H15" s="223">
        <f>IF(OrigApprop=0,0,(H13/$J$13)*OrigApprop)</f>
        <v>13103.542481130455</v>
      </c>
      <c r="I15" s="223">
        <f>IF(G15=0,0,(I13/$J$13)*OrigApprop)</f>
        <v>9404.8439715418735</v>
      </c>
      <c r="J15" s="223">
        <f>SUM(G15:I15)</f>
        <v>66000.000000000015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4824.4135473276838</v>
      </c>
      <c r="H16" s="162">
        <f>H15-H13</f>
        <v>1453.5424811304547</v>
      </c>
      <c r="I16" s="162">
        <f>I15-I13</f>
        <v>1043.2553075418746</v>
      </c>
      <c r="J16" s="162">
        <f>J15-J13</f>
        <v>7321.2113360000221</v>
      </c>
      <c r="K16" s="269"/>
      <c r="L16" s="56" t="str">
        <f>IF('GVFJ|0560-00'!OrigApprop=0,"ERROR! Enter Original Appropriation amount in DU 3.00!","Calculated "&amp;IF('GVFJ|0560-00'!AdjustedTotal&gt;0,"overfunding ","underfunding ")&amp;"is "&amp;TEXT('GVFJ|0560-00'!AdjustedTotal/'GVFJ|0560-00'!AppropTotal,"#.0%;(#.0% );0% ;")&amp;" of Original Appropriation")</f>
        <v>Calculated overfunding is 11.1%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</v>
      </c>
      <c r="G38" s="191">
        <f>SUMIF($E10:$E35,$E38,$G10:$G35)</f>
        <v>38667.199999999997</v>
      </c>
      <c r="H38" s="192">
        <f>SUMIF($E10:$E35,$E38,$H10:$H35)</f>
        <v>11650</v>
      </c>
      <c r="I38" s="192">
        <f>SUMIF($E10:$E35,$E38,$I10:$I35)</f>
        <v>8361.588663999999</v>
      </c>
      <c r="J38" s="192">
        <f>SUM(G38:I38)</f>
        <v>58678.788663999992</v>
      </c>
      <c r="K38" s="166"/>
      <c r="L38" s="191">
        <f>SUMIF($E10:$E35,$E38,$L10:$L35)</f>
        <v>0</v>
      </c>
      <c r="M38" s="192">
        <f>SUMIF($E10:$E35,$E38,$M10:$M35)</f>
        <v>-201.06943999999999</v>
      </c>
      <c r="N38" s="192">
        <f>SUM(L38:M38)</f>
        <v>-201.06943999999999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</v>
      </c>
      <c r="G41" s="195">
        <f>SUM($G$38:$G$40)</f>
        <v>38667.199999999997</v>
      </c>
      <c r="H41" s="162">
        <f>SUM($H$38:$H$40)</f>
        <v>11650</v>
      </c>
      <c r="I41" s="162">
        <f>SUM($I$38:$I$40)</f>
        <v>8361.588663999999</v>
      </c>
      <c r="J41" s="162">
        <f>SUM($J$38:$J$40)</f>
        <v>58678.788663999992</v>
      </c>
      <c r="K41" s="259"/>
      <c r="L41" s="195">
        <f>SUM($L$38:$L$40)</f>
        <v>0</v>
      </c>
      <c r="M41" s="162">
        <f>SUM($M$38:$M$40)</f>
        <v>-201.06943999999999</v>
      </c>
      <c r="N41" s="162">
        <f>SUM(L41:M41)</f>
        <v>-201.06943999999999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4800</v>
      </c>
      <c r="H43" s="159">
        <f>ROUND(H51-H41,-2)</f>
        <v>1500</v>
      </c>
      <c r="I43" s="159">
        <f>ROUND(I51-I41,-2)</f>
        <v>1000</v>
      </c>
      <c r="J43" s="159">
        <f>SUM(G43:I43)</f>
        <v>7300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11.1%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4800</v>
      </c>
      <c r="H44" s="159">
        <f>ROUND(H60-H41,-2)</f>
        <v>1500</v>
      </c>
      <c r="I44" s="159">
        <f>ROUND(I60-I41,-2)</f>
        <v>1000</v>
      </c>
      <c r="J44" s="159">
        <f>SUM(G44:I44)</f>
        <v>7300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11.1%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4800</v>
      </c>
      <c r="H45" s="206">
        <f>ROUND(H67-H41-H63,-2)</f>
        <v>1500</v>
      </c>
      <c r="I45" s="206">
        <f>ROUND(I67-I41-I63,-2)</f>
        <v>1000</v>
      </c>
      <c r="J45" s="159">
        <f>SUM(G45:I45)</f>
        <v>7300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11.1%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66000</v>
      </c>
      <c r="F51" s="272">
        <f>AppropFTP</f>
        <v>1</v>
      </c>
      <c r="G51" s="274">
        <f>IF(E51=0,0,(G41/$J$41)*$E$51)</f>
        <v>43491.613547327681</v>
      </c>
      <c r="H51" s="274">
        <f>IF(E51=0,0,(H41/$J$41)*$E$51)</f>
        <v>13103.542481130455</v>
      </c>
      <c r="I51" s="275">
        <f>IF(E51=0,0,(I41/$J$41)*$E$51)</f>
        <v>9404.8439715418735</v>
      </c>
      <c r="J51" s="90">
        <f>SUM(G51:I51)</f>
        <v>66000.000000000015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43500</v>
      </c>
      <c r="H52" s="79">
        <f>ROUND(H51,-2)</f>
        <v>13100</v>
      </c>
      <c r="I52" s="266">
        <f>ROUND(I51,-2)</f>
        <v>9400</v>
      </c>
      <c r="J52" s="80">
        <f>ROUND(J51,-2)</f>
        <v>66000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43500</v>
      </c>
      <c r="H56" s="80">
        <f>SUM(H52:H55)</f>
        <v>13100</v>
      </c>
      <c r="I56" s="260">
        <f>SUM(I52:I55)</f>
        <v>9400</v>
      </c>
      <c r="J56" s="80">
        <f>SUM(J52:J55)</f>
        <v>66000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43500</v>
      </c>
      <c r="H60" s="80">
        <f>SUM(H56:H59)</f>
        <v>13100</v>
      </c>
      <c r="I60" s="260">
        <f>SUM(I56:I59)</f>
        <v>9400</v>
      </c>
      <c r="J60" s="80">
        <f>SUM(J56:J59)</f>
        <v>66000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43500</v>
      </c>
      <c r="H67" s="80">
        <f>SUM(H60:H64)</f>
        <v>13100</v>
      </c>
      <c r="I67" s="80">
        <f>SUM(I60:I64)</f>
        <v>9400</v>
      </c>
      <c r="J67" s="80">
        <f>SUM(J60:J64)</f>
        <v>66000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43900</v>
      </c>
      <c r="H75" s="80">
        <f>SUM(H67:H74)</f>
        <v>13100</v>
      </c>
      <c r="I75" s="80">
        <f>SUM(I67:I74)</f>
        <v>9300</v>
      </c>
      <c r="J75" s="80">
        <f>SUM(J67:K74)</f>
        <v>66300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43900</v>
      </c>
      <c r="H80" s="80">
        <f>SUM(H75:H79)</f>
        <v>13100</v>
      </c>
      <c r="I80" s="80">
        <f>SUM(I75:I79)</f>
        <v>9300</v>
      </c>
      <c r="J80" s="80">
        <f>SUM(J75:J79)</f>
        <v>66300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4" priority="5">
      <formula>$J$44&lt;0</formula>
    </cfRule>
  </conditionalFormatting>
  <conditionalFormatting sqref="K43">
    <cfRule type="expression" dxfId="13" priority="4">
      <formula>$J$43&lt;0</formula>
    </cfRule>
  </conditionalFormatting>
  <conditionalFormatting sqref="L16">
    <cfRule type="expression" dxfId="12" priority="3">
      <formula>$J$16&lt;0</formula>
    </cfRule>
  </conditionalFormatting>
  <conditionalFormatting sqref="K45">
    <cfRule type="expression" dxfId="11" priority="2">
      <formula>$J$44&lt;0</formula>
    </cfRule>
  </conditionalFormatting>
  <conditionalFormatting sqref="K43:N45">
    <cfRule type="containsText" dxfId="1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3A081-3381-47E3-882B-22F1FA2E9CB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U108"/>
  <sheetViews>
    <sheetView workbookViewId="0">
      <pane xSplit="3" ySplit="1" topLeftCell="AM87" activePane="bottomRight" state="frozen"/>
      <selection pane="topRight" activeCell="D1" sqref="D1"/>
      <selection pane="bottomLeft" activeCell="A2" sqref="A2"/>
      <selection pane="bottomRight" activeCell="AS94" sqref="AS94:BA108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1" width="10.5703125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10.5703125" bestFit="1" customWidth="1"/>
    <col min="74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7" width="9" bestFit="1" customWidth="1"/>
    <col min="88" max="88" width="11.28515625" bestFit="1" customWidth="1"/>
    <col min="89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562</v>
      </c>
      <c r="AT1" s="386" t="s">
        <v>563</v>
      </c>
      <c r="AU1" s="386" t="s">
        <v>564</v>
      </c>
      <c r="AV1" s="386" t="s">
        <v>565</v>
      </c>
      <c r="AW1" s="386" t="s">
        <v>566</v>
      </c>
      <c r="AX1" s="386" t="s">
        <v>567</v>
      </c>
      <c r="AY1" s="386" t="s">
        <v>568</v>
      </c>
      <c r="AZ1" s="386" t="s">
        <v>569</v>
      </c>
      <c r="BA1" s="388" t="s">
        <v>570</v>
      </c>
      <c r="BB1" s="389" t="s">
        <v>571</v>
      </c>
      <c r="BC1" s="389" t="s">
        <v>572</v>
      </c>
      <c r="BD1" s="389" t="s">
        <v>573</v>
      </c>
      <c r="BE1" s="389" t="s">
        <v>574</v>
      </c>
      <c r="BF1" s="389" t="s">
        <v>575</v>
      </c>
      <c r="BG1" s="389" t="s">
        <v>576</v>
      </c>
      <c r="BH1" s="389" t="s">
        <v>577</v>
      </c>
      <c r="BI1" s="389" t="s">
        <v>578</v>
      </c>
      <c r="BJ1" s="389" t="s">
        <v>579</v>
      </c>
      <c r="BK1" s="389" t="s">
        <v>580</v>
      </c>
      <c r="BL1" s="390" t="s">
        <v>581</v>
      </c>
      <c r="BM1" s="390" t="s">
        <v>582</v>
      </c>
      <c r="BN1" s="389" t="s">
        <v>583</v>
      </c>
      <c r="BO1" s="389" t="s">
        <v>584</v>
      </c>
      <c r="BP1" s="389" t="s">
        <v>585</v>
      </c>
      <c r="BQ1" s="389" t="s">
        <v>586</v>
      </c>
      <c r="BR1" s="389" t="s">
        <v>587</v>
      </c>
      <c r="BS1" s="389" t="s">
        <v>588</v>
      </c>
      <c r="BT1" s="389" t="s">
        <v>589</v>
      </c>
      <c r="BU1" s="389" t="s">
        <v>590</v>
      </c>
      <c r="BV1" s="389" t="s">
        <v>591</v>
      </c>
      <c r="BW1" s="389" t="s">
        <v>592</v>
      </c>
      <c r="BX1" s="390" t="s">
        <v>593</v>
      </c>
      <c r="BY1" s="390" t="s">
        <v>594</v>
      </c>
      <c r="BZ1" s="389" t="s">
        <v>595</v>
      </c>
      <c r="CA1" s="389" t="s">
        <v>596</v>
      </c>
      <c r="CB1" s="389" t="s">
        <v>597</v>
      </c>
      <c r="CC1" s="389" t="s">
        <v>598</v>
      </c>
      <c r="CD1" s="389" t="s">
        <v>599</v>
      </c>
      <c r="CE1" s="389" t="s">
        <v>600</v>
      </c>
      <c r="CF1" s="389" t="s">
        <v>601</v>
      </c>
      <c r="CG1" s="389" t="s">
        <v>602</v>
      </c>
      <c r="CH1" s="389" t="s">
        <v>603</v>
      </c>
      <c r="CI1" s="389" t="s">
        <v>604</v>
      </c>
      <c r="CJ1" s="390" t="s">
        <v>605</v>
      </c>
      <c r="CK1" s="390" t="s">
        <v>606</v>
      </c>
      <c r="CL1" s="391" t="s">
        <v>607</v>
      </c>
      <c r="CM1" s="391" t="s">
        <v>608</v>
      </c>
      <c r="CN1" s="391" t="s">
        <v>609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0</v>
      </c>
      <c r="P2" s="385">
        <v>1</v>
      </c>
      <c r="Q2" s="385">
        <v>0</v>
      </c>
      <c r="R2" s="380">
        <v>0</v>
      </c>
      <c r="S2" s="385">
        <v>0</v>
      </c>
      <c r="T2" s="380">
        <v>2427.6</v>
      </c>
      <c r="U2" s="380">
        <v>0</v>
      </c>
      <c r="V2" s="380">
        <v>1419.34</v>
      </c>
      <c r="W2" s="380">
        <v>2427.6</v>
      </c>
      <c r="X2" s="380">
        <v>1419.34</v>
      </c>
      <c r="Y2" s="380">
        <v>2427.6</v>
      </c>
      <c r="Z2" s="380">
        <v>1419.34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173</v>
      </c>
      <c r="AM2" s="378"/>
      <c r="AN2" s="378"/>
      <c r="AO2" s="379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IF(AT2=0,"",IF(AND(AT2=1,M2="F",SUMIF(C2:C74,C2,AS2:AS74)&lt;=1),SUMIF(C2:C74,C2,AS2:AS74),IF(AND(AT2=1,M2="F",SUMIF(C2:C74,C2,AS2:AS74)&gt;1),1,"")))</f>
        <v/>
      </c>
      <c r="AV2" s="387" t="str">
        <f>IF(AT2=0,"",IF(AND(AT2=3,M2="F",SUMIF(C2:C74,C2,AS2:AS74)&lt;=1),SUMIF(C2:C74,C2,AS2:AS74),IF(AND(AT2=3,M2="F",SUMIF(C2:C74,C2,AS2:AS74)&gt;1),1,"")))</f>
        <v/>
      </c>
      <c r="AW2" s="387">
        <f>SUMIF(C2:C74,C2,O2:O74)</f>
        <v>0</v>
      </c>
      <c r="AX2" s="387">
        <f>IF(AND(M2="F",AS2&lt;&gt;0),SUMIF(C2:C74,C2,W2:W74),0)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2427.6</v>
      </c>
      <c r="CM2" s="387">
        <f>IF(OR(N2="NG",AG2="D"),V2,"")</f>
        <v>1419.34</v>
      </c>
      <c r="CN2" s="387" t="str">
        <f>E2 &amp; "-" &amp; F2</f>
        <v>0550-01</v>
      </c>
    </row>
    <row r="3" spans="1:92" ht="15.75" thickBot="1" x14ac:dyDescent="0.3">
      <c r="A3" s="376" t="s">
        <v>161</v>
      </c>
      <c r="B3" s="376" t="s">
        <v>162</v>
      </c>
      <c r="C3" s="376" t="s">
        <v>174</v>
      </c>
      <c r="D3" s="376" t="s">
        <v>175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176</v>
      </c>
      <c r="L3" s="376" t="s">
        <v>177</v>
      </c>
      <c r="M3" s="376" t="s">
        <v>178</v>
      </c>
      <c r="N3" s="376" t="s">
        <v>179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47496.01</v>
      </c>
      <c r="U3" s="380">
        <v>0</v>
      </c>
      <c r="V3" s="380">
        <v>21393.4</v>
      </c>
      <c r="W3" s="380">
        <v>51854.400000000001</v>
      </c>
      <c r="X3" s="380">
        <v>22576.21</v>
      </c>
      <c r="Y3" s="380">
        <v>51854.400000000001</v>
      </c>
      <c r="Z3" s="380">
        <v>22306.58</v>
      </c>
      <c r="AA3" s="376" t="s">
        <v>180</v>
      </c>
      <c r="AB3" s="376" t="s">
        <v>181</v>
      </c>
      <c r="AC3" s="376" t="s">
        <v>182</v>
      </c>
      <c r="AD3" s="376" t="s">
        <v>183</v>
      </c>
      <c r="AE3" s="376" t="s">
        <v>176</v>
      </c>
      <c r="AF3" s="376" t="s">
        <v>184</v>
      </c>
      <c r="AG3" s="376" t="s">
        <v>185</v>
      </c>
      <c r="AH3" s="381">
        <v>24.93</v>
      </c>
      <c r="AI3" s="379">
        <v>8856</v>
      </c>
      <c r="AJ3" s="376" t="s">
        <v>186</v>
      </c>
      <c r="AK3" s="376" t="s">
        <v>187</v>
      </c>
      <c r="AL3" s="376" t="s">
        <v>173</v>
      </c>
      <c r="AM3" s="376" t="s">
        <v>188</v>
      </c>
      <c r="AN3" s="376" t="s">
        <v>68</v>
      </c>
      <c r="AO3" s="379">
        <v>80</v>
      </c>
      <c r="AP3" s="385">
        <v>1</v>
      </c>
      <c r="AQ3" s="385">
        <v>1</v>
      </c>
      <c r="AR3" s="384" t="s">
        <v>189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IF(AT3=0,"",IF(AND(AT3=1,M3="F",SUMIF(C2:C74,C3,AS2:AS74)&lt;=1),SUMIF(C2:C74,C3,AS2:AS74),IF(AND(AT3=1,M3="F",SUMIF(C2:C74,C3,AS2:AS74)&gt;1),1,"")))</f>
        <v>1</v>
      </c>
      <c r="AV3" s="387" t="str">
        <f>IF(AT3=0,"",IF(AND(AT3=3,M3="F",SUMIF(C2:C74,C3,AS2:AS74)&lt;=1),SUMIF(C2:C74,C3,AS2:AS74),IF(AND(AT3=3,M3="F",SUMIF(C2:C74,C3,AS2:AS74)&gt;1),1,"")))</f>
        <v/>
      </c>
      <c r="AW3" s="387">
        <f>SUMIF(C2:C74,C3,O2:O74)</f>
        <v>1</v>
      </c>
      <c r="AX3" s="387">
        <f>IF(AND(M3="F",AS3&lt;&gt;0),SUMIF(C2:C74,C3,W2:W74),0)</f>
        <v>51854.400000000001</v>
      </c>
      <c r="AY3" s="387">
        <f t="shared" ref="AY3:AY66" si="29">IF(AT3=1,W3,"")</f>
        <v>51854.400000000001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3214.9728</v>
      </c>
      <c r="BE3" s="387">
        <f t="shared" si="3"/>
        <v>751.88880000000006</v>
      </c>
      <c r="BF3" s="387">
        <f t="shared" si="4"/>
        <v>6191.4153600000009</v>
      </c>
      <c r="BG3" s="387">
        <f t="shared" si="5"/>
        <v>373.87022400000001</v>
      </c>
      <c r="BH3" s="387">
        <f t="shared" si="6"/>
        <v>254.08655999999999</v>
      </c>
      <c r="BI3" s="387">
        <f t="shared" si="7"/>
        <v>0</v>
      </c>
      <c r="BJ3" s="387">
        <f t="shared" si="8"/>
        <v>140.00688000000002</v>
      </c>
      <c r="BK3" s="387">
        <f t="shared" si="9"/>
        <v>0</v>
      </c>
      <c r="BL3" s="387">
        <f t="shared" ref="BL3:BL66" si="32">IF(AT3=1,SUM(BD3:BK3),0)</f>
        <v>10926.240624000002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3214.9728</v>
      </c>
      <c r="BQ3" s="387">
        <f t="shared" si="13"/>
        <v>751.88880000000006</v>
      </c>
      <c r="BR3" s="387">
        <f t="shared" si="14"/>
        <v>6191.4153600000009</v>
      </c>
      <c r="BS3" s="387">
        <f t="shared" si="15"/>
        <v>373.87022400000001</v>
      </c>
      <c r="BT3" s="387">
        <f t="shared" si="16"/>
        <v>0</v>
      </c>
      <c r="BU3" s="387">
        <f t="shared" si="17"/>
        <v>0</v>
      </c>
      <c r="BV3" s="387">
        <f t="shared" si="18"/>
        <v>124.45056</v>
      </c>
      <c r="BW3" s="387">
        <f t="shared" si="19"/>
        <v>0</v>
      </c>
      <c r="BX3" s="387">
        <f t="shared" ref="BX3:BX66" si="34">IF(AT3=1,SUM(BP3:BW3),0)</f>
        <v>10656.597744000001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-254.08655999999999</v>
      </c>
      <c r="CG3" s="387">
        <f t="shared" si="24"/>
        <v>0</v>
      </c>
      <c r="CH3" s="387">
        <f t="shared" si="25"/>
        <v>-15.556320000000019</v>
      </c>
      <c r="CI3" s="387">
        <f t="shared" si="26"/>
        <v>0</v>
      </c>
      <c r="CJ3" s="387">
        <f t="shared" ref="CJ3:CJ66" si="39">IF(AT3=1,SUM(CB3:CI3),0)</f>
        <v>-269.64287999999999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0550-01</v>
      </c>
    </row>
    <row r="4" spans="1:92" ht="15.75" thickBot="1" x14ac:dyDescent="0.3">
      <c r="A4" s="376" t="s">
        <v>161</v>
      </c>
      <c r="B4" s="376" t="s">
        <v>162</v>
      </c>
      <c r="C4" s="376" t="s">
        <v>190</v>
      </c>
      <c r="D4" s="376" t="s">
        <v>191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192</v>
      </c>
      <c r="L4" s="376" t="s">
        <v>193</v>
      </c>
      <c r="M4" s="376" t="s">
        <v>178</v>
      </c>
      <c r="N4" s="376" t="s">
        <v>194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43104.09</v>
      </c>
      <c r="U4" s="380">
        <v>0</v>
      </c>
      <c r="V4" s="380">
        <v>20676.41</v>
      </c>
      <c r="W4" s="380">
        <v>46633.599999999999</v>
      </c>
      <c r="X4" s="380">
        <v>21734.49</v>
      </c>
      <c r="Y4" s="380">
        <v>46633.599999999999</v>
      </c>
      <c r="Z4" s="380">
        <v>21492</v>
      </c>
      <c r="AA4" s="376" t="s">
        <v>195</v>
      </c>
      <c r="AB4" s="376" t="s">
        <v>196</v>
      </c>
      <c r="AC4" s="376" t="s">
        <v>197</v>
      </c>
      <c r="AD4" s="376" t="s">
        <v>198</v>
      </c>
      <c r="AE4" s="376" t="s">
        <v>192</v>
      </c>
      <c r="AF4" s="376" t="s">
        <v>199</v>
      </c>
      <c r="AG4" s="376" t="s">
        <v>185</v>
      </c>
      <c r="AH4" s="381">
        <v>22.42</v>
      </c>
      <c r="AI4" s="379">
        <v>5901</v>
      </c>
      <c r="AJ4" s="376" t="s">
        <v>186</v>
      </c>
      <c r="AK4" s="376" t="s">
        <v>187</v>
      </c>
      <c r="AL4" s="376" t="s">
        <v>173</v>
      </c>
      <c r="AM4" s="376" t="s">
        <v>188</v>
      </c>
      <c r="AN4" s="376" t="s">
        <v>68</v>
      </c>
      <c r="AO4" s="379">
        <v>80</v>
      </c>
      <c r="AP4" s="385">
        <v>1</v>
      </c>
      <c r="AQ4" s="385">
        <v>1</v>
      </c>
      <c r="AR4" s="384" t="s">
        <v>189</v>
      </c>
      <c r="AS4" s="387">
        <f t="shared" si="27"/>
        <v>1</v>
      </c>
      <c r="AT4">
        <f t="shared" si="28"/>
        <v>1</v>
      </c>
      <c r="AU4" s="387">
        <f>IF(AT4=0,"",IF(AND(AT4=1,M4="F",SUMIF(C2:C74,C4,AS2:AS74)&lt;=1),SUMIF(C2:C74,C4,AS2:AS74),IF(AND(AT4=1,M4="F",SUMIF(C2:C74,C4,AS2:AS74)&gt;1),1,"")))</f>
        <v>1</v>
      </c>
      <c r="AV4" s="387" t="str">
        <f>IF(AT4=0,"",IF(AND(AT4=3,M4="F",SUMIF(C2:C74,C4,AS2:AS74)&lt;=1),SUMIF(C2:C74,C4,AS2:AS74),IF(AND(AT4=3,M4="F",SUMIF(C2:C74,C4,AS2:AS74)&gt;1),1,"")))</f>
        <v/>
      </c>
      <c r="AW4" s="387">
        <f>SUMIF(C2:C74,C4,O2:O74)</f>
        <v>1</v>
      </c>
      <c r="AX4" s="387">
        <f>IF(AND(M4="F",AS4&lt;&gt;0),SUMIF(C2:C74,C4,W2:W74),0)</f>
        <v>46633.599999999999</v>
      </c>
      <c r="AY4" s="387">
        <f t="shared" si="29"/>
        <v>46633.599999999999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2891.2831999999999</v>
      </c>
      <c r="BE4" s="387">
        <f t="shared" si="3"/>
        <v>676.18719999999996</v>
      </c>
      <c r="BF4" s="387">
        <f t="shared" si="4"/>
        <v>5568.0518400000001</v>
      </c>
      <c r="BG4" s="387">
        <f t="shared" si="5"/>
        <v>336.22825599999999</v>
      </c>
      <c r="BH4" s="387">
        <f t="shared" si="6"/>
        <v>228.50463999999999</v>
      </c>
      <c r="BI4" s="387">
        <f t="shared" si="7"/>
        <v>258.11697599999997</v>
      </c>
      <c r="BJ4" s="387">
        <f t="shared" si="8"/>
        <v>125.91072</v>
      </c>
      <c r="BK4" s="387">
        <f t="shared" si="9"/>
        <v>0</v>
      </c>
      <c r="BL4" s="387">
        <f t="shared" si="32"/>
        <v>10084.282831999999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2891.2831999999999</v>
      </c>
      <c r="BQ4" s="387">
        <f t="shared" si="13"/>
        <v>676.18719999999996</v>
      </c>
      <c r="BR4" s="387">
        <f t="shared" si="14"/>
        <v>5568.0518400000001</v>
      </c>
      <c r="BS4" s="387">
        <f t="shared" si="15"/>
        <v>336.22825599999999</v>
      </c>
      <c r="BT4" s="387">
        <f t="shared" si="16"/>
        <v>0</v>
      </c>
      <c r="BU4" s="387">
        <f t="shared" si="17"/>
        <v>258.11697599999997</v>
      </c>
      <c r="BV4" s="387">
        <f t="shared" si="18"/>
        <v>111.92063999999999</v>
      </c>
      <c r="BW4" s="387">
        <f t="shared" si="19"/>
        <v>0</v>
      </c>
      <c r="BX4" s="387">
        <f t="shared" si="34"/>
        <v>9841.7881120000002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-228.50463999999999</v>
      </c>
      <c r="CG4" s="387">
        <f t="shared" si="24"/>
        <v>0</v>
      </c>
      <c r="CH4" s="387">
        <f t="shared" si="25"/>
        <v>-13.990080000000017</v>
      </c>
      <c r="CI4" s="387">
        <f t="shared" si="26"/>
        <v>0</v>
      </c>
      <c r="CJ4" s="387">
        <f t="shared" si="39"/>
        <v>-242.49472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0550-01</v>
      </c>
    </row>
    <row r="5" spans="1:92" ht="15.75" thickBot="1" x14ac:dyDescent="0.3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170</v>
      </c>
      <c r="M5" s="376" t="s">
        <v>171</v>
      </c>
      <c r="N5" s="376" t="s">
        <v>172</v>
      </c>
      <c r="O5" s="379">
        <v>0</v>
      </c>
      <c r="P5" s="385">
        <v>1</v>
      </c>
      <c r="Q5" s="385">
        <v>0</v>
      </c>
      <c r="R5" s="380">
        <v>0</v>
      </c>
      <c r="S5" s="385">
        <v>0</v>
      </c>
      <c r="T5" s="380">
        <v>6160</v>
      </c>
      <c r="U5" s="380">
        <v>0</v>
      </c>
      <c r="V5" s="380">
        <v>4371.37</v>
      </c>
      <c r="W5" s="380">
        <v>6160</v>
      </c>
      <c r="X5" s="380">
        <v>4371.37</v>
      </c>
      <c r="Y5" s="380">
        <v>6160</v>
      </c>
      <c r="Z5" s="380">
        <v>4371.37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173</v>
      </c>
      <c r="AM5" s="378"/>
      <c r="AN5" s="378"/>
      <c r="AO5" s="379">
        <v>0</v>
      </c>
      <c r="AP5" s="385">
        <v>0</v>
      </c>
      <c r="AQ5" s="385">
        <v>0</v>
      </c>
      <c r="AR5" s="383"/>
      <c r="AS5" s="387">
        <f t="shared" si="27"/>
        <v>0</v>
      </c>
      <c r="AT5">
        <f t="shared" si="28"/>
        <v>0</v>
      </c>
      <c r="AU5" s="387" t="str">
        <f>IF(AT5=0,"",IF(AND(AT5=1,M5="F",SUMIF(C2:C74,C5,AS2:AS74)&lt;=1),SUMIF(C2:C74,C5,AS2:AS74),IF(AND(AT5=1,M5="F",SUMIF(C2:C74,C5,AS2:AS74)&gt;1),1,"")))</f>
        <v/>
      </c>
      <c r="AV5" s="387" t="str">
        <f>IF(AT5=0,"",IF(AND(AT5=3,M5="F",SUMIF(C2:C74,C5,AS2:AS74)&lt;=1),SUMIF(C2:C74,C5,AS2:AS74),IF(AND(AT5=3,M5="F",SUMIF(C2:C74,C5,AS2:AS74)&gt;1),1,"")))</f>
        <v/>
      </c>
      <c r="AW5" s="387">
        <f>SUMIF(C2:C74,C5,O2:O74)</f>
        <v>0</v>
      </c>
      <c r="AX5" s="387">
        <f>IF(AND(M5="F",AS5&lt;&gt;0),SUMIF(C2:C74,C5,W2:W74),0)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6160</v>
      </c>
      <c r="CM5" s="387">
        <f t="shared" si="42"/>
        <v>4371.37</v>
      </c>
      <c r="CN5" s="387" t="str">
        <f t="shared" si="43"/>
        <v>0550-01</v>
      </c>
    </row>
    <row r="6" spans="1:92" ht="15.75" thickBot="1" x14ac:dyDescent="0.3">
      <c r="A6" s="376" t="s">
        <v>161</v>
      </c>
      <c r="B6" s="376" t="s">
        <v>162</v>
      </c>
      <c r="C6" s="376" t="s">
        <v>203</v>
      </c>
      <c r="D6" s="376" t="s">
        <v>204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205</v>
      </c>
      <c r="L6" s="376" t="s">
        <v>206</v>
      </c>
      <c r="M6" s="376" t="s">
        <v>178</v>
      </c>
      <c r="N6" s="376" t="s">
        <v>194</v>
      </c>
      <c r="O6" s="379">
        <v>1</v>
      </c>
      <c r="P6" s="385">
        <v>1</v>
      </c>
      <c r="Q6" s="385">
        <v>1</v>
      </c>
      <c r="R6" s="380">
        <v>80</v>
      </c>
      <c r="S6" s="385">
        <v>1</v>
      </c>
      <c r="T6" s="380">
        <v>37143.980000000003</v>
      </c>
      <c r="U6" s="380">
        <v>0</v>
      </c>
      <c r="V6" s="380">
        <v>19247.740000000002</v>
      </c>
      <c r="W6" s="380">
        <v>42120</v>
      </c>
      <c r="X6" s="380">
        <v>20758.419999999998</v>
      </c>
      <c r="Y6" s="380">
        <v>42120</v>
      </c>
      <c r="Z6" s="380">
        <v>20539.400000000001</v>
      </c>
      <c r="AA6" s="376" t="s">
        <v>207</v>
      </c>
      <c r="AB6" s="376" t="s">
        <v>208</v>
      </c>
      <c r="AC6" s="376" t="s">
        <v>209</v>
      </c>
      <c r="AD6" s="376" t="s">
        <v>198</v>
      </c>
      <c r="AE6" s="376" t="s">
        <v>205</v>
      </c>
      <c r="AF6" s="376" t="s">
        <v>210</v>
      </c>
      <c r="AG6" s="376" t="s">
        <v>185</v>
      </c>
      <c r="AH6" s="381">
        <v>20.25</v>
      </c>
      <c r="AI6" s="381">
        <v>1997.5</v>
      </c>
      <c r="AJ6" s="376" t="s">
        <v>186</v>
      </c>
      <c r="AK6" s="376" t="s">
        <v>187</v>
      </c>
      <c r="AL6" s="376" t="s">
        <v>173</v>
      </c>
      <c r="AM6" s="376" t="s">
        <v>188</v>
      </c>
      <c r="AN6" s="376" t="s">
        <v>68</v>
      </c>
      <c r="AO6" s="379">
        <v>80</v>
      </c>
      <c r="AP6" s="385">
        <v>1</v>
      </c>
      <c r="AQ6" s="385">
        <v>1</v>
      </c>
      <c r="AR6" s="384" t="s">
        <v>189</v>
      </c>
      <c r="AS6" s="387">
        <f t="shared" si="27"/>
        <v>1</v>
      </c>
      <c r="AT6">
        <f t="shared" si="28"/>
        <v>1</v>
      </c>
      <c r="AU6" s="387">
        <f>IF(AT6=0,"",IF(AND(AT6=1,M6="F",SUMIF(C2:C74,C6,AS2:AS74)&lt;=1),SUMIF(C2:C74,C6,AS2:AS74),IF(AND(AT6=1,M6="F",SUMIF(C2:C74,C6,AS2:AS74)&gt;1),1,"")))</f>
        <v>1</v>
      </c>
      <c r="AV6" s="387" t="str">
        <f>IF(AT6=0,"",IF(AND(AT6=3,M6="F",SUMIF(C2:C74,C6,AS2:AS74)&lt;=1),SUMIF(C2:C74,C6,AS2:AS74),IF(AND(AT6=3,M6="F",SUMIF(C2:C74,C6,AS2:AS74)&gt;1),1,"")))</f>
        <v/>
      </c>
      <c r="AW6" s="387">
        <f>SUMIF(C2:C74,C6,O2:O74)</f>
        <v>1</v>
      </c>
      <c r="AX6" s="387">
        <f>IF(AND(M6="F",AS6&lt;&gt;0),SUMIF(C2:C74,C6,W2:W74),0)</f>
        <v>42120</v>
      </c>
      <c r="AY6" s="387">
        <f t="shared" si="29"/>
        <v>42120</v>
      </c>
      <c r="AZ6" s="387" t="str">
        <f t="shared" si="30"/>
        <v/>
      </c>
      <c r="BA6" s="387">
        <f t="shared" si="31"/>
        <v>0</v>
      </c>
      <c r="BB6" s="387">
        <f t="shared" si="0"/>
        <v>11650</v>
      </c>
      <c r="BC6" s="387">
        <f t="shared" si="1"/>
        <v>0</v>
      </c>
      <c r="BD6" s="387">
        <f t="shared" si="2"/>
        <v>2611.44</v>
      </c>
      <c r="BE6" s="387">
        <f t="shared" si="3"/>
        <v>610.74</v>
      </c>
      <c r="BF6" s="387">
        <f t="shared" si="4"/>
        <v>5029.1280000000006</v>
      </c>
      <c r="BG6" s="387">
        <f t="shared" si="5"/>
        <v>303.68520000000001</v>
      </c>
      <c r="BH6" s="387">
        <f t="shared" si="6"/>
        <v>206.38800000000001</v>
      </c>
      <c r="BI6" s="387">
        <f t="shared" si="7"/>
        <v>233.13419999999999</v>
      </c>
      <c r="BJ6" s="387">
        <f t="shared" si="8"/>
        <v>113.724</v>
      </c>
      <c r="BK6" s="387">
        <f t="shared" si="9"/>
        <v>0</v>
      </c>
      <c r="BL6" s="387">
        <f t="shared" si="32"/>
        <v>9108.2394000000022</v>
      </c>
      <c r="BM6" s="387">
        <f t="shared" si="33"/>
        <v>0</v>
      </c>
      <c r="BN6" s="387">
        <f t="shared" si="10"/>
        <v>11650</v>
      </c>
      <c r="BO6" s="387">
        <f t="shared" si="11"/>
        <v>0</v>
      </c>
      <c r="BP6" s="387">
        <f t="shared" si="12"/>
        <v>2611.44</v>
      </c>
      <c r="BQ6" s="387">
        <f t="shared" si="13"/>
        <v>610.74</v>
      </c>
      <c r="BR6" s="387">
        <f t="shared" si="14"/>
        <v>5029.1280000000006</v>
      </c>
      <c r="BS6" s="387">
        <f t="shared" si="15"/>
        <v>303.68520000000001</v>
      </c>
      <c r="BT6" s="387">
        <f t="shared" si="16"/>
        <v>0</v>
      </c>
      <c r="BU6" s="387">
        <f t="shared" si="17"/>
        <v>233.13419999999999</v>
      </c>
      <c r="BV6" s="387">
        <f t="shared" si="18"/>
        <v>101.08799999999999</v>
      </c>
      <c r="BW6" s="387">
        <f t="shared" si="19"/>
        <v>0</v>
      </c>
      <c r="BX6" s="387">
        <f t="shared" si="34"/>
        <v>8889.215400000001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-206.38800000000001</v>
      </c>
      <c r="CG6" s="387">
        <f t="shared" si="24"/>
        <v>0</v>
      </c>
      <c r="CH6" s="387">
        <f t="shared" si="25"/>
        <v>-12.636000000000015</v>
      </c>
      <c r="CI6" s="387">
        <f t="shared" si="26"/>
        <v>0</v>
      </c>
      <c r="CJ6" s="387">
        <f t="shared" si="39"/>
        <v>-219.02400000000003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0550-01</v>
      </c>
    </row>
    <row r="7" spans="1:92" ht="15.75" thickBot="1" x14ac:dyDescent="0.3">
      <c r="A7" s="376" t="s">
        <v>161</v>
      </c>
      <c r="B7" s="376" t="s">
        <v>162</v>
      </c>
      <c r="C7" s="376" t="s">
        <v>211</v>
      </c>
      <c r="D7" s="376" t="s">
        <v>212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213</v>
      </c>
      <c r="L7" s="376" t="s">
        <v>177</v>
      </c>
      <c r="M7" s="376" t="s">
        <v>178</v>
      </c>
      <c r="N7" s="376" t="s">
        <v>194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46580.6</v>
      </c>
      <c r="U7" s="380">
        <v>0</v>
      </c>
      <c r="V7" s="380">
        <v>18046.73</v>
      </c>
      <c r="W7" s="380">
        <v>64292.800000000003</v>
      </c>
      <c r="X7" s="380">
        <v>25553.3</v>
      </c>
      <c r="Y7" s="380">
        <v>64292.800000000003</v>
      </c>
      <c r="Z7" s="380">
        <v>25218.98</v>
      </c>
      <c r="AA7" s="376" t="s">
        <v>214</v>
      </c>
      <c r="AB7" s="376" t="s">
        <v>215</v>
      </c>
      <c r="AC7" s="376" t="s">
        <v>216</v>
      </c>
      <c r="AD7" s="376" t="s">
        <v>217</v>
      </c>
      <c r="AE7" s="376" t="s">
        <v>213</v>
      </c>
      <c r="AF7" s="376" t="s">
        <v>184</v>
      </c>
      <c r="AG7" s="376" t="s">
        <v>185</v>
      </c>
      <c r="AH7" s="381">
        <v>30.91</v>
      </c>
      <c r="AI7" s="381">
        <v>15336.5</v>
      </c>
      <c r="AJ7" s="376" t="s">
        <v>186</v>
      </c>
      <c r="AK7" s="376" t="s">
        <v>187</v>
      </c>
      <c r="AL7" s="376" t="s">
        <v>173</v>
      </c>
      <c r="AM7" s="376" t="s">
        <v>188</v>
      </c>
      <c r="AN7" s="376" t="s">
        <v>68</v>
      </c>
      <c r="AO7" s="379">
        <v>80</v>
      </c>
      <c r="AP7" s="385">
        <v>1</v>
      </c>
      <c r="AQ7" s="385">
        <v>1</v>
      </c>
      <c r="AR7" s="384" t="s">
        <v>189</v>
      </c>
      <c r="AS7" s="387">
        <f t="shared" si="27"/>
        <v>1</v>
      </c>
      <c r="AT7">
        <f t="shared" si="28"/>
        <v>1</v>
      </c>
      <c r="AU7" s="387">
        <f>IF(AT7=0,"",IF(AND(AT7=1,M7="F",SUMIF(C2:C74,C7,AS2:AS74)&lt;=1),SUMIF(C2:C74,C7,AS2:AS74),IF(AND(AT7=1,M7="F",SUMIF(C2:C74,C7,AS2:AS74)&gt;1),1,"")))</f>
        <v>1</v>
      </c>
      <c r="AV7" s="387" t="str">
        <f>IF(AT7=0,"",IF(AND(AT7=3,M7="F",SUMIF(C2:C74,C7,AS2:AS74)&lt;=1),SUMIF(C2:C74,C7,AS2:AS74),IF(AND(AT7=3,M7="F",SUMIF(C2:C74,C7,AS2:AS74)&gt;1),1,"")))</f>
        <v/>
      </c>
      <c r="AW7" s="387">
        <f>SUMIF(C2:C74,C7,O2:O74)</f>
        <v>1</v>
      </c>
      <c r="AX7" s="387">
        <f>IF(AND(M7="F",AS7&lt;&gt;0),SUMIF(C2:C74,C7,W2:W74),0)</f>
        <v>64292.800000000003</v>
      </c>
      <c r="AY7" s="387">
        <f t="shared" si="29"/>
        <v>64292.800000000003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3986.1536000000001</v>
      </c>
      <c r="BE7" s="387">
        <f t="shared" si="3"/>
        <v>932.24560000000008</v>
      </c>
      <c r="BF7" s="387">
        <f t="shared" si="4"/>
        <v>7676.5603200000005</v>
      </c>
      <c r="BG7" s="387">
        <f t="shared" si="5"/>
        <v>463.55108800000005</v>
      </c>
      <c r="BH7" s="387">
        <f t="shared" si="6"/>
        <v>315.03471999999999</v>
      </c>
      <c r="BI7" s="387">
        <f t="shared" si="7"/>
        <v>355.86064800000003</v>
      </c>
      <c r="BJ7" s="387">
        <f t="shared" si="8"/>
        <v>173.59056000000001</v>
      </c>
      <c r="BK7" s="387">
        <f t="shared" si="9"/>
        <v>0</v>
      </c>
      <c r="BL7" s="387">
        <f t="shared" si="32"/>
        <v>13902.996536000001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3986.1536000000001</v>
      </c>
      <c r="BQ7" s="387">
        <f t="shared" si="13"/>
        <v>932.24560000000008</v>
      </c>
      <c r="BR7" s="387">
        <f t="shared" si="14"/>
        <v>7676.5603200000005</v>
      </c>
      <c r="BS7" s="387">
        <f t="shared" si="15"/>
        <v>463.55108800000005</v>
      </c>
      <c r="BT7" s="387">
        <f t="shared" si="16"/>
        <v>0</v>
      </c>
      <c r="BU7" s="387">
        <f t="shared" si="17"/>
        <v>355.86064800000003</v>
      </c>
      <c r="BV7" s="387">
        <f t="shared" si="18"/>
        <v>154.30271999999999</v>
      </c>
      <c r="BW7" s="387">
        <f t="shared" si="19"/>
        <v>0</v>
      </c>
      <c r="BX7" s="387">
        <f t="shared" si="34"/>
        <v>13568.673976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-315.03471999999999</v>
      </c>
      <c r="CG7" s="387">
        <f t="shared" si="24"/>
        <v>0</v>
      </c>
      <c r="CH7" s="387">
        <f t="shared" si="25"/>
        <v>-19.287840000000024</v>
      </c>
      <c r="CI7" s="387">
        <f t="shared" si="26"/>
        <v>0</v>
      </c>
      <c r="CJ7" s="387">
        <f t="shared" si="39"/>
        <v>-334.32256000000001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0550-01</v>
      </c>
    </row>
    <row r="8" spans="1:92" ht="15.75" thickBot="1" x14ac:dyDescent="0.3">
      <c r="A8" s="376" t="s">
        <v>161</v>
      </c>
      <c r="B8" s="376" t="s">
        <v>162</v>
      </c>
      <c r="C8" s="376" t="s">
        <v>218</v>
      </c>
      <c r="D8" s="376" t="s">
        <v>219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220</v>
      </c>
      <c r="L8" s="376" t="s">
        <v>170</v>
      </c>
      <c r="M8" s="376" t="s">
        <v>178</v>
      </c>
      <c r="N8" s="376" t="s">
        <v>172</v>
      </c>
      <c r="O8" s="379">
        <v>0</v>
      </c>
      <c r="P8" s="385">
        <v>1</v>
      </c>
      <c r="Q8" s="385">
        <v>0</v>
      </c>
      <c r="R8" s="380">
        <v>0</v>
      </c>
      <c r="S8" s="385">
        <v>0</v>
      </c>
      <c r="T8" s="380">
        <v>3250</v>
      </c>
      <c r="U8" s="380">
        <v>0</v>
      </c>
      <c r="V8" s="380">
        <v>636.94000000000005</v>
      </c>
      <c r="W8" s="380">
        <v>3250</v>
      </c>
      <c r="X8" s="380">
        <v>636.94000000000005</v>
      </c>
      <c r="Y8" s="380">
        <v>3250</v>
      </c>
      <c r="Z8" s="380">
        <v>636.94000000000005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173</v>
      </c>
      <c r="AM8" s="378"/>
      <c r="AN8" s="378"/>
      <c r="AO8" s="379">
        <v>0</v>
      </c>
      <c r="AP8" s="385">
        <v>0</v>
      </c>
      <c r="AQ8" s="385">
        <v>0</v>
      </c>
      <c r="AR8" s="383"/>
      <c r="AS8" s="387">
        <f t="shared" si="27"/>
        <v>0</v>
      </c>
      <c r="AT8">
        <f t="shared" si="28"/>
        <v>0</v>
      </c>
      <c r="AU8" s="387" t="str">
        <f>IF(AT8=0,"",IF(AND(AT8=1,M8="F",SUMIF(C2:C74,C8,AS2:AS74)&lt;=1),SUMIF(C2:C74,C8,AS2:AS74),IF(AND(AT8=1,M8="F",SUMIF(C2:C74,C8,AS2:AS74)&gt;1),1,"")))</f>
        <v/>
      </c>
      <c r="AV8" s="387" t="str">
        <f>IF(AT8=0,"",IF(AND(AT8=3,M8="F",SUMIF(C2:C74,C8,AS2:AS74)&lt;=1),SUMIF(C2:C74,C8,AS2:AS74),IF(AND(AT8=3,M8="F",SUMIF(C2:C74,C8,AS2:AS74)&gt;1),1,"")))</f>
        <v/>
      </c>
      <c r="AW8" s="387">
        <f>SUMIF(C2:C74,C8,O2:O74)</f>
        <v>0</v>
      </c>
      <c r="AX8" s="387">
        <f>IF(AND(M8="F",AS8&lt;&gt;0),SUMIF(C2:C74,C8,W2:W74),0)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>
        <f t="shared" si="41"/>
        <v>3250</v>
      </c>
      <c r="CM8" s="387">
        <f t="shared" si="42"/>
        <v>636.94000000000005</v>
      </c>
      <c r="CN8" s="387" t="str">
        <f t="shared" si="43"/>
        <v>0550-01</v>
      </c>
    </row>
    <row r="9" spans="1:92" ht="15.75" thickBot="1" x14ac:dyDescent="0.3">
      <c r="A9" s="376" t="s">
        <v>161</v>
      </c>
      <c r="B9" s="376" t="s">
        <v>162</v>
      </c>
      <c r="C9" s="376" t="s">
        <v>221</v>
      </c>
      <c r="D9" s="376" t="s">
        <v>222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223</v>
      </c>
      <c r="L9" s="376" t="s">
        <v>224</v>
      </c>
      <c r="M9" s="376" t="s">
        <v>178</v>
      </c>
      <c r="N9" s="376" t="s">
        <v>194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82601.69</v>
      </c>
      <c r="U9" s="380">
        <v>0</v>
      </c>
      <c r="V9" s="380">
        <v>28917.82</v>
      </c>
      <c r="W9" s="380">
        <v>87152</v>
      </c>
      <c r="X9" s="380">
        <v>30496.59</v>
      </c>
      <c r="Y9" s="380">
        <v>87152</v>
      </c>
      <c r="Z9" s="380">
        <v>30043.4</v>
      </c>
      <c r="AA9" s="376" t="s">
        <v>225</v>
      </c>
      <c r="AB9" s="376" t="s">
        <v>226</v>
      </c>
      <c r="AC9" s="376" t="s">
        <v>227</v>
      </c>
      <c r="AD9" s="376" t="s">
        <v>198</v>
      </c>
      <c r="AE9" s="376" t="s">
        <v>223</v>
      </c>
      <c r="AF9" s="376" t="s">
        <v>228</v>
      </c>
      <c r="AG9" s="376" t="s">
        <v>185</v>
      </c>
      <c r="AH9" s="381">
        <v>41.9</v>
      </c>
      <c r="AI9" s="381">
        <v>31296.5</v>
      </c>
      <c r="AJ9" s="376" t="s">
        <v>186</v>
      </c>
      <c r="AK9" s="376" t="s">
        <v>187</v>
      </c>
      <c r="AL9" s="376" t="s">
        <v>173</v>
      </c>
      <c r="AM9" s="376" t="s">
        <v>188</v>
      </c>
      <c r="AN9" s="376" t="s">
        <v>68</v>
      </c>
      <c r="AO9" s="379">
        <v>80</v>
      </c>
      <c r="AP9" s="385">
        <v>1</v>
      </c>
      <c r="AQ9" s="385">
        <v>1</v>
      </c>
      <c r="AR9" s="384" t="s">
        <v>189</v>
      </c>
      <c r="AS9" s="387">
        <f t="shared" si="27"/>
        <v>1</v>
      </c>
      <c r="AT9">
        <f t="shared" si="28"/>
        <v>1</v>
      </c>
      <c r="AU9" s="387">
        <f>IF(AT9=0,"",IF(AND(AT9=1,M9="F",SUMIF(C2:C74,C9,AS2:AS74)&lt;=1),SUMIF(C2:C74,C9,AS2:AS74),IF(AND(AT9=1,M9="F",SUMIF(C2:C74,C9,AS2:AS74)&gt;1),1,"")))</f>
        <v>1</v>
      </c>
      <c r="AV9" s="387" t="str">
        <f>IF(AT9=0,"",IF(AND(AT9=3,M9="F",SUMIF(C2:C74,C9,AS2:AS74)&lt;=1),SUMIF(C2:C74,C9,AS2:AS74),IF(AND(AT9=3,M9="F",SUMIF(C2:C74,C9,AS2:AS74)&gt;1),1,"")))</f>
        <v/>
      </c>
      <c r="AW9" s="387">
        <f>SUMIF(C2:C74,C9,O2:O74)</f>
        <v>1</v>
      </c>
      <c r="AX9" s="387">
        <f>IF(AND(M9="F",AS9&lt;&gt;0),SUMIF(C2:C74,C9,W2:W74),0)</f>
        <v>87152</v>
      </c>
      <c r="AY9" s="387">
        <f t="shared" si="29"/>
        <v>87152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5403.424</v>
      </c>
      <c r="BE9" s="387">
        <f t="shared" si="3"/>
        <v>1263.704</v>
      </c>
      <c r="BF9" s="387">
        <f t="shared" si="4"/>
        <v>10405.9488</v>
      </c>
      <c r="BG9" s="387">
        <f t="shared" si="5"/>
        <v>628.36592000000007</v>
      </c>
      <c r="BH9" s="387">
        <f t="shared" si="6"/>
        <v>427.04480000000001</v>
      </c>
      <c r="BI9" s="387">
        <f t="shared" si="7"/>
        <v>482.38632000000001</v>
      </c>
      <c r="BJ9" s="387">
        <f t="shared" si="8"/>
        <v>235.31040000000002</v>
      </c>
      <c r="BK9" s="387">
        <f t="shared" si="9"/>
        <v>0</v>
      </c>
      <c r="BL9" s="387">
        <f t="shared" si="32"/>
        <v>18846.184239999999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5403.424</v>
      </c>
      <c r="BQ9" s="387">
        <f t="shared" si="13"/>
        <v>1263.704</v>
      </c>
      <c r="BR9" s="387">
        <f t="shared" si="14"/>
        <v>10405.9488</v>
      </c>
      <c r="BS9" s="387">
        <f t="shared" si="15"/>
        <v>628.36592000000007</v>
      </c>
      <c r="BT9" s="387">
        <f t="shared" si="16"/>
        <v>0</v>
      </c>
      <c r="BU9" s="387">
        <f t="shared" si="17"/>
        <v>482.38632000000001</v>
      </c>
      <c r="BV9" s="387">
        <f t="shared" si="18"/>
        <v>209.16479999999999</v>
      </c>
      <c r="BW9" s="387">
        <f t="shared" si="19"/>
        <v>0</v>
      </c>
      <c r="BX9" s="387">
        <f t="shared" si="34"/>
        <v>18392.993839999999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-427.04480000000001</v>
      </c>
      <c r="CG9" s="387">
        <f t="shared" si="24"/>
        <v>0</v>
      </c>
      <c r="CH9" s="387">
        <f t="shared" si="25"/>
        <v>-26.14560000000003</v>
      </c>
      <c r="CI9" s="387">
        <f t="shared" si="26"/>
        <v>0</v>
      </c>
      <c r="CJ9" s="387">
        <f t="shared" si="39"/>
        <v>-453.19040000000007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0550-01</v>
      </c>
    </row>
    <row r="10" spans="1:92" ht="15.75" thickBot="1" x14ac:dyDescent="0.3">
      <c r="A10" s="376" t="s">
        <v>161</v>
      </c>
      <c r="B10" s="376" t="s">
        <v>162</v>
      </c>
      <c r="C10" s="376" t="s">
        <v>229</v>
      </c>
      <c r="D10" s="376" t="s">
        <v>212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230</v>
      </c>
      <c r="L10" s="376" t="s">
        <v>193</v>
      </c>
      <c r="M10" s="376" t="s">
        <v>178</v>
      </c>
      <c r="N10" s="376" t="s">
        <v>194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44731.26</v>
      </c>
      <c r="U10" s="380">
        <v>0</v>
      </c>
      <c r="V10" s="380">
        <v>20257.27</v>
      </c>
      <c r="W10" s="380">
        <v>48048</v>
      </c>
      <c r="X10" s="380">
        <v>22040.34</v>
      </c>
      <c r="Y10" s="380">
        <v>48048</v>
      </c>
      <c r="Z10" s="380">
        <v>21790.5</v>
      </c>
      <c r="AA10" s="376" t="s">
        <v>231</v>
      </c>
      <c r="AB10" s="376" t="s">
        <v>232</v>
      </c>
      <c r="AC10" s="376" t="s">
        <v>233</v>
      </c>
      <c r="AD10" s="376" t="s">
        <v>234</v>
      </c>
      <c r="AE10" s="376" t="s">
        <v>230</v>
      </c>
      <c r="AF10" s="376" t="s">
        <v>199</v>
      </c>
      <c r="AG10" s="376" t="s">
        <v>185</v>
      </c>
      <c r="AH10" s="381">
        <v>23.1</v>
      </c>
      <c r="AI10" s="381">
        <v>18273.7</v>
      </c>
      <c r="AJ10" s="376" t="s">
        <v>186</v>
      </c>
      <c r="AK10" s="376" t="s">
        <v>187</v>
      </c>
      <c r="AL10" s="376" t="s">
        <v>173</v>
      </c>
      <c r="AM10" s="376" t="s">
        <v>188</v>
      </c>
      <c r="AN10" s="376" t="s">
        <v>68</v>
      </c>
      <c r="AO10" s="379">
        <v>80</v>
      </c>
      <c r="AP10" s="385">
        <v>1</v>
      </c>
      <c r="AQ10" s="385">
        <v>1</v>
      </c>
      <c r="AR10" s="384" t="s">
        <v>189</v>
      </c>
      <c r="AS10" s="387">
        <f t="shared" si="27"/>
        <v>1</v>
      </c>
      <c r="AT10">
        <f t="shared" si="28"/>
        <v>1</v>
      </c>
      <c r="AU10" s="387">
        <f>IF(AT10=0,"",IF(AND(AT10=1,M10="F",SUMIF(C2:C74,C10,AS2:AS74)&lt;=1),SUMIF(C2:C74,C10,AS2:AS74),IF(AND(AT10=1,M10="F",SUMIF(C2:C74,C10,AS2:AS74)&gt;1),1,"")))</f>
        <v>1</v>
      </c>
      <c r="AV10" s="387" t="str">
        <f>IF(AT10=0,"",IF(AND(AT10=3,M10="F",SUMIF(C2:C74,C10,AS2:AS74)&lt;=1),SUMIF(C2:C74,C10,AS2:AS74),IF(AND(AT10=3,M10="F",SUMIF(C2:C74,C10,AS2:AS74)&gt;1),1,"")))</f>
        <v/>
      </c>
      <c r="AW10" s="387">
        <f>SUMIF(C2:C74,C10,O2:O74)</f>
        <v>1</v>
      </c>
      <c r="AX10" s="387">
        <f>IF(AND(M10="F",AS10&lt;&gt;0),SUMIF(C2:C74,C10,W2:W74),0)</f>
        <v>48048</v>
      </c>
      <c r="AY10" s="387">
        <f t="shared" si="29"/>
        <v>48048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2978.9760000000001</v>
      </c>
      <c r="BE10" s="387">
        <f t="shared" si="3"/>
        <v>696.69600000000003</v>
      </c>
      <c r="BF10" s="387">
        <f t="shared" si="4"/>
        <v>5736.9312</v>
      </c>
      <c r="BG10" s="387">
        <f t="shared" si="5"/>
        <v>346.42608000000001</v>
      </c>
      <c r="BH10" s="387">
        <f t="shared" si="6"/>
        <v>235.43519999999998</v>
      </c>
      <c r="BI10" s="387">
        <f t="shared" si="7"/>
        <v>265.94567999999998</v>
      </c>
      <c r="BJ10" s="387">
        <f t="shared" si="8"/>
        <v>129.7296</v>
      </c>
      <c r="BK10" s="387">
        <f t="shared" si="9"/>
        <v>0</v>
      </c>
      <c r="BL10" s="387">
        <f t="shared" si="32"/>
        <v>10390.13976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2978.9760000000001</v>
      </c>
      <c r="BQ10" s="387">
        <f t="shared" si="13"/>
        <v>696.69600000000003</v>
      </c>
      <c r="BR10" s="387">
        <f t="shared" si="14"/>
        <v>5736.9312</v>
      </c>
      <c r="BS10" s="387">
        <f t="shared" si="15"/>
        <v>346.42608000000001</v>
      </c>
      <c r="BT10" s="387">
        <f t="shared" si="16"/>
        <v>0</v>
      </c>
      <c r="BU10" s="387">
        <f t="shared" si="17"/>
        <v>265.94567999999998</v>
      </c>
      <c r="BV10" s="387">
        <f t="shared" si="18"/>
        <v>115.31519999999999</v>
      </c>
      <c r="BW10" s="387">
        <f t="shared" si="19"/>
        <v>0</v>
      </c>
      <c r="BX10" s="387">
        <f t="shared" si="34"/>
        <v>10140.290159999999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-235.43519999999998</v>
      </c>
      <c r="CG10" s="387">
        <f t="shared" si="24"/>
        <v>0</v>
      </c>
      <c r="CH10" s="387">
        <f t="shared" si="25"/>
        <v>-14.414400000000017</v>
      </c>
      <c r="CI10" s="387">
        <f t="shared" si="26"/>
        <v>0</v>
      </c>
      <c r="CJ10" s="387">
        <f t="shared" si="39"/>
        <v>-249.84960000000001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0550-01</v>
      </c>
    </row>
    <row r="11" spans="1:92" ht="15.75" thickBot="1" x14ac:dyDescent="0.3">
      <c r="A11" s="376" t="s">
        <v>161</v>
      </c>
      <c r="B11" s="376" t="s">
        <v>162</v>
      </c>
      <c r="C11" s="376" t="s">
        <v>235</v>
      </c>
      <c r="D11" s="376" t="s">
        <v>236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237</v>
      </c>
      <c r="L11" s="376" t="s">
        <v>170</v>
      </c>
      <c r="M11" s="376" t="s">
        <v>171</v>
      </c>
      <c r="N11" s="376" t="s">
        <v>179</v>
      </c>
      <c r="O11" s="379">
        <v>0</v>
      </c>
      <c r="P11" s="385">
        <v>1</v>
      </c>
      <c r="Q11" s="385">
        <v>1</v>
      </c>
      <c r="R11" s="380">
        <v>80</v>
      </c>
      <c r="S11" s="385">
        <v>1</v>
      </c>
      <c r="T11" s="380">
        <v>0</v>
      </c>
      <c r="U11" s="380">
        <v>0</v>
      </c>
      <c r="V11" s="380">
        <v>0</v>
      </c>
      <c r="W11" s="380">
        <v>135000</v>
      </c>
      <c r="X11" s="380">
        <v>59130</v>
      </c>
      <c r="Y11" s="380">
        <v>135000</v>
      </c>
      <c r="Z11" s="380">
        <v>58455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173</v>
      </c>
      <c r="AM11" s="378"/>
      <c r="AN11" s="378"/>
      <c r="AO11" s="379">
        <v>0</v>
      </c>
      <c r="AP11" s="385">
        <v>0</v>
      </c>
      <c r="AQ11" s="385">
        <v>0</v>
      </c>
      <c r="AR11" s="383"/>
      <c r="AS11" s="387">
        <f t="shared" si="27"/>
        <v>0</v>
      </c>
      <c r="AT11">
        <f t="shared" si="28"/>
        <v>0</v>
      </c>
      <c r="AU11" s="387" t="str">
        <f>IF(AT11=0,"",IF(AND(AT11=1,M11="F",SUMIF(C2:C74,C11,AS2:AS74)&lt;=1),SUMIF(C2:C74,C11,AS2:AS74),IF(AND(AT11=1,M11="F",SUMIF(C2:C74,C11,AS2:AS74)&gt;1),1,"")))</f>
        <v/>
      </c>
      <c r="AV11" s="387" t="str">
        <f>IF(AT11=0,"",IF(AND(AT11=3,M11="F",SUMIF(C2:C74,C11,AS2:AS74)&lt;=1),SUMIF(C2:C74,C11,AS2:AS74),IF(AND(AT11=3,M11="F",SUMIF(C2:C74,C11,AS2:AS74)&gt;1),1,"")))</f>
        <v/>
      </c>
      <c r="AW11" s="387">
        <f>SUMIF(C2:C74,C11,O2:O74)</f>
        <v>0</v>
      </c>
      <c r="AX11" s="387">
        <f>IF(AND(M11="F",AS11&lt;&gt;0),SUMIF(C2:C74,C11,W2:W74),0)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0550-01</v>
      </c>
    </row>
    <row r="12" spans="1:92" ht="15.75" thickBot="1" x14ac:dyDescent="0.3">
      <c r="A12" s="376" t="s">
        <v>161</v>
      </c>
      <c r="B12" s="376" t="s">
        <v>162</v>
      </c>
      <c r="C12" s="376" t="s">
        <v>238</v>
      </c>
      <c r="D12" s="376" t="s">
        <v>239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240</v>
      </c>
      <c r="L12" s="376" t="s">
        <v>234</v>
      </c>
      <c r="M12" s="376" t="s">
        <v>178</v>
      </c>
      <c r="N12" s="376" t="s">
        <v>194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36356.93</v>
      </c>
      <c r="U12" s="380">
        <v>0</v>
      </c>
      <c r="V12" s="380">
        <v>18945.28</v>
      </c>
      <c r="W12" s="380">
        <v>39582.400000000001</v>
      </c>
      <c r="X12" s="380">
        <v>20209.650000000001</v>
      </c>
      <c r="Y12" s="380">
        <v>39582.400000000001</v>
      </c>
      <c r="Z12" s="380">
        <v>20003.82</v>
      </c>
      <c r="AA12" s="376" t="s">
        <v>241</v>
      </c>
      <c r="AB12" s="376" t="s">
        <v>242</v>
      </c>
      <c r="AC12" s="376" t="s">
        <v>243</v>
      </c>
      <c r="AD12" s="376" t="s">
        <v>244</v>
      </c>
      <c r="AE12" s="376" t="s">
        <v>240</v>
      </c>
      <c r="AF12" s="376" t="s">
        <v>245</v>
      </c>
      <c r="AG12" s="376" t="s">
        <v>185</v>
      </c>
      <c r="AH12" s="381">
        <v>19.03</v>
      </c>
      <c r="AI12" s="381">
        <v>25607.599999999999</v>
      </c>
      <c r="AJ12" s="376" t="s">
        <v>186</v>
      </c>
      <c r="AK12" s="376" t="s">
        <v>187</v>
      </c>
      <c r="AL12" s="376" t="s">
        <v>173</v>
      </c>
      <c r="AM12" s="376" t="s">
        <v>188</v>
      </c>
      <c r="AN12" s="376" t="s">
        <v>68</v>
      </c>
      <c r="AO12" s="379">
        <v>80</v>
      </c>
      <c r="AP12" s="385">
        <v>1</v>
      </c>
      <c r="AQ12" s="385">
        <v>1</v>
      </c>
      <c r="AR12" s="384" t="s">
        <v>189</v>
      </c>
      <c r="AS12" s="387">
        <f t="shared" si="27"/>
        <v>1</v>
      </c>
      <c r="AT12">
        <f t="shared" si="28"/>
        <v>1</v>
      </c>
      <c r="AU12" s="387">
        <f>IF(AT12=0,"",IF(AND(AT12=1,M12="F",SUMIF(C2:C74,C12,AS2:AS74)&lt;=1),SUMIF(C2:C74,C12,AS2:AS74),IF(AND(AT12=1,M12="F",SUMIF(C2:C74,C12,AS2:AS74)&gt;1),1,"")))</f>
        <v>1</v>
      </c>
      <c r="AV12" s="387" t="str">
        <f>IF(AT12=0,"",IF(AND(AT12=3,M12="F",SUMIF(C2:C74,C12,AS2:AS74)&lt;=1),SUMIF(C2:C74,C12,AS2:AS74),IF(AND(AT12=3,M12="F",SUMIF(C2:C74,C12,AS2:AS74)&gt;1),1,"")))</f>
        <v/>
      </c>
      <c r="AW12" s="387">
        <f>SUMIF(C2:C74,C12,O2:O74)</f>
        <v>1</v>
      </c>
      <c r="AX12" s="387">
        <f>IF(AND(M12="F",AS12&lt;&gt;0),SUMIF(C2:C74,C12,W2:W74),0)</f>
        <v>39582.400000000001</v>
      </c>
      <c r="AY12" s="387">
        <f t="shared" si="29"/>
        <v>39582.400000000001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2454.1088</v>
      </c>
      <c r="BE12" s="387">
        <f t="shared" si="3"/>
        <v>573.9448000000001</v>
      </c>
      <c r="BF12" s="387">
        <f t="shared" si="4"/>
        <v>4726.1385600000003</v>
      </c>
      <c r="BG12" s="387">
        <f t="shared" si="5"/>
        <v>285.38910400000003</v>
      </c>
      <c r="BH12" s="387">
        <f t="shared" si="6"/>
        <v>193.95375999999999</v>
      </c>
      <c r="BI12" s="387">
        <f t="shared" si="7"/>
        <v>219.088584</v>
      </c>
      <c r="BJ12" s="387">
        <f t="shared" si="8"/>
        <v>106.87248000000001</v>
      </c>
      <c r="BK12" s="387">
        <f t="shared" si="9"/>
        <v>0</v>
      </c>
      <c r="BL12" s="387">
        <f t="shared" si="32"/>
        <v>8559.4960879999999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2454.1088</v>
      </c>
      <c r="BQ12" s="387">
        <f t="shared" si="13"/>
        <v>573.9448000000001</v>
      </c>
      <c r="BR12" s="387">
        <f t="shared" si="14"/>
        <v>4726.1385600000003</v>
      </c>
      <c r="BS12" s="387">
        <f t="shared" si="15"/>
        <v>285.38910400000003</v>
      </c>
      <c r="BT12" s="387">
        <f t="shared" si="16"/>
        <v>0</v>
      </c>
      <c r="BU12" s="387">
        <f t="shared" si="17"/>
        <v>219.088584</v>
      </c>
      <c r="BV12" s="387">
        <f t="shared" si="18"/>
        <v>94.99776</v>
      </c>
      <c r="BW12" s="387">
        <f t="shared" si="19"/>
        <v>0</v>
      </c>
      <c r="BX12" s="387">
        <f t="shared" si="34"/>
        <v>8353.6676079999997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-193.95375999999999</v>
      </c>
      <c r="CG12" s="387">
        <f t="shared" si="24"/>
        <v>0</v>
      </c>
      <c r="CH12" s="387">
        <f t="shared" si="25"/>
        <v>-11.874720000000014</v>
      </c>
      <c r="CI12" s="387">
        <f t="shared" si="26"/>
        <v>0</v>
      </c>
      <c r="CJ12" s="387">
        <f t="shared" si="39"/>
        <v>-205.82848000000001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0550-01</v>
      </c>
    </row>
    <row r="13" spans="1:92" ht="15.75" thickBot="1" x14ac:dyDescent="0.3">
      <c r="A13" s="376" t="s">
        <v>161</v>
      </c>
      <c r="B13" s="376" t="s">
        <v>162</v>
      </c>
      <c r="C13" s="376" t="s">
        <v>246</v>
      </c>
      <c r="D13" s="376" t="s">
        <v>247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248</v>
      </c>
      <c r="L13" s="376" t="s">
        <v>206</v>
      </c>
      <c r="M13" s="376" t="s">
        <v>178</v>
      </c>
      <c r="N13" s="376" t="s">
        <v>194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30985.94</v>
      </c>
      <c r="U13" s="380">
        <v>0</v>
      </c>
      <c r="V13" s="380">
        <v>18051.740000000002</v>
      </c>
      <c r="W13" s="380">
        <v>35713.599999999999</v>
      </c>
      <c r="X13" s="380">
        <v>19373.03</v>
      </c>
      <c r="Y13" s="380">
        <v>35713.599999999999</v>
      </c>
      <c r="Z13" s="380">
        <v>19187.330000000002</v>
      </c>
      <c r="AA13" s="376" t="s">
        <v>249</v>
      </c>
      <c r="AB13" s="376" t="s">
        <v>250</v>
      </c>
      <c r="AC13" s="376" t="s">
        <v>251</v>
      </c>
      <c r="AD13" s="376" t="s">
        <v>217</v>
      </c>
      <c r="AE13" s="376" t="s">
        <v>248</v>
      </c>
      <c r="AF13" s="376" t="s">
        <v>210</v>
      </c>
      <c r="AG13" s="376" t="s">
        <v>185</v>
      </c>
      <c r="AH13" s="381">
        <v>17.170000000000002</v>
      </c>
      <c r="AI13" s="381">
        <v>21209.4</v>
      </c>
      <c r="AJ13" s="376" t="s">
        <v>186</v>
      </c>
      <c r="AK13" s="376" t="s">
        <v>187</v>
      </c>
      <c r="AL13" s="376" t="s">
        <v>173</v>
      </c>
      <c r="AM13" s="376" t="s">
        <v>188</v>
      </c>
      <c r="AN13" s="376" t="s">
        <v>68</v>
      </c>
      <c r="AO13" s="379">
        <v>80</v>
      </c>
      <c r="AP13" s="385">
        <v>1</v>
      </c>
      <c r="AQ13" s="385">
        <v>1</v>
      </c>
      <c r="AR13" s="384" t="s">
        <v>189</v>
      </c>
      <c r="AS13" s="387">
        <f t="shared" si="27"/>
        <v>1</v>
      </c>
      <c r="AT13">
        <f t="shared" si="28"/>
        <v>1</v>
      </c>
      <c r="AU13" s="387">
        <f>IF(AT13=0,"",IF(AND(AT13=1,M13="F",SUMIF(C2:C74,C13,AS2:AS74)&lt;=1),SUMIF(C2:C74,C13,AS2:AS74),IF(AND(AT13=1,M13="F",SUMIF(C2:C74,C13,AS2:AS74)&gt;1),1,"")))</f>
        <v>1</v>
      </c>
      <c r="AV13" s="387" t="str">
        <f>IF(AT13=0,"",IF(AND(AT13=3,M13="F",SUMIF(C2:C74,C13,AS2:AS74)&lt;=1),SUMIF(C2:C74,C13,AS2:AS74),IF(AND(AT13=3,M13="F",SUMIF(C2:C74,C13,AS2:AS74)&gt;1),1,"")))</f>
        <v/>
      </c>
      <c r="AW13" s="387">
        <f>SUMIF(C2:C74,C13,O2:O74)</f>
        <v>1</v>
      </c>
      <c r="AX13" s="387">
        <f>IF(AND(M13="F",AS13&lt;&gt;0),SUMIF(C2:C74,C13,W2:W74),0)</f>
        <v>35713.599999999999</v>
      </c>
      <c r="AY13" s="387">
        <f t="shared" si="29"/>
        <v>35713.599999999999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2214.2431999999999</v>
      </c>
      <c r="BE13" s="387">
        <f t="shared" si="3"/>
        <v>517.84720000000004</v>
      </c>
      <c r="BF13" s="387">
        <f t="shared" si="4"/>
        <v>4264.2038400000001</v>
      </c>
      <c r="BG13" s="387">
        <f t="shared" si="5"/>
        <v>257.49505599999998</v>
      </c>
      <c r="BH13" s="387">
        <f t="shared" si="6"/>
        <v>174.99663999999999</v>
      </c>
      <c r="BI13" s="387">
        <f t="shared" si="7"/>
        <v>197.67477599999998</v>
      </c>
      <c r="BJ13" s="387">
        <f t="shared" si="8"/>
        <v>96.426720000000003</v>
      </c>
      <c r="BK13" s="387">
        <f t="shared" si="9"/>
        <v>0</v>
      </c>
      <c r="BL13" s="387">
        <f t="shared" si="32"/>
        <v>7722.8874320000004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2214.2431999999999</v>
      </c>
      <c r="BQ13" s="387">
        <f t="shared" si="13"/>
        <v>517.84720000000004</v>
      </c>
      <c r="BR13" s="387">
        <f t="shared" si="14"/>
        <v>4264.2038400000001</v>
      </c>
      <c r="BS13" s="387">
        <f t="shared" si="15"/>
        <v>257.49505599999998</v>
      </c>
      <c r="BT13" s="387">
        <f t="shared" si="16"/>
        <v>0</v>
      </c>
      <c r="BU13" s="387">
        <f t="shared" si="17"/>
        <v>197.67477599999998</v>
      </c>
      <c r="BV13" s="387">
        <f t="shared" si="18"/>
        <v>85.712639999999993</v>
      </c>
      <c r="BW13" s="387">
        <f t="shared" si="19"/>
        <v>0</v>
      </c>
      <c r="BX13" s="387">
        <f t="shared" si="34"/>
        <v>7537.1767119999995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-174.99663999999999</v>
      </c>
      <c r="CG13" s="387">
        <f t="shared" si="24"/>
        <v>0</v>
      </c>
      <c r="CH13" s="387">
        <f t="shared" si="25"/>
        <v>-10.714080000000012</v>
      </c>
      <c r="CI13" s="387">
        <f t="shared" si="26"/>
        <v>0</v>
      </c>
      <c r="CJ13" s="387">
        <f t="shared" si="39"/>
        <v>-185.71072000000001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0550-01</v>
      </c>
    </row>
    <row r="14" spans="1:92" ht="15.75" thickBot="1" x14ac:dyDescent="0.3">
      <c r="A14" s="376" t="s">
        <v>161</v>
      </c>
      <c r="B14" s="376" t="s">
        <v>162</v>
      </c>
      <c r="C14" s="376" t="s">
        <v>252</v>
      </c>
      <c r="D14" s="376" t="s">
        <v>253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254</v>
      </c>
      <c r="L14" s="376" t="s">
        <v>177</v>
      </c>
      <c r="M14" s="376" t="s">
        <v>171</v>
      </c>
      <c r="N14" s="376" t="s">
        <v>194</v>
      </c>
      <c r="O14" s="379">
        <v>0</v>
      </c>
      <c r="P14" s="385">
        <v>1</v>
      </c>
      <c r="Q14" s="385">
        <v>1</v>
      </c>
      <c r="R14" s="380">
        <v>80</v>
      </c>
      <c r="S14" s="385">
        <v>1</v>
      </c>
      <c r="T14" s="380">
        <v>13834.8</v>
      </c>
      <c r="U14" s="380">
        <v>0</v>
      </c>
      <c r="V14" s="380">
        <v>5599.58</v>
      </c>
      <c r="W14" s="380">
        <v>53476.800000000003</v>
      </c>
      <c r="X14" s="380">
        <v>23422.83</v>
      </c>
      <c r="Y14" s="380">
        <v>53476.800000000003</v>
      </c>
      <c r="Z14" s="380">
        <v>23155.45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173</v>
      </c>
      <c r="AM14" s="378"/>
      <c r="AN14" s="378"/>
      <c r="AO14" s="379">
        <v>0</v>
      </c>
      <c r="AP14" s="385">
        <v>0</v>
      </c>
      <c r="AQ14" s="385">
        <v>0</v>
      </c>
      <c r="AR14" s="383"/>
      <c r="AS14" s="387">
        <f t="shared" si="27"/>
        <v>0</v>
      </c>
      <c r="AT14">
        <f t="shared" si="28"/>
        <v>0</v>
      </c>
      <c r="AU14" s="387" t="str">
        <f>IF(AT14=0,"",IF(AND(AT14=1,M14="F",SUMIF(C2:C74,C14,AS2:AS74)&lt;=1),SUMIF(C2:C74,C14,AS2:AS74),IF(AND(AT14=1,M14="F",SUMIF(C2:C74,C14,AS2:AS74)&gt;1),1,"")))</f>
        <v/>
      </c>
      <c r="AV14" s="387" t="str">
        <f>IF(AT14=0,"",IF(AND(AT14=3,M14="F",SUMIF(C2:C74,C14,AS2:AS74)&lt;=1),SUMIF(C2:C74,C14,AS2:AS74),IF(AND(AT14=3,M14="F",SUMIF(C2:C74,C14,AS2:AS74)&gt;1),1,"")))</f>
        <v/>
      </c>
      <c r="AW14" s="387">
        <f>SUMIF(C2:C74,C14,O2:O74)</f>
        <v>0</v>
      </c>
      <c r="AX14" s="387">
        <f>IF(AND(M14="F",AS14&lt;&gt;0),SUMIF(C2:C74,C14,W2:W74),0)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0550-01</v>
      </c>
    </row>
    <row r="15" spans="1:92" ht="15.75" thickBot="1" x14ac:dyDescent="0.3">
      <c r="A15" s="376" t="s">
        <v>161</v>
      </c>
      <c r="B15" s="376" t="s">
        <v>162</v>
      </c>
      <c r="C15" s="376" t="s">
        <v>255</v>
      </c>
      <c r="D15" s="376" t="s">
        <v>212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230</v>
      </c>
      <c r="L15" s="376" t="s">
        <v>193</v>
      </c>
      <c r="M15" s="376" t="s">
        <v>178</v>
      </c>
      <c r="N15" s="376" t="s">
        <v>194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53300.66</v>
      </c>
      <c r="U15" s="380">
        <v>0</v>
      </c>
      <c r="V15" s="380">
        <v>22854.49</v>
      </c>
      <c r="W15" s="380">
        <v>53684.800000000003</v>
      </c>
      <c r="X15" s="380">
        <v>23259.29</v>
      </c>
      <c r="Y15" s="380">
        <v>53684.800000000003</v>
      </c>
      <c r="Z15" s="380">
        <v>22980.14</v>
      </c>
      <c r="AA15" s="376" t="s">
        <v>256</v>
      </c>
      <c r="AB15" s="376" t="s">
        <v>257</v>
      </c>
      <c r="AC15" s="376" t="s">
        <v>258</v>
      </c>
      <c r="AD15" s="376" t="s">
        <v>259</v>
      </c>
      <c r="AE15" s="376" t="s">
        <v>230</v>
      </c>
      <c r="AF15" s="376" t="s">
        <v>199</v>
      </c>
      <c r="AG15" s="376" t="s">
        <v>185</v>
      </c>
      <c r="AH15" s="381">
        <v>25.81</v>
      </c>
      <c r="AI15" s="381">
        <v>10797.5</v>
      </c>
      <c r="AJ15" s="376" t="s">
        <v>186</v>
      </c>
      <c r="AK15" s="376" t="s">
        <v>187</v>
      </c>
      <c r="AL15" s="376" t="s">
        <v>173</v>
      </c>
      <c r="AM15" s="376" t="s">
        <v>188</v>
      </c>
      <c r="AN15" s="376" t="s">
        <v>68</v>
      </c>
      <c r="AO15" s="379">
        <v>80</v>
      </c>
      <c r="AP15" s="385">
        <v>1</v>
      </c>
      <c r="AQ15" s="385">
        <v>1</v>
      </c>
      <c r="AR15" s="384" t="s">
        <v>189</v>
      </c>
      <c r="AS15" s="387">
        <f t="shared" si="27"/>
        <v>1</v>
      </c>
      <c r="AT15">
        <f t="shared" si="28"/>
        <v>1</v>
      </c>
      <c r="AU15" s="387">
        <f>IF(AT15=0,"",IF(AND(AT15=1,M15="F",SUMIF(C2:C74,C15,AS2:AS74)&lt;=1),SUMIF(C2:C74,C15,AS2:AS74),IF(AND(AT15=1,M15="F",SUMIF(C2:C74,C15,AS2:AS74)&gt;1),1,"")))</f>
        <v>1</v>
      </c>
      <c r="AV15" s="387" t="str">
        <f>IF(AT15=0,"",IF(AND(AT15=3,M15="F",SUMIF(C2:C74,C15,AS2:AS74)&lt;=1),SUMIF(C2:C74,C15,AS2:AS74),IF(AND(AT15=3,M15="F",SUMIF(C2:C74,C15,AS2:AS74)&gt;1),1,"")))</f>
        <v/>
      </c>
      <c r="AW15" s="387">
        <f>SUMIF(C2:C74,C15,O2:O74)</f>
        <v>1</v>
      </c>
      <c r="AX15" s="387">
        <f>IF(AND(M15="F",AS15&lt;&gt;0),SUMIF(C2:C74,C15,W2:W74),0)</f>
        <v>53684.800000000003</v>
      </c>
      <c r="AY15" s="387">
        <f t="shared" si="29"/>
        <v>53684.800000000003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3328.4576000000002</v>
      </c>
      <c r="BE15" s="387">
        <f t="shared" si="3"/>
        <v>778.42960000000005</v>
      </c>
      <c r="BF15" s="387">
        <f t="shared" si="4"/>
        <v>6409.9651200000008</v>
      </c>
      <c r="BG15" s="387">
        <f t="shared" si="5"/>
        <v>387.06740800000006</v>
      </c>
      <c r="BH15" s="387">
        <f t="shared" si="6"/>
        <v>263.05552</v>
      </c>
      <c r="BI15" s="387">
        <f t="shared" si="7"/>
        <v>297.14536800000002</v>
      </c>
      <c r="BJ15" s="387">
        <f t="shared" si="8"/>
        <v>144.94896000000003</v>
      </c>
      <c r="BK15" s="387">
        <f t="shared" si="9"/>
        <v>0</v>
      </c>
      <c r="BL15" s="387">
        <f t="shared" si="32"/>
        <v>11609.069576000002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3328.4576000000002</v>
      </c>
      <c r="BQ15" s="387">
        <f t="shared" si="13"/>
        <v>778.42960000000005</v>
      </c>
      <c r="BR15" s="387">
        <f t="shared" si="14"/>
        <v>6409.9651200000008</v>
      </c>
      <c r="BS15" s="387">
        <f t="shared" si="15"/>
        <v>387.06740800000006</v>
      </c>
      <c r="BT15" s="387">
        <f t="shared" si="16"/>
        <v>0</v>
      </c>
      <c r="BU15" s="387">
        <f t="shared" si="17"/>
        <v>297.14536800000002</v>
      </c>
      <c r="BV15" s="387">
        <f t="shared" si="18"/>
        <v>128.84351999999998</v>
      </c>
      <c r="BW15" s="387">
        <f t="shared" si="19"/>
        <v>0</v>
      </c>
      <c r="BX15" s="387">
        <f t="shared" si="34"/>
        <v>11329.908616000002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-263.05552</v>
      </c>
      <c r="CG15" s="387">
        <f t="shared" si="24"/>
        <v>0</v>
      </c>
      <c r="CH15" s="387">
        <f t="shared" si="25"/>
        <v>-16.105440000000019</v>
      </c>
      <c r="CI15" s="387">
        <f t="shared" si="26"/>
        <v>0</v>
      </c>
      <c r="CJ15" s="387">
        <f t="shared" si="39"/>
        <v>-279.16096000000005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0550-01</v>
      </c>
    </row>
    <row r="16" spans="1:92" ht="15.75" thickBot="1" x14ac:dyDescent="0.3">
      <c r="A16" s="376" t="s">
        <v>161</v>
      </c>
      <c r="B16" s="376" t="s">
        <v>162</v>
      </c>
      <c r="C16" s="376" t="s">
        <v>260</v>
      </c>
      <c r="D16" s="376" t="s">
        <v>261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262</v>
      </c>
      <c r="L16" s="376" t="s">
        <v>185</v>
      </c>
      <c r="M16" s="376" t="s">
        <v>178</v>
      </c>
      <c r="N16" s="376" t="s">
        <v>194</v>
      </c>
      <c r="O16" s="379">
        <v>1</v>
      </c>
      <c r="P16" s="385">
        <v>1</v>
      </c>
      <c r="Q16" s="385">
        <v>1</v>
      </c>
      <c r="R16" s="380">
        <v>80</v>
      </c>
      <c r="S16" s="385">
        <v>1</v>
      </c>
      <c r="T16" s="380">
        <v>28250.57</v>
      </c>
      <c r="U16" s="380">
        <v>6.64</v>
      </c>
      <c r="V16" s="380">
        <v>17613.14</v>
      </c>
      <c r="W16" s="380">
        <v>29577.599999999999</v>
      </c>
      <c r="X16" s="380">
        <v>18046.12</v>
      </c>
      <c r="Y16" s="380">
        <v>29577.599999999999</v>
      </c>
      <c r="Z16" s="380">
        <v>17892.32</v>
      </c>
      <c r="AA16" s="376" t="s">
        <v>263</v>
      </c>
      <c r="AB16" s="376" t="s">
        <v>264</v>
      </c>
      <c r="AC16" s="376" t="s">
        <v>265</v>
      </c>
      <c r="AD16" s="376" t="s">
        <v>217</v>
      </c>
      <c r="AE16" s="376" t="s">
        <v>262</v>
      </c>
      <c r="AF16" s="376" t="s">
        <v>266</v>
      </c>
      <c r="AG16" s="376" t="s">
        <v>185</v>
      </c>
      <c r="AH16" s="381">
        <v>14.22</v>
      </c>
      <c r="AI16" s="381">
        <v>6826.7</v>
      </c>
      <c r="AJ16" s="376" t="s">
        <v>186</v>
      </c>
      <c r="AK16" s="376" t="s">
        <v>187</v>
      </c>
      <c r="AL16" s="376" t="s">
        <v>173</v>
      </c>
      <c r="AM16" s="376" t="s">
        <v>188</v>
      </c>
      <c r="AN16" s="376" t="s">
        <v>68</v>
      </c>
      <c r="AO16" s="379">
        <v>80</v>
      </c>
      <c r="AP16" s="385">
        <v>1</v>
      </c>
      <c r="AQ16" s="385">
        <v>1</v>
      </c>
      <c r="AR16" s="384" t="s">
        <v>189</v>
      </c>
      <c r="AS16" s="387">
        <f t="shared" si="27"/>
        <v>1</v>
      </c>
      <c r="AT16">
        <f t="shared" si="28"/>
        <v>1</v>
      </c>
      <c r="AU16" s="387">
        <f>IF(AT16=0,"",IF(AND(AT16=1,M16="F",SUMIF(C2:C74,C16,AS2:AS74)&lt;=1),SUMIF(C2:C74,C16,AS2:AS74),IF(AND(AT16=1,M16="F",SUMIF(C2:C74,C16,AS2:AS74)&gt;1),1,"")))</f>
        <v>1</v>
      </c>
      <c r="AV16" s="387" t="str">
        <f>IF(AT16=0,"",IF(AND(AT16=3,M16="F",SUMIF(C2:C74,C16,AS2:AS74)&lt;=1),SUMIF(C2:C74,C16,AS2:AS74),IF(AND(AT16=3,M16="F",SUMIF(C2:C74,C16,AS2:AS74)&gt;1),1,"")))</f>
        <v/>
      </c>
      <c r="AW16" s="387">
        <f>SUMIF(C2:C74,C16,O2:O74)</f>
        <v>1</v>
      </c>
      <c r="AX16" s="387">
        <f>IF(AND(M16="F",AS16&lt;&gt;0),SUMIF(C2:C74,C16,W2:W74),0)</f>
        <v>29577.599999999999</v>
      </c>
      <c r="AY16" s="387">
        <f t="shared" si="29"/>
        <v>29577.599999999999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1833.8111999999999</v>
      </c>
      <c r="BE16" s="387">
        <f t="shared" si="3"/>
        <v>428.87520000000001</v>
      </c>
      <c r="BF16" s="387">
        <f t="shared" si="4"/>
        <v>3531.5654399999999</v>
      </c>
      <c r="BG16" s="387">
        <f t="shared" si="5"/>
        <v>213.25449599999999</v>
      </c>
      <c r="BH16" s="387">
        <f t="shared" si="6"/>
        <v>144.93024</v>
      </c>
      <c r="BI16" s="387">
        <f t="shared" si="7"/>
        <v>163.71201600000001</v>
      </c>
      <c r="BJ16" s="387">
        <f t="shared" si="8"/>
        <v>79.859520000000003</v>
      </c>
      <c r="BK16" s="387">
        <f t="shared" si="9"/>
        <v>0</v>
      </c>
      <c r="BL16" s="387">
        <f t="shared" si="32"/>
        <v>6396.0081119999995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1833.8111999999999</v>
      </c>
      <c r="BQ16" s="387">
        <f t="shared" si="13"/>
        <v>428.87520000000001</v>
      </c>
      <c r="BR16" s="387">
        <f t="shared" si="14"/>
        <v>3531.5654399999999</v>
      </c>
      <c r="BS16" s="387">
        <f t="shared" si="15"/>
        <v>213.25449599999999</v>
      </c>
      <c r="BT16" s="387">
        <f t="shared" si="16"/>
        <v>0</v>
      </c>
      <c r="BU16" s="387">
        <f t="shared" si="17"/>
        <v>163.71201600000001</v>
      </c>
      <c r="BV16" s="387">
        <f t="shared" si="18"/>
        <v>70.986239999999995</v>
      </c>
      <c r="BW16" s="387">
        <f t="shared" si="19"/>
        <v>0</v>
      </c>
      <c r="BX16" s="387">
        <f t="shared" si="34"/>
        <v>6242.204592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-144.93024</v>
      </c>
      <c r="CG16" s="387">
        <f t="shared" si="24"/>
        <v>0</v>
      </c>
      <c r="CH16" s="387">
        <f t="shared" si="25"/>
        <v>-8.87328000000001</v>
      </c>
      <c r="CI16" s="387">
        <f t="shared" si="26"/>
        <v>0</v>
      </c>
      <c r="CJ16" s="387">
        <f t="shared" si="39"/>
        <v>-153.80352000000002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0550-01</v>
      </c>
    </row>
    <row r="17" spans="1:92" ht="15.75" thickBot="1" x14ac:dyDescent="0.3">
      <c r="A17" s="376" t="s">
        <v>161</v>
      </c>
      <c r="B17" s="376" t="s">
        <v>162</v>
      </c>
      <c r="C17" s="376" t="s">
        <v>267</v>
      </c>
      <c r="D17" s="376" t="s">
        <v>247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248</v>
      </c>
      <c r="L17" s="376" t="s">
        <v>206</v>
      </c>
      <c r="M17" s="376" t="s">
        <v>171</v>
      </c>
      <c r="N17" s="376" t="s">
        <v>194</v>
      </c>
      <c r="O17" s="379">
        <v>0</v>
      </c>
      <c r="P17" s="385">
        <v>1</v>
      </c>
      <c r="Q17" s="385">
        <v>1</v>
      </c>
      <c r="R17" s="380">
        <v>80</v>
      </c>
      <c r="S17" s="385">
        <v>1</v>
      </c>
      <c r="T17" s="380">
        <v>37197.64</v>
      </c>
      <c r="U17" s="380">
        <v>0</v>
      </c>
      <c r="V17" s="380">
        <v>19496.55</v>
      </c>
      <c r="W17" s="380">
        <v>37502.400000000001</v>
      </c>
      <c r="X17" s="380">
        <v>16426.05</v>
      </c>
      <c r="Y17" s="380">
        <v>37502.400000000001</v>
      </c>
      <c r="Z17" s="380">
        <v>16238.53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173</v>
      </c>
      <c r="AM17" s="378"/>
      <c r="AN17" s="378"/>
      <c r="AO17" s="379">
        <v>0</v>
      </c>
      <c r="AP17" s="385">
        <v>0</v>
      </c>
      <c r="AQ17" s="385">
        <v>0</v>
      </c>
      <c r="AR17" s="383"/>
      <c r="AS17" s="387">
        <f t="shared" si="27"/>
        <v>0</v>
      </c>
      <c r="AT17">
        <f t="shared" si="28"/>
        <v>0</v>
      </c>
      <c r="AU17" s="387" t="str">
        <f>IF(AT17=0,"",IF(AND(AT17=1,M17="F",SUMIF(C2:C74,C17,AS2:AS74)&lt;=1),SUMIF(C2:C74,C17,AS2:AS74),IF(AND(AT17=1,M17="F",SUMIF(C2:C74,C17,AS2:AS74)&gt;1),1,"")))</f>
        <v/>
      </c>
      <c r="AV17" s="387" t="str">
        <f>IF(AT17=0,"",IF(AND(AT17=3,M17="F",SUMIF(C2:C74,C17,AS2:AS74)&lt;=1),SUMIF(C2:C74,C17,AS2:AS74),IF(AND(AT17=3,M17="F",SUMIF(C2:C74,C17,AS2:AS74)&gt;1),1,"")))</f>
        <v/>
      </c>
      <c r="AW17" s="387">
        <f>SUMIF(C2:C74,C17,O2:O74)</f>
        <v>0</v>
      </c>
      <c r="AX17" s="387">
        <f>IF(AND(M17="F",AS17&lt;&gt;0),SUMIF(C2:C74,C17,W2:W74),0)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0550-01</v>
      </c>
    </row>
    <row r="18" spans="1:92" ht="15.75" thickBot="1" x14ac:dyDescent="0.3">
      <c r="A18" s="376" t="s">
        <v>161</v>
      </c>
      <c r="B18" s="376" t="s">
        <v>162</v>
      </c>
      <c r="C18" s="376" t="s">
        <v>268</v>
      </c>
      <c r="D18" s="376" t="s">
        <v>269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270</v>
      </c>
      <c r="L18" s="376" t="s">
        <v>185</v>
      </c>
      <c r="M18" s="376" t="s">
        <v>178</v>
      </c>
      <c r="N18" s="376" t="s">
        <v>194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21840</v>
      </c>
      <c r="U18" s="380">
        <v>0</v>
      </c>
      <c r="V18" s="380">
        <v>12804.22</v>
      </c>
      <c r="W18" s="380">
        <v>29120</v>
      </c>
      <c r="X18" s="380">
        <v>17947.169999999998</v>
      </c>
      <c r="Y18" s="380">
        <v>29120</v>
      </c>
      <c r="Z18" s="380">
        <v>17795.75</v>
      </c>
      <c r="AA18" s="376" t="s">
        <v>271</v>
      </c>
      <c r="AB18" s="376" t="s">
        <v>272</v>
      </c>
      <c r="AC18" s="376" t="s">
        <v>273</v>
      </c>
      <c r="AD18" s="376" t="s">
        <v>187</v>
      </c>
      <c r="AE18" s="376" t="s">
        <v>270</v>
      </c>
      <c r="AF18" s="376" t="s">
        <v>266</v>
      </c>
      <c r="AG18" s="376" t="s">
        <v>185</v>
      </c>
      <c r="AH18" s="379">
        <v>14</v>
      </c>
      <c r="AI18" s="379">
        <v>1008</v>
      </c>
      <c r="AJ18" s="376" t="s">
        <v>186</v>
      </c>
      <c r="AK18" s="376" t="s">
        <v>187</v>
      </c>
      <c r="AL18" s="376" t="s">
        <v>173</v>
      </c>
      <c r="AM18" s="376" t="s">
        <v>188</v>
      </c>
      <c r="AN18" s="376" t="s">
        <v>68</v>
      </c>
      <c r="AO18" s="379">
        <v>80</v>
      </c>
      <c r="AP18" s="385">
        <v>1</v>
      </c>
      <c r="AQ18" s="385">
        <v>1</v>
      </c>
      <c r="AR18" s="384" t="s">
        <v>189</v>
      </c>
      <c r="AS18" s="387">
        <f t="shared" si="27"/>
        <v>1</v>
      </c>
      <c r="AT18">
        <f t="shared" si="28"/>
        <v>1</v>
      </c>
      <c r="AU18" s="387">
        <f>IF(AT18=0,"",IF(AND(AT18=1,M18="F",SUMIF(C2:C74,C18,AS2:AS74)&lt;=1),SUMIF(C2:C74,C18,AS2:AS74),IF(AND(AT18=1,M18="F",SUMIF(C2:C74,C18,AS2:AS74)&gt;1),1,"")))</f>
        <v>1</v>
      </c>
      <c r="AV18" s="387" t="str">
        <f>IF(AT18=0,"",IF(AND(AT18=3,M18="F",SUMIF(C2:C74,C18,AS2:AS74)&lt;=1),SUMIF(C2:C74,C18,AS2:AS74),IF(AND(AT18=3,M18="F",SUMIF(C2:C74,C18,AS2:AS74)&gt;1),1,"")))</f>
        <v/>
      </c>
      <c r="AW18" s="387">
        <f>SUMIF(C2:C74,C18,O2:O74)</f>
        <v>1</v>
      </c>
      <c r="AX18" s="387">
        <f>IF(AND(M18="F",AS18&lt;&gt;0),SUMIF(C2:C74,C18,W2:W74),0)</f>
        <v>29120</v>
      </c>
      <c r="AY18" s="387">
        <f t="shared" si="29"/>
        <v>29120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1805.44</v>
      </c>
      <c r="BE18" s="387">
        <f t="shared" si="3"/>
        <v>422.24</v>
      </c>
      <c r="BF18" s="387">
        <f t="shared" si="4"/>
        <v>3476.9280000000003</v>
      </c>
      <c r="BG18" s="387">
        <f t="shared" si="5"/>
        <v>209.95520000000002</v>
      </c>
      <c r="BH18" s="387">
        <f t="shared" si="6"/>
        <v>142.68799999999999</v>
      </c>
      <c r="BI18" s="387">
        <f t="shared" si="7"/>
        <v>161.17920000000001</v>
      </c>
      <c r="BJ18" s="387">
        <f t="shared" si="8"/>
        <v>78.624000000000009</v>
      </c>
      <c r="BK18" s="387">
        <f t="shared" si="9"/>
        <v>0</v>
      </c>
      <c r="BL18" s="387">
        <f t="shared" si="32"/>
        <v>6297.0544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1805.44</v>
      </c>
      <c r="BQ18" s="387">
        <f t="shared" si="13"/>
        <v>422.24</v>
      </c>
      <c r="BR18" s="387">
        <f t="shared" si="14"/>
        <v>3476.9280000000003</v>
      </c>
      <c r="BS18" s="387">
        <f t="shared" si="15"/>
        <v>209.95520000000002</v>
      </c>
      <c r="BT18" s="387">
        <f t="shared" si="16"/>
        <v>0</v>
      </c>
      <c r="BU18" s="387">
        <f t="shared" si="17"/>
        <v>161.17920000000001</v>
      </c>
      <c r="BV18" s="387">
        <f t="shared" si="18"/>
        <v>69.887999999999991</v>
      </c>
      <c r="BW18" s="387">
        <f t="shared" si="19"/>
        <v>0</v>
      </c>
      <c r="BX18" s="387">
        <f t="shared" si="34"/>
        <v>6145.6304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-142.68799999999999</v>
      </c>
      <c r="CG18" s="387">
        <f t="shared" si="24"/>
        <v>0</v>
      </c>
      <c r="CH18" s="387">
        <f t="shared" si="25"/>
        <v>-8.7360000000000095</v>
      </c>
      <c r="CI18" s="387">
        <f t="shared" si="26"/>
        <v>0</v>
      </c>
      <c r="CJ18" s="387">
        <f t="shared" si="39"/>
        <v>-151.42400000000001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0550-01</v>
      </c>
    </row>
    <row r="19" spans="1:92" ht="15.75" thickBot="1" x14ac:dyDescent="0.3">
      <c r="A19" s="376" t="s">
        <v>161</v>
      </c>
      <c r="B19" s="376" t="s">
        <v>162</v>
      </c>
      <c r="C19" s="376" t="s">
        <v>274</v>
      </c>
      <c r="D19" s="376" t="s">
        <v>275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276</v>
      </c>
      <c r="L19" s="376" t="s">
        <v>185</v>
      </c>
      <c r="M19" s="376" t="s">
        <v>178</v>
      </c>
      <c r="N19" s="376" t="s">
        <v>194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21929.599999999999</v>
      </c>
      <c r="U19" s="380">
        <v>0</v>
      </c>
      <c r="V19" s="380">
        <v>12939.77</v>
      </c>
      <c r="W19" s="380">
        <v>30284.799999999999</v>
      </c>
      <c r="X19" s="380">
        <v>18199.04</v>
      </c>
      <c r="Y19" s="380">
        <v>30284.799999999999</v>
      </c>
      <c r="Z19" s="380">
        <v>18041.57</v>
      </c>
      <c r="AA19" s="376" t="s">
        <v>277</v>
      </c>
      <c r="AB19" s="376" t="s">
        <v>278</v>
      </c>
      <c r="AC19" s="376" t="s">
        <v>279</v>
      </c>
      <c r="AD19" s="376" t="s">
        <v>217</v>
      </c>
      <c r="AE19" s="376" t="s">
        <v>276</v>
      </c>
      <c r="AF19" s="376" t="s">
        <v>266</v>
      </c>
      <c r="AG19" s="376" t="s">
        <v>185</v>
      </c>
      <c r="AH19" s="381">
        <v>14.56</v>
      </c>
      <c r="AI19" s="379">
        <v>3266</v>
      </c>
      <c r="AJ19" s="376" t="s">
        <v>186</v>
      </c>
      <c r="AK19" s="376" t="s">
        <v>187</v>
      </c>
      <c r="AL19" s="376" t="s">
        <v>173</v>
      </c>
      <c r="AM19" s="376" t="s">
        <v>188</v>
      </c>
      <c r="AN19" s="376" t="s">
        <v>68</v>
      </c>
      <c r="AO19" s="379">
        <v>80</v>
      </c>
      <c r="AP19" s="385">
        <v>1</v>
      </c>
      <c r="AQ19" s="385">
        <v>1</v>
      </c>
      <c r="AR19" s="384" t="s">
        <v>189</v>
      </c>
      <c r="AS19" s="387">
        <f t="shared" si="27"/>
        <v>1</v>
      </c>
      <c r="AT19">
        <f t="shared" si="28"/>
        <v>1</v>
      </c>
      <c r="AU19" s="387">
        <f>IF(AT19=0,"",IF(AND(AT19=1,M19="F",SUMIF(C2:C74,C19,AS2:AS74)&lt;=1),SUMIF(C2:C74,C19,AS2:AS74),IF(AND(AT19=1,M19="F",SUMIF(C2:C74,C19,AS2:AS74)&gt;1),1,"")))</f>
        <v>1</v>
      </c>
      <c r="AV19" s="387" t="str">
        <f>IF(AT19=0,"",IF(AND(AT19=3,M19="F",SUMIF(C2:C74,C19,AS2:AS74)&lt;=1),SUMIF(C2:C74,C19,AS2:AS74),IF(AND(AT19=3,M19="F",SUMIF(C2:C74,C19,AS2:AS74)&gt;1),1,"")))</f>
        <v/>
      </c>
      <c r="AW19" s="387">
        <f>SUMIF(C2:C74,C19,O2:O74)</f>
        <v>1</v>
      </c>
      <c r="AX19" s="387">
        <f>IF(AND(M19="F",AS19&lt;&gt;0),SUMIF(C2:C74,C19,W2:W74),0)</f>
        <v>30284.799999999999</v>
      </c>
      <c r="AY19" s="387">
        <f t="shared" si="29"/>
        <v>30284.799999999999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1877.6576</v>
      </c>
      <c r="BE19" s="387">
        <f t="shared" si="3"/>
        <v>439.12960000000004</v>
      </c>
      <c r="BF19" s="387">
        <f t="shared" si="4"/>
        <v>3616.0051200000003</v>
      </c>
      <c r="BG19" s="387">
        <f t="shared" si="5"/>
        <v>218.353408</v>
      </c>
      <c r="BH19" s="387">
        <f t="shared" si="6"/>
        <v>148.39552</v>
      </c>
      <c r="BI19" s="387">
        <f t="shared" si="7"/>
        <v>167.62636799999999</v>
      </c>
      <c r="BJ19" s="387">
        <f t="shared" si="8"/>
        <v>81.768960000000007</v>
      </c>
      <c r="BK19" s="387">
        <f t="shared" si="9"/>
        <v>0</v>
      </c>
      <c r="BL19" s="387">
        <f t="shared" si="32"/>
        <v>6548.936576000001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1877.6576</v>
      </c>
      <c r="BQ19" s="387">
        <f t="shared" si="13"/>
        <v>439.12960000000004</v>
      </c>
      <c r="BR19" s="387">
        <f t="shared" si="14"/>
        <v>3616.0051200000003</v>
      </c>
      <c r="BS19" s="387">
        <f t="shared" si="15"/>
        <v>218.353408</v>
      </c>
      <c r="BT19" s="387">
        <f t="shared" si="16"/>
        <v>0</v>
      </c>
      <c r="BU19" s="387">
        <f t="shared" si="17"/>
        <v>167.62636799999999</v>
      </c>
      <c r="BV19" s="387">
        <f t="shared" si="18"/>
        <v>72.683519999999987</v>
      </c>
      <c r="BW19" s="387">
        <f t="shared" si="19"/>
        <v>0</v>
      </c>
      <c r="BX19" s="387">
        <f t="shared" si="34"/>
        <v>6391.4556160000002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-148.39552</v>
      </c>
      <c r="CG19" s="387">
        <f t="shared" si="24"/>
        <v>0</v>
      </c>
      <c r="CH19" s="387">
        <f t="shared" si="25"/>
        <v>-9.0854400000000108</v>
      </c>
      <c r="CI19" s="387">
        <f t="shared" si="26"/>
        <v>0</v>
      </c>
      <c r="CJ19" s="387">
        <f t="shared" si="39"/>
        <v>-157.48096000000001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0550-01</v>
      </c>
    </row>
    <row r="20" spans="1:92" ht="15.75" thickBot="1" x14ac:dyDescent="0.3">
      <c r="A20" s="376" t="s">
        <v>161</v>
      </c>
      <c r="B20" s="376" t="s">
        <v>162</v>
      </c>
      <c r="C20" s="376" t="s">
        <v>280</v>
      </c>
      <c r="D20" s="376" t="s">
        <v>281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282</v>
      </c>
      <c r="L20" s="376" t="s">
        <v>173</v>
      </c>
      <c r="M20" s="376" t="s">
        <v>171</v>
      </c>
      <c r="N20" s="376" t="s">
        <v>194</v>
      </c>
      <c r="O20" s="379">
        <v>0</v>
      </c>
      <c r="P20" s="385">
        <v>1</v>
      </c>
      <c r="Q20" s="385">
        <v>1</v>
      </c>
      <c r="R20" s="380">
        <v>80</v>
      </c>
      <c r="S20" s="385">
        <v>1</v>
      </c>
      <c r="T20" s="380">
        <v>49232.86</v>
      </c>
      <c r="U20" s="380">
        <v>0</v>
      </c>
      <c r="V20" s="380">
        <v>18132.7</v>
      </c>
      <c r="W20" s="380">
        <v>66788.800000000003</v>
      </c>
      <c r="X20" s="380">
        <v>29253.49</v>
      </c>
      <c r="Y20" s="380">
        <v>66788.800000000003</v>
      </c>
      <c r="Z20" s="380">
        <v>28919.55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173</v>
      </c>
      <c r="AM20" s="378"/>
      <c r="AN20" s="378"/>
      <c r="AO20" s="379">
        <v>0</v>
      </c>
      <c r="AP20" s="385">
        <v>0</v>
      </c>
      <c r="AQ20" s="385">
        <v>0</v>
      </c>
      <c r="AR20" s="383"/>
      <c r="AS20" s="387">
        <f t="shared" si="27"/>
        <v>0</v>
      </c>
      <c r="AT20">
        <f t="shared" si="28"/>
        <v>0</v>
      </c>
      <c r="AU20" s="387" t="str">
        <f>IF(AT20=0,"",IF(AND(AT20=1,M20="F",SUMIF(C2:C74,C20,AS2:AS74)&lt;=1),SUMIF(C2:C74,C20,AS2:AS74),IF(AND(AT20=1,M20="F",SUMIF(C2:C74,C20,AS2:AS74)&gt;1),1,"")))</f>
        <v/>
      </c>
      <c r="AV20" s="387" t="str">
        <f>IF(AT20=0,"",IF(AND(AT20=3,M20="F",SUMIF(C2:C74,C20,AS2:AS74)&lt;=1),SUMIF(C2:C74,C20,AS2:AS74),IF(AND(AT20=3,M20="F",SUMIF(C2:C74,C20,AS2:AS74)&gt;1),1,"")))</f>
        <v/>
      </c>
      <c r="AW20" s="387">
        <f>SUMIF(C2:C74,C20,O2:O74)</f>
        <v>0</v>
      </c>
      <c r="AX20" s="387">
        <f>IF(AND(M20="F",AS20&lt;&gt;0),SUMIF(C2:C74,C20,W2:W74),0)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0550-01</v>
      </c>
    </row>
    <row r="21" spans="1:92" ht="15.75" thickBot="1" x14ac:dyDescent="0.3">
      <c r="A21" s="376" t="s">
        <v>161</v>
      </c>
      <c r="B21" s="376" t="s">
        <v>162</v>
      </c>
      <c r="C21" s="376" t="s">
        <v>283</v>
      </c>
      <c r="D21" s="376" t="s">
        <v>269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270</v>
      </c>
      <c r="L21" s="376" t="s">
        <v>185</v>
      </c>
      <c r="M21" s="376" t="s">
        <v>178</v>
      </c>
      <c r="N21" s="376" t="s">
        <v>194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29147.279999999999</v>
      </c>
      <c r="U21" s="380">
        <v>0</v>
      </c>
      <c r="V21" s="380">
        <v>17764.22</v>
      </c>
      <c r="W21" s="380">
        <v>30222.400000000001</v>
      </c>
      <c r="X21" s="380">
        <v>18185.560000000001</v>
      </c>
      <c r="Y21" s="380">
        <v>30222.400000000001</v>
      </c>
      <c r="Z21" s="380">
        <v>18028.41</v>
      </c>
      <c r="AA21" s="376" t="s">
        <v>284</v>
      </c>
      <c r="AB21" s="376" t="s">
        <v>285</v>
      </c>
      <c r="AC21" s="376" t="s">
        <v>286</v>
      </c>
      <c r="AD21" s="376" t="s">
        <v>287</v>
      </c>
      <c r="AE21" s="376" t="s">
        <v>270</v>
      </c>
      <c r="AF21" s="376" t="s">
        <v>266</v>
      </c>
      <c r="AG21" s="376" t="s">
        <v>185</v>
      </c>
      <c r="AH21" s="381">
        <v>14.53</v>
      </c>
      <c r="AI21" s="381">
        <v>10675.7</v>
      </c>
      <c r="AJ21" s="376" t="s">
        <v>186</v>
      </c>
      <c r="AK21" s="376" t="s">
        <v>187</v>
      </c>
      <c r="AL21" s="376" t="s">
        <v>173</v>
      </c>
      <c r="AM21" s="376" t="s">
        <v>188</v>
      </c>
      <c r="AN21" s="376" t="s">
        <v>68</v>
      </c>
      <c r="AO21" s="379">
        <v>80</v>
      </c>
      <c r="AP21" s="385">
        <v>1</v>
      </c>
      <c r="AQ21" s="385">
        <v>1</v>
      </c>
      <c r="AR21" s="384" t="s">
        <v>189</v>
      </c>
      <c r="AS21" s="387">
        <f t="shared" si="27"/>
        <v>1</v>
      </c>
      <c r="AT21">
        <f t="shared" si="28"/>
        <v>1</v>
      </c>
      <c r="AU21" s="387">
        <f>IF(AT21=0,"",IF(AND(AT21=1,M21="F",SUMIF(C2:C74,C21,AS2:AS74)&lt;=1),SUMIF(C2:C74,C21,AS2:AS74),IF(AND(AT21=1,M21="F",SUMIF(C2:C74,C21,AS2:AS74)&gt;1),1,"")))</f>
        <v>1</v>
      </c>
      <c r="AV21" s="387" t="str">
        <f>IF(AT21=0,"",IF(AND(AT21=3,M21="F",SUMIF(C2:C74,C21,AS2:AS74)&lt;=1),SUMIF(C2:C74,C21,AS2:AS74),IF(AND(AT21=3,M21="F",SUMIF(C2:C74,C21,AS2:AS74)&gt;1),1,"")))</f>
        <v/>
      </c>
      <c r="AW21" s="387">
        <f>SUMIF(C2:C74,C21,O2:O74)</f>
        <v>1</v>
      </c>
      <c r="AX21" s="387">
        <f>IF(AND(M21="F",AS21&lt;&gt;0),SUMIF(C2:C74,C21,W2:W74),0)</f>
        <v>30222.400000000001</v>
      </c>
      <c r="AY21" s="387">
        <f t="shared" si="29"/>
        <v>30222.400000000001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1873.7888</v>
      </c>
      <c r="BE21" s="387">
        <f t="shared" si="3"/>
        <v>438.22480000000002</v>
      </c>
      <c r="BF21" s="387">
        <f t="shared" si="4"/>
        <v>3608.5545600000005</v>
      </c>
      <c r="BG21" s="387">
        <f t="shared" si="5"/>
        <v>217.90350400000003</v>
      </c>
      <c r="BH21" s="387">
        <f t="shared" si="6"/>
        <v>148.08976000000001</v>
      </c>
      <c r="BI21" s="387">
        <f t="shared" si="7"/>
        <v>167.28098400000002</v>
      </c>
      <c r="BJ21" s="387">
        <f t="shared" si="8"/>
        <v>81.600480000000005</v>
      </c>
      <c r="BK21" s="387">
        <f t="shared" si="9"/>
        <v>0</v>
      </c>
      <c r="BL21" s="387">
        <f t="shared" si="32"/>
        <v>6535.4428880000005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1873.7888</v>
      </c>
      <c r="BQ21" s="387">
        <f t="shared" si="13"/>
        <v>438.22480000000002</v>
      </c>
      <c r="BR21" s="387">
        <f t="shared" si="14"/>
        <v>3608.5545600000005</v>
      </c>
      <c r="BS21" s="387">
        <f t="shared" si="15"/>
        <v>217.90350400000003</v>
      </c>
      <c r="BT21" s="387">
        <f t="shared" si="16"/>
        <v>0</v>
      </c>
      <c r="BU21" s="387">
        <f t="shared" si="17"/>
        <v>167.28098400000002</v>
      </c>
      <c r="BV21" s="387">
        <f t="shared" si="18"/>
        <v>72.533760000000001</v>
      </c>
      <c r="BW21" s="387">
        <f t="shared" si="19"/>
        <v>0</v>
      </c>
      <c r="BX21" s="387">
        <f t="shared" si="34"/>
        <v>6378.2864080000008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-148.08976000000001</v>
      </c>
      <c r="CG21" s="387">
        <f t="shared" si="24"/>
        <v>0</v>
      </c>
      <c r="CH21" s="387">
        <f t="shared" si="25"/>
        <v>-9.0667200000000108</v>
      </c>
      <c r="CI21" s="387">
        <f t="shared" si="26"/>
        <v>0</v>
      </c>
      <c r="CJ21" s="387">
        <f t="shared" si="39"/>
        <v>-157.15648000000002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0550-01</v>
      </c>
    </row>
    <row r="22" spans="1:92" ht="15.75" thickBot="1" x14ac:dyDescent="0.3">
      <c r="A22" s="376" t="s">
        <v>161</v>
      </c>
      <c r="B22" s="376" t="s">
        <v>162</v>
      </c>
      <c r="C22" s="376" t="s">
        <v>288</v>
      </c>
      <c r="D22" s="376" t="s">
        <v>261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262</v>
      </c>
      <c r="L22" s="376" t="s">
        <v>185</v>
      </c>
      <c r="M22" s="376" t="s">
        <v>178</v>
      </c>
      <c r="N22" s="376" t="s">
        <v>194</v>
      </c>
      <c r="O22" s="379">
        <v>1</v>
      </c>
      <c r="P22" s="385">
        <v>1</v>
      </c>
      <c r="Q22" s="385">
        <v>1</v>
      </c>
      <c r="R22" s="380">
        <v>80</v>
      </c>
      <c r="S22" s="385">
        <v>1</v>
      </c>
      <c r="T22" s="380">
        <v>21412.81</v>
      </c>
      <c r="U22" s="380">
        <v>0</v>
      </c>
      <c r="V22" s="380">
        <v>14295.24</v>
      </c>
      <c r="W22" s="380">
        <v>29307.200000000001</v>
      </c>
      <c r="X22" s="380">
        <v>17987.64</v>
      </c>
      <c r="Y22" s="380">
        <v>29307.200000000001</v>
      </c>
      <c r="Z22" s="380">
        <v>17835.25</v>
      </c>
      <c r="AA22" s="376" t="s">
        <v>289</v>
      </c>
      <c r="AB22" s="376" t="s">
        <v>290</v>
      </c>
      <c r="AC22" s="376" t="s">
        <v>291</v>
      </c>
      <c r="AD22" s="376" t="s">
        <v>187</v>
      </c>
      <c r="AE22" s="376" t="s">
        <v>262</v>
      </c>
      <c r="AF22" s="376" t="s">
        <v>266</v>
      </c>
      <c r="AG22" s="376" t="s">
        <v>185</v>
      </c>
      <c r="AH22" s="381">
        <v>14.09</v>
      </c>
      <c r="AI22" s="381">
        <v>1159.9000000000001</v>
      </c>
      <c r="AJ22" s="376" t="s">
        <v>186</v>
      </c>
      <c r="AK22" s="376" t="s">
        <v>187</v>
      </c>
      <c r="AL22" s="376" t="s">
        <v>173</v>
      </c>
      <c r="AM22" s="376" t="s">
        <v>188</v>
      </c>
      <c r="AN22" s="376" t="s">
        <v>68</v>
      </c>
      <c r="AO22" s="379">
        <v>80</v>
      </c>
      <c r="AP22" s="385">
        <v>1</v>
      </c>
      <c r="AQ22" s="385">
        <v>1</v>
      </c>
      <c r="AR22" s="384" t="s">
        <v>189</v>
      </c>
      <c r="AS22" s="387">
        <f t="shared" si="27"/>
        <v>1</v>
      </c>
      <c r="AT22">
        <f t="shared" si="28"/>
        <v>1</v>
      </c>
      <c r="AU22" s="387">
        <f>IF(AT22=0,"",IF(AND(AT22=1,M22="F",SUMIF(C2:C74,C22,AS2:AS74)&lt;=1),SUMIF(C2:C74,C22,AS2:AS74),IF(AND(AT22=1,M22="F",SUMIF(C2:C74,C22,AS2:AS74)&gt;1),1,"")))</f>
        <v>1</v>
      </c>
      <c r="AV22" s="387" t="str">
        <f>IF(AT22=0,"",IF(AND(AT22=3,M22="F",SUMIF(C2:C74,C22,AS2:AS74)&lt;=1),SUMIF(C2:C74,C22,AS2:AS74),IF(AND(AT22=3,M22="F",SUMIF(C2:C74,C22,AS2:AS74)&gt;1),1,"")))</f>
        <v/>
      </c>
      <c r="AW22" s="387">
        <f>SUMIF(C2:C74,C22,O2:O74)</f>
        <v>1</v>
      </c>
      <c r="AX22" s="387">
        <f>IF(AND(M22="F",AS22&lt;&gt;0),SUMIF(C2:C74,C22,W2:W74),0)</f>
        <v>29307.200000000001</v>
      </c>
      <c r="AY22" s="387">
        <f t="shared" si="29"/>
        <v>29307.200000000001</v>
      </c>
      <c r="AZ22" s="387" t="str">
        <f t="shared" si="30"/>
        <v/>
      </c>
      <c r="BA22" s="387">
        <f t="shared" si="31"/>
        <v>0</v>
      </c>
      <c r="BB22" s="387">
        <f t="shared" si="0"/>
        <v>11650</v>
      </c>
      <c r="BC22" s="387">
        <f t="shared" si="1"/>
        <v>0</v>
      </c>
      <c r="BD22" s="387">
        <f t="shared" si="2"/>
        <v>1817.0463999999999</v>
      </c>
      <c r="BE22" s="387">
        <f t="shared" si="3"/>
        <v>424.95440000000002</v>
      </c>
      <c r="BF22" s="387">
        <f t="shared" si="4"/>
        <v>3499.2796800000001</v>
      </c>
      <c r="BG22" s="387">
        <f t="shared" si="5"/>
        <v>211.304912</v>
      </c>
      <c r="BH22" s="387">
        <f t="shared" si="6"/>
        <v>143.60527999999999</v>
      </c>
      <c r="BI22" s="387">
        <f t="shared" si="7"/>
        <v>162.215352</v>
      </c>
      <c r="BJ22" s="387">
        <f t="shared" si="8"/>
        <v>79.129440000000002</v>
      </c>
      <c r="BK22" s="387">
        <f t="shared" si="9"/>
        <v>0</v>
      </c>
      <c r="BL22" s="387">
        <f t="shared" si="32"/>
        <v>6337.5354639999987</v>
      </c>
      <c r="BM22" s="387">
        <f t="shared" si="33"/>
        <v>0</v>
      </c>
      <c r="BN22" s="387">
        <f t="shared" si="10"/>
        <v>11650</v>
      </c>
      <c r="BO22" s="387">
        <f t="shared" si="11"/>
        <v>0</v>
      </c>
      <c r="BP22" s="387">
        <f t="shared" si="12"/>
        <v>1817.0463999999999</v>
      </c>
      <c r="BQ22" s="387">
        <f t="shared" si="13"/>
        <v>424.95440000000002</v>
      </c>
      <c r="BR22" s="387">
        <f t="shared" si="14"/>
        <v>3499.2796800000001</v>
      </c>
      <c r="BS22" s="387">
        <f t="shared" si="15"/>
        <v>211.304912</v>
      </c>
      <c r="BT22" s="387">
        <f t="shared" si="16"/>
        <v>0</v>
      </c>
      <c r="BU22" s="387">
        <f t="shared" si="17"/>
        <v>162.215352</v>
      </c>
      <c r="BV22" s="387">
        <f t="shared" si="18"/>
        <v>70.337279999999993</v>
      </c>
      <c r="BW22" s="387">
        <f t="shared" si="19"/>
        <v>0</v>
      </c>
      <c r="BX22" s="387">
        <f t="shared" si="34"/>
        <v>6185.1380239999989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-143.60527999999999</v>
      </c>
      <c r="CG22" s="387">
        <f t="shared" si="24"/>
        <v>0</v>
      </c>
      <c r="CH22" s="387">
        <f t="shared" si="25"/>
        <v>-8.7921600000000097</v>
      </c>
      <c r="CI22" s="387">
        <f t="shared" si="26"/>
        <v>0</v>
      </c>
      <c r="CJ22" s="387">
        <f t="shared" si="39"/>
        <v>-152.39744000000002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0550-01</v>
      </c>
    </row>
    <row r="23" spans="1:92" ht="15.75" thickBot="1" x14ac:dyDescent="0.3">
      <c r="A23" s="376" t="s">
        <v>161</v>
      </c>
      <c r="B23" s="376" t="s">
        <v>162</v>
      </c>
      <c r="C23" s="376" t="s">
        <v>292</v>
      </c>
      <c r="D23" s="376" t="s">
        <v>269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270</v>
      </c>
      <c r="L23" s="376" t="s">
        <v>185</v>
      </c>
      <c r="M23" s="376" t="s">
        <v>171</v>
      </c>
      <c r="N23" s="376" t="s">
        <v>194</v>
      </c>
      <c r="O23" s="379">
        <v>0</v>
      </c>
      <c r="P23" s="385">
        <v>1</v>
      </c>
      <c r="Q23" s="385">
        <v>1</v>
      </c>
      <c r="R23" s="380">
        <v>80</v>
      </c>
      <c r="S23" s="385">
        <v>1</v>
      </c>
      <c r="T23" s="380">
        <v>24896.61</v>
      </c>
      <c r="U23" s="380">
        <v>0</v>
      </c>
      <c r="V23" s="380">
        <v>15382.32</v>
      </c>
      <c r="W23" s="380">
        <v>32094.400000000001</v>
      </c>
      <c r="X23" s="380">
        <v>14057.34</v>
      </c>
      <c r="Y23" s="380">
        <v>32094.400000000001</v>
      </c>
      <c r="Z23" s="380">
        <v>13896.87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173</v>
      </c>
      <c r="AM23" s="378"/>
      <c r="AN23" s="378"/>
      <c r="AO23" s="379">
        <v>0</v>
      </c>
      <c r="AP23" s="385">
        <v>0</v>
      </c>
      <c r="AQ23" s="385">
        <v>0</v>
      </c>
      <c r="AR23" s="383"/>
      <c r="AS23" s="387">
        <f t="shared" si="27"/>
        <v>0</v>
      </c>
      <c r="AT23">
        <f t="shared" si="28"/>
        <v>0</v>
      </c>
      <c r="AU23" s="387" t="str">
        <f>IF(AT23=0,"",IF(AND(AT23=1,M23="F",SUMIF(C2:C74,C23,AS2:AS74)&lt;=1),SUMIF(C2:C74,C23,AS2:AS74),IF(AND(AT23=1,M23="F",SUMIF(C2:C74,C23,AS2:AS74)&gt;1),1,"")))</f>
        <v/>
      </c>
      <c r="AV23" s="387" t="str">
        <f>IF(AT23=0,"",IF(AND(AT23=3,M23="F",SUMIF(C2:C74,C23,AS2:AS74)&lt;=1),SUMIF(C2:C74,C23,AS2:AS74),IF(AND(AT23=3,M23="F",SUMIF(C2:C74,C23,AS2:AS74)&gt;1),1,"")))</f>
        <v/>
      </c>
      <c r="AW23" s="387">
        <f>SUMIF(C2:C74,C23,O2:O74)</f>
        <v>0</v>
      </c>
      <c r="AX23" s="387">
        <f>IF(AND(M23="F",AS23&lt;&gt;0),SUMIF(C2:C74,C23,W2:W74),0)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0550-01</v>
      </c>
    </row>
    <row r="24" spans="1:92" ht="15.75" thickBot="1" x14ac:dyDescent="0.3">
      <c r="A24" s="376" t="s">
        <v>161</v>
      </c>
      <c r="B24" s="376" t="s">
        <v>162</v>
      </c>
      <c r="C24" s="376" t="s">
        <v>293</v>
      </c>
      <c r="D24" s="376" t="s">
        <v>261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262</v>
      </c>
      <c r="L24" s="376" t="s">
        <v>185</v>
      </c>
      <c r="M24" s="376" t="s">
        <v>178</v>
      </c>
      <c r="N24" s="376" t="s">
        <v>194</v>
      </c>
      <c r="O24" s="379">
        <v>1</v>
      </c>
      <c r="P24" s="385">
        <v>1</v>
      </c>
      <c r="Q24" s="385">
        <v>1</v>
      </c>
      <c r="R24" s="380">
        <v>80</v>
      </c>
      <c r="S24" s="385">
        <v>1</v>
      </c>
      <c r="T24" s="380">
        <v>21066.67</v>
      </c>
      <c r="U24" s="380">
        <v>0</v>
      </c>
      <c r="V24" s="380">
        <v>13542</v>
      </c>
      <c r="W24" s="380">
        <v>27996.799999999999</v>
      </c>
      <c r="X24" s="380">
        <v>17704.28</v>
      </c>
      <c r="Y24" s="380">
        <v>27996.799999999999</v>
      </c>
      <c r="Z24" s="380">
        <v>17558.7</v>
      </c>
      <c r="AA24" s="376" t="s">
        <v>294</v>
      </c>
      <c r="AB24" s="376" t="s">
        <v>295</v>
      </c>
      <c r="AC24" s="376" t="s">
        <v>296</v>
      </c>
      <c r="AD24" s="376" t="s">
        <v>297</v>
      </c>
      <c r="AE24" s="376" t="s">
        <v>262</v>
      </c>
      <c r="AF24" s="376" t="s">
        <v>266</v>
      </c>
      <c r="AG24" s="376" t="s">
        <v>185</v>
      </c>
      <c r="AH24" s="381">
        <v>13.46</v>
      </c>
      <c r="AI24" s="381">
        <v>694.6</v>
      </c>
      <c r="AJ24" s="376" t="s">
        <v>186</v>
      </c>
      <c r="AK24" s="376" t="s">
        <v>187</v>
      </c>
      <c r="AL24" s="376" t="s">
        <v>173</v>
      </c>
      <c r="AM24" s="376" t="s">
        <v>188</v>
      </c>
      <c r="AN24" s="376" t="s">
        <v>68</v>
      </c>
      <c r="AO24" s="379">
        <v>80</v>
      </c>
      <c r="AP24" s="385">
        <v>1</v>
      </c>
      <c r="AQ24" s="385">
        <v>1</v>
      </c>
      <c r="AR24" s="384" t="s">
        <v>189</v>
      </c>
      <c r="AS24" s="387">
        <f t="shared" si="27"/>
        <v>1</v>
      </c>
      <c r="AT24">
        <f t="shared" si="28"/>
        <v>1</v>
      </c>
      <c r="AU24" s="387">
        <f>IF(AT24=0,"",IF(AND(AT24=1,M24="F",SUMIF(C2:C74,C24,AS2:AS74)&lt;=1),SUMIF(C2:C74,C24,AS2:AS74),IF(AND(AT24=1,M24="F",SUMIF(C2:C74,C24,AS2:AS74)&gt;1),1,"")))</f>
        <v>1</v>
      </c>
      <c r="AV24" s="387" t="str">
        <f>IF(AT24=0,"",IF(AND(AT24=3,M24="F",SUMIF(C2:C74,C24,AS2:AS74)&lt;=1),SUMIF(C2:C74,C24,AS2:AS74),IF(AND(AT24=3,M24="F",SUMIF(C2:C74,C24,AS2:AS74)&gt;1),1,"")))</f>
        <v/>
      </c>
      <c r="AW24" s="387">
        <f>SUMIF(C2:C74,C24,O2:O74)</f>
        <v>1</v>
      </c>
      <c r="AX24" s="387">
        <f>IF(AND(M24="F",AS24&lt;&gt;0),SUMIF(C2:C74,C24,W2:W74),0)</f>
        <v>27996.799999999999</v>
      </c>
      <c r="AY24" s="387">
        <f t="shared" si="29"/>
        <v>27996.799999999999</v>
      </c>
      <c r="AZ24" s="387" t="str">
        <f t="shared" si="30"/>
        <v/>
      </c>
      <c r="BA24" s="387">
        <f t="shared" si="31"/>
        <v>0</v>
      </c>
      <c r="BB24" s="387">
        <f t="shared" si="0"/>
        <v>11650</v>
      </c>
      <c r="BC24" s="387">
        <f t="shared" si="1"/>
        <v>0</v>
      </c>
      <c r="BD24" s="387">
        <f t="shared" si="2"/>
        <v>1735.8016</v>
      </c>
      <c r="BE24" s="387">
        <f t="shared" si="3"/>
        <v>405.95359999999999</v>
      </c>
      <c r="BF24" s="387">
        <f t="shared" si="4"/>
        <v>3342.81792</v>
      </c>
      <c r="BG24" s="387">
        <f t="shared" si="5"/>
        <v>201.85692800000001</v>
      </c>
      <c r="BH24" s="387">
        <f t="shared" si="6"/>
        <v>137.18431999999999</v>
      </c>
      <c r="BI24" s="387">
        <f t="shared" si="7"/>
        <v>154.962288</v>
      </c>
      <c r="BJ24" s="387">
        <f t="shared" si="8"/>
        <v>75.591360000000009</v>
      </c>
      <c r="BK24" s="387">
        <f t="shared" si="9"/>
        <v>0</v>
      </c>
      <c r="BL24" s="387">
        <f t="shared" si="32"/>
        <v>6054.1680160000005</v>
      </c>
      <c r="BM24" s="387">
        <f t="shared" si="33"/>
        <v>0</v>
      </c>
      <c r="BN24" s="387">
        <f t="shared" si="10"/>
        <v>11650</v>
      </c>
      <c r="BO24" s="387">
        <f t="shared" si="11"/>
        <v>0</v>
      </c>
      <c r="BP24" s="387">
        <f t="shared" si="12"/>
        <v>1735.8016</v>
      </c>
      <c r="BQ24" s="387">
        <f t="shared" si="13"/>
        <v>405.95359999999999</v>
      </c>
      <c r="BR24" s="387">
        <f t="shared" si="14"/>
        <v>3342.81792</v>
      </c>
      <c r="BS24" s="387">
        <f t="shared" si="15"/>
        <v>201.85692800000001</v>
      </c>
      <c r="BT24" s="387">
        <f t="shared" si="16"/>
        <v>0</v>
      </c>
      <c r="BU24" s="387">
        <f t="shared" si="17"/>
        <v>154.962288</v>
      </c>
      <c r="BV24" s="387">
        <f t="shared" si="18"/>
        <v>67.192319999999995</v>
      </c>
      <c r="BW24" s="387">
        <f t="shared" si="19"/>
        <v>0</v>
      </c>
      <c r="BX24" s="387">
        <f t="shared" si="34"/>
        <v>5908.584656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-137.18431999999999</v>
      </c>
      <c r="CG24" s="387">
        <f t="shared" si="24"/>
        <v>0</v>
      </c>
      <c r="CH24" s="387">
        <f t="shared" si="25"/>
        <v>-8.3990400000000101</v>
      </c>
      <c r="CI24" s="387">
        <f t="shared" si="26"/>
        <v>0</v>
      </c>
      <c r="CJ24" s="387">
        <f t="shared" si="39"/>
        <v>-145.58336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0550-01</v>
      </c>
    </row>
    <row r="25" spans="1:92" ht="15.75" thickBot="1" x14ac:dyDescent="0.3">
      <c r="A25" s="376" t="s">
        <v>161</v>
      </c>
      <c r="B25" s="376" t="s">
        <v>162</v>
      </c>
      <c r="C25" s="376" t="s">
        <v>298</v>
      </c>
      <c r="D25" s="376" t="s">
        <v>239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240</v>
      </c>
      <c r="L25" s="376" t="s">
        <v>234</v>
      </c>
      <c r="M25" s="376" t="s">
        <v>178</v>
      </c>
      <c r="N25" s="376" t="s">
        <v>194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36286.410000000003</v>
      </c>
      <c r="U25" s="380">
        <v>0</v>
      </c>
      <c r="V25" s="380">
        <v>19201.400000000001</v>
      </c>
      <c r="W25" s="380">
        <v>38667.199999999997</v>
      </c>
      <c r="X25" s="380">
        <v>20011.75</v>
      </c>
      <c r="Y25" s="380">
        <v>38667.199999999997</v>
      </c>
      <c r="Z25" s="380">
        <v>19810.689999999999</v>
      </c>
      <c r="AA25" s="376" t="s">
        <v>299</v>
      </c>
      <c r="AB25" s="376" t="s">
        <v>300</v>
      </c>
      <c r="AC25" s="376" t="s">
        <v>301</v>
      </c>
      <c r="AD25" s="376" t="s">
        <v>198</v>
      </c>
      <c r="AE25" s="376" t="s">
        <v>240</v>
      </c>
      <c r="AF25" s="376" t="s">
        <v>245</v>
      </c>
      <c r="AG25" s="376" t="s">
        <v>185</v>
      </c>
      <c r="AH25" s="381">
        <v>18.59</v>
      </c>
      <c r="AI25" s="381">
        <v>16800.900000000001</v>
      </c>
      <c r="AJ25" s="376" t="s">
        <v>186</v>
      </c>
      <c r="AK25" s="376" t="s">
        <v>187</v>
      </c>
      <c r="AL25" s="376" t="s">
        <v>173</v>
      </c>
      <c r="AM25" s="376" t="s">
        <v>188</v>
      </c>
      <c r="AN25" s="376" t="s">
        <v>68</v>
      </c>
      <c r="AO25" s="379">
        <v>80</v>
      </c>
      <c r="AP25" s="385">
        <v>1</v>
      </c>
      <c r="AQ25" s="385">
        <v>1</v>
      </c>
      <c r="AR25" s="384" t="s">
        <v>189</v>
      </c>
      <c r="AS25" s="387">
        <f t="shared" si="27"/>
        <v>1</v>
      </c>
      <c r="AT25">
        <f t="shared" si="28"/>
        <v>1</v>
      </c>
      <c r="AU25" s="387">
        <f>IF(AT25=0,"",IF(AND(AT25=1,M25="F",SUMIF(C2:C74,C25,AS2:AS74)&lt;=1),SUMIF(C2:C74,C25,AS2:AS74),IF(AND(AT25=1,M25="F",SUMIF(C2:C74,C25,AS2:AS74)&gt;1),1,"")))</f>
        <v>1</v>
      </c>
      <c r="AV25" s="387" t="str">
        <f>IF(AT25=0,"",IF(AND(AT25=3,M25="F",SUMIF(C2:C74,C25,AS2:AS74)&lt;=1),SUMIF(C2:C74,C25,AS2:AS74),IF(AND(AT25=3,M25="F",SUMIF(C2:C74,C25,AS2:AS74)&gt;1),1,"")))</f>
        <v/>
      </c>
      <c r="AW25" s="387">
        <f>SUMIF(C2:C74,C25,O2:O74)</f>
        <v>1</v>
      </c>
      <c r="AX25" s="387">
        <f>IF(AND(M25="F",AS25&lt;&gt;0),SUMIF(C2:C74,C25,W2:W74),0)</f>
        <v>38667.199999999997</v>
      </c>
      <c r="AY25" s="387">
        <f t="shared" si="29"/>
        <v>38667.199999999997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2397.3663999999999</v>
      </c>
      <c r="BE25" s="387">
        <f t="shared" si="3"/>
        <v>560.67439999999999</v>
      </c>
      <c r="BF25" s="387">
        <f t="shared" si="4"/>
        <v>4616.8636799999995</v>
      </c>
      <c r="BG25" s="387">
        <f t="shared" si="5"/>
        <v>278.79051199999998</v>
      </c>
      <c r="BH25" s="387">
        <f t="shared" si="6"/>
        <v>189.46927999999997</v>
      </c>
      <c r="BI25" s="387">
        <f t="shared" si="7"/>
        <v>214.02295199999998</v>
      </c>
      <c r="BJ25" s="387">
        <f t="shared" si="8"/>
        <v>104.40143999999999</v>
      </c>
      <c r="BK25" s="387">
        <f t="shared" si="9"/>
        <v>0</v>
      </c>
      <c r="BL25" s="387">
        <f t="shared" si="32"/>
        <v>8361.588663999999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2397.3663999999999</v>
      </c>
      <c r="BQ25" s="387">
        <f t="shared" si="13"/>
        <v>560.67439999999999</v>
      </c>
      <c r="BR25" s="387">
        <f t="shared" si="14"/>
        <v>4616.8636799999995</v>
      </c>
      <c r="BS25" s="387">
        <f t="shared" si="15"/>
        <v>278.79051199999998</v>
      </c>
      <c r="BT25" s="387">
        <f t="shared" si="16"/>
        <v>0</v>
      </c>
      <c r="BU25" s="387">
        <f t="shared" si="17"/>
        <v>214.02295199999998</v>
      </c>
      <c r="BV25" s="387">
        <f t="shared" si="18"/>
        <v>92.801279999999991</v>
      </c>
      <c r="BW25" s="387">
        <f t="shared" si="19"/>
        <v>0</v>
      </c>
      <c r="BX25" s="387">
        <f t="shared" si="34"/>
        <v>8160.5192239999988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-189.46927999999997</v>
      </c>
      <c r="CG25" s="387">
        <f t="shared" si="24"/>
        <v>0</v>
      </c>
      <c r="CH25" s="387">
        <f t="shared" si="25"/>
        <v>-11.600160000000013</v>
      </c>
      <c r="CI25" s="387">
        <f t="shared" si="26"/>
        <v>0</v>
      </c>
      <c r="CJ25" s="387">
        <f t="shared" si="39"/>
        <v>-201.06943999999999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0550-01</v>
      </c>
    </row>
    <row r="26" spans="1:92" ht="15.75" thickBot="1" x14ac:dyDescent="0.3">
      <c r="A26" s="376" t="s">
        <v>161</v>
      </c>
      <c r="B26" s="376" t="s">
        <v>162</v>
      </c>
      <c r="C26" s="376" t="s">
        <v>302</v>
      </c>
      <c r="D26" s="376" t="s">
        <v>269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270</v>
      </c>
      <c r="L26" s="376" t="s">
        <v>185</v>
      </c>
      <c r="M26" s="376" t="s">
        <v>178</v>
      </c>
      <c r="N26" s="376" t="s">
        <v>194</v>
      </c>
      <c r="O26" s="379">
        <v>1</v>
      </c>
      <c r="P26" s="385">
        <v>1</v>
      </c>
      <c r="Q26" s="385">
        <v>1</v>
      </c>
      <c r="R26" s="380">
        <v>80</v>
      </c>
      <c r="S26" s="385">
        <v>1</v>
      </c>
      <c r="T26" s="380">
        <v>37374.42</v>
      </c>
      <c r="U26" s="380">
        <v>0</v>
      </c>
      <c r="V26" s="380">
        <v>19416.669999999998</v>
      </c>
      <c r="W26" s="380">
        <v>38584</v>
      </c>
      <c r="X26" s="380">
        <v>19993.75</v>
      </c>
      <c r="Y26" s="380">
        <v>38584</v>
      </c>
      <c r="Z26" s="380">
        <v>19793.12</v>
      </c>
      <c r="AA26" s="376" t="s">
        <v>303</v>
      </c>
      <c r="AB26" s="376" t="s">
        <v>304</v>
      </c>
      <c r="AC26" s="376" t="s">
        <v>305</v>
      </c>
      <c r="AD26" s="376" t="s">
        <v>306</v>
      </c>
      <c r="AE26" s="376" t="s">
        <v>270</v>
      </c>
      <c r="AF26" s="376" t="s">
        <v>266</v>
      </c>
      <c r="AG26" s="376" t="s">
        <v>185</v>
      </c>
      <c r="AH26" s="381">
        <v>18.55</v>
      </c>
      <c r="AI26" s="381">
        <v>42160.9</v>
      </c>
      <c r="AJ26" s="376" t="s">
        <v>186</v>
      </c>
      <c r="AK26" s="376" t="s">
        <v>187</v>
      </c>
      <c r="AL26" s="376" t="s">
        <v>173</v>
      </c>
      <c r="AM26" s="376" t="s">
        <v>188</v>
      </c>
      <c r="AN26" s="376" t="s">
        <v>68</v>
      </c>
      <c r="AO26" s="379">
        <v>80</v>
      </c>
      <c r="AP26" s="385">
        <v>1</v>
      </c>
      <c r="AQ26" s="385">
        <v>1</v>
      </c>
      <c r="AR26" s="384" t="s">
        <v>189</v>
      </c>
      <c r="AS26" s="387">
        <f t="shared" si="27"/>
        <v>1</v>
      </c>
      <c r="AT26">
        <f t="shared" si="28"/>
        <v>1</v>
      </c>
      <c r="AU26" s="387">
        <f>IF(AT26=0,"",IF(AND(AT26=1,M26="F",SUMIF(C2:C74,C26,AS2:AS74)&lt;=1),SUMIF(C2:C74,C26,AS2:AS74),IF(AND(AT26=1,M26="F",SUMIF(C2:C74,C26,AS2:AS74)&gt;1),1,"")))</f>
        <v>1</v>
      </c>
      <c r="AV26" s="387" t="str">
        <f>IF(AT26=0,"",IF(AND(AT26=3,M26="F",SUMIF(C2:C74,C26,AS2:AS74)&lt;=1),SUMIF(C2:C74,C26,AS2:AS74),IF(AND(AT26=3,M26="F",SUMIF(C2:C74,C26,AS2:AS74)&gt;1),1,"")))</f>
        <v/>
      </c>
      <c r="AW26" s="387">
        <f>SUMIF(C2:C74,C26,O2:O74)</f>
        <v>1</v>
      </c>
      <c r="AX26" s="387">
        <f>IF(AND(M26="F",AS26&lt;&gt;0),SUMIF(C2:C74,C26,W2:W74),0)</f>
        <v>38584</v>
      </c>
      <c r="AY26" s="387">
        <f t="shared" si="29"/>
        <v>38584</v>
      </c>
      <c r="AZ26" s="387" t="str">
        <f t="shared" si="30"/>
        <v/>
      </c>
      <c r="BA26" s="387">
        <f t="shared" si="31"/>
        <v>0</v>
      </c>
      <c r="BB26" s="387">
        <f t="shared" si="0"/>
        <v>11650</v>
      </c>
      <c r="BC26" s="387">
        <f t="shared" si="1"/>
        <v>0</v>
      </c>
      <c r="BD26" s="387">
        <f t="shared" si="2"/>
        <v>2392.2080000000001</v>
      </c>
      <c r="BE26" s="387">
        <f t="shared" si="3"/>
        <v>559.46800000000007</v>
      </c>
      <c r="BF26" s="387">
        <f t="shared" si="4"/>
        <v>4606.9296000000004</v>
      </c>
      <c r="BG26" s="387">
        <f t="shared" si="5"/>
        <v>278.19064000000003</v>
      </c>
      <c r="BH26" s="387">
        <f t="shared" si="6"/>
        <v>189.0616</v>
      </c>
      <c r="BI26" s="387">
        <f t="shared" si="7"/>
        <v>213.56244000000001</v>
      </c>
      <c r="BJ26" s="387">
        <f t="shared" si="8"/>
        <v>104.1768</v>
      </c>
      <c r="BK26" s="387">
        <f t="shared" si="9"/>
        <v>0</v>
      </c>
      <c r="BL26" s="387">
        <f t="shared" si="32"/>
        <v>8343.5970799999996</v>
      </c>
      <c r="BM26" s="387">
        <f t="shared" si="33"/>
        <v>0</v>
      </c>
      <c r="BN26" s="387">
        <f t="shared" si="10"/>
        <v>11650</v>
      </c>
      <c r="BO26" s="387">
        <f t="shared" si="11"/>
        <v>0</v>
      </c>
      <c r="BP26" s="387">
        <f t="shared" si="12"/>
        <v>2392.2080000000001</v>
      </c>
      <c r="BQ26" s="387">
        <f t="shared" si="13"/>
        <v>559.46800000000007</v>
      </c>
      <c r="BR26" s="387">
        <f t="shared" si="14"/>
        <v>4606.9296000000004</v>
      </c>
      <c r="BS26" s="387">
        <f t="shared" si="15"/>
        <v>278.19064000000003</v>
      </c>
      <c r="BT26" s="387">
        <f t="shared" si="16"/>
        <v>0</v>
      </c>
      <c r="BU26" s="387">
        <f t="shared" si="17"/>
        <v>213.56244000000001</v>
      </c>
      <c r="BV26" s="387">
        <f t="shared" si="18"/>
        <v>92.601599999999991</v>
      </c>
      <c r="BW26" s="387">
        <f t="shared" si="19"/>
        <v>0</v>
      </c>
      <c r="BX26" s="387">
        <f t="shared" si="34"/>
        <v>8142.9602800000002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-189.0616</v>
      </c>
      <c r="CG26" s="387">
        <f t="shared" si="24"/>
        <v>0</v>
      </c>
      <c r="CH26" s="387">
        <f t="shared" si="25"/>
        <v>-11.575200000000013</v>
      </c>
      <c r="CI26" s="387">
        <f t="shared" si="26"/>
        <v>0</v>
      </c>
      <c r="CJ26" s="387">
        <f t="shared" si="39"/>
        <v>-200.63680000000002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0550-01</v>
      </c>
    </row>
    <row r="27" spans="1:92" ht="15.75" thickBot="1" x14ac:dyDescent="0.3">
      <c r="A27" s="376" t="s">
        <v>161</v>
      </c>
      <c r="B27" s="376" t="s">
        <v>162</v>
      </c>
      <c r="C27" s="376" t="s">
        <v>307</v>
      </c>
      <c r="D27" s="376" t="s">
        <v>269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270</v>
      </c>
      <c r="L27" s="376" t="s">
        <v>185</v>
      </c>
      <c r="M27" s="376" t="s">
        <v>178</v>
      </c>
      <c r="N27" s="376" t="s">
        <v>194</v>
      </c>
      <c r="O27" s="379">
        <v>1</v>
      </c>
      <c r="P27" s="385">
        <v>1</v>
      </c>
      <c r="Q27" s="385">
        <v>1</v>
      </c>
      <c r="R27" s="380">
        <v>80</v>
      </c>
      <c r="S27" s="385">
        <v>1</v>
      </c>
      <c r="T27" s="380">
        <v>29523.31</v>
      </c>
      <c r="U27" s="380">
        <v>0</v>
      </c>
      <c r="V27" s="380">
        <v>17842.77</v>
      </c>
      <c r="W27" s="380">
        <v>30617.599999999999</v>
      </c>
      <c r="X27" s="380">
        <v>18271.03</v>
      </c>
      <c r="Y27" s="380">
        <v>30617.599999999999</v>
      </c>
      <c r="Z27" s="380">
        <v>18111.830000000002</v>
      </c>
      <c r="AA27" s="376" t="s">
        <v>308</v>
      </c>
      <c r="AB27" s="376" t="s">
        <v>309</v>
      </c>
      <c r="AC27" s="376" t="s">
        <v>310</v>
      </c>
      <c r="AD27" s="376" t="s">
        <v>311</v>
      </c>
      <c r="AE27" s="376" t="s">
        <v>270</v>
      </c>
      <c r="AF27" s="376" t="s">
        <v>266</v>
      </c>
      <c r="AG27" s="376" t="s">
        <v>185</v>
      </c>
      <c r="AH27" s="381">
        <v>14.72</v>
      </c>
      <c r="AI27" s="379">
        <v>8921</v>
      </c>
      <c r="AJ27" s="376" t="s">
        <v>186</v>
      </c>
      <c r="AK27" s="376" t="s">
        <v>187</v>
      </c>
      <c r="AL27" s="376" t="s">
        <v>173</v>
      </c>
      <c r="AM27" s="376" t="s">
        <v>188</v>
      </c>
      <c r="AN27" s="376" t="s">
        <v>68</v>
      </c>
      <c r="AO27" s="379">
        <v>80</v>
      </c>
      <c r="AP27" s="385">
        <v>1</v>
      </c>
      <c r="AQ27" s="385">
        <v>1</v>
      </c>
      <c r="AR27" s="384" t="s">
        <v>189</v>
      </c>
      <c r="AS27" s="387">
        <f t="shared" si="27"/>
        <v>1</v>
      </c>
      <c r="AT27">
        <f t="shared" si="28"/>
        <v>1</v>
      </c>
      <c r="AU27" s="387">
        <f>IF(AT27=0,"",IF(AND(AT27=1,M27="F",SUMIF(C2:C74,C27,AS2:AS74)&lt;=1),SUMIF(C2:C74,C27,AS2:AS74),IF(AND(AT27=1,M27="F",SUMIF(C2:C74,C27,AS2:AS74)&gt;1),1,"")))</f>
        <v>1</v>
      </c>
      <c r="AV27" s="387" t="str">
        <f>IF(AT27=0,"",IF(AND(AT27=3,M27="F",SUMIF(C2:C74,C27,AS2:AS74)&lt;=1),SUMIF(C2:C74,C27,AS2:AS74),IF(AND(AT27=3,M27="F",SUMIF(C2:C74,C27,AS2:AS74)&gt;1),1,"")))</f>
        <v/>
      </c>
      <c r="AW27" s="387">
        <f>SUMIF(C2:C74,C27,O2:O74)</f>
        <v>1</v>
      </c>
      <c r="AX27" s="387">
        <f>IF(AND(M27="F",AS27&lt;&gt;0),SUMIF(C2:C74,C27,W2:W74),0)</f>
        <v>30617.599999999999</v>
      </c>
      <c r="AY27" s="387">
        <f t="shared" si="29"/>
        <v>30617.599999999999</v>
      </c>
      <c r="AZ27" s="387" t="str">
        <f t="shared" si="30"/>
        <v/>
      </c>
      <c r="BA27" s="387">
        <f t="shared" si="31"/>
        <v>0</v>
      </c>
      <c r="BB27" s="387">
        <f t="shared" si="0"/>
        <v>11650</v>
      </c>
      <c r="BC27" s="387">
        <f t="shared" si="1"/>
        <v>0</v>
      </c>
      <c r="BD27" s="387">
        <f t="shared" si="2"/>
        <v>1898.2911999999999</v>
      </c>
      <c r="BE27" s="387">
        <f t="shared" si="3"/>
        <v>443.95519999999999</v>
      </c>
      <c r="BF27" s="387">
        <f t="shared" si="4"/>
        <v>3655.7414400000002</v>
      </c>
      <c r="BG27" s="387">
        <f t="shared" si="5"/>
        <v>220.75289599999999</v>
      </c>
      <c r="BH27" s="387">
        <f t="shared" si="6"/>
        <v>150.02624</v>
      </c>
      <c r="BI27" s="387">
        <f t="shared" si="7"/>
        <v>169.46841599999999</v>
      </c>
      <c r="BJ27" s="387">
        <f t="shared" si="8"/>
        <v>82.667519999999996</v>
      </c>
      <c r="BK27" s="387">
        <f t="shared" si="9"/>
        <v>0</v>
      </c>
      <c r="BL27" s="387">
        <f t="shared" si="32"/>
        <v>6620.9029119999996</v>
      </c>
      <c r="BM27" s="387">
        <f t="shared" si="33"/>
        <v>0</v>
      </c>
      <c r="BN27" s="387">
        <f t="shared" si="10"/>
        <v>11650</v>
      </c>
      <c r="BO27" s="387">
        <f t="shared" si="11"/>
        <v>0</v>
      </c>
      <c r="BP27" s="387">
        <f t="shared" si="12"/>
        <v>1898.2911999999999</v>
      </c>
      <c r="BQ27" s="387">
        <f t="shared" si="13"/>
        <v>443.95519999999999</v>
      </c>
      <c r="BR27" s="387">
        <f t="shared" si="14"/>
        <v>3655.7414400000002</v>
      </c>
      <c r="BS27" s="387">
        <f t="shared" si="15"/>
        <v>220.75289599999999</v>
      </c>
      <c r="BT27" s="387">
        <f t="shared" si="16"/>
        <v>0</v>
      </c>
      <c r="BU27" s="387">
        <f t="shared" si="17"/>
        <v>169.46841599999999</v>
      </c>
      <c r="BV27" s="387">
        <f t="shared" si="18"/>
        <v>73.48223999999999</v>
      </c>
      <c r="BW27" s="387">
        <f t="shared" si="19"/>
        <v>0</v>
      </c>
      <c r="BX27" s="387">
        <f t="shared" si="34"/>
        <v>6461.6913919999997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-150.02624</v>
      </c>
      <c r="CG27" s="387">
        <f t="shared" si="24"/>
        <v>0</v>
      </c>
      <c r="CH27" s="387">
        <f t="shared" si="25"/>
        <v>-9.1852800000000112</v>
      </c>
      <c r="CI27" s="387">
        <f t="shared" si="26"/>
        <v>0</v>
      </c>
      <c r="CJ27" s="387">
        <f t="shared" si="39"/>
        <v>-159.21152000000001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0550-01</v>
      </c>
    </row>
    <row r="28" spans="1:92" ht="15.75" thickBot="1" x14ac:dyDescent="0.3">
      <c r="A28" s="376" t="s">
        <v>161</v>
      </c>
      <c r="B28" s="376" t="s">
        <v>162</v>
      </c>
      <c r="C28" s="376" t="s">
        <v>312</v>
      </c>
      <c r="D28" s="376" t="s">
        <v>275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276</v>
      </c>
      <c r="L28" s="376" t="s">
        <v>185</v>
      </c>
      <c r="M28" s="376" t="s">
        <v>178</v>
      </c>
      <c r="N28" s="376" t="s">
        <v>194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34627.24</v>
      </c>
      <c r="U28" s="380">
        <v>0</v>
      </c>
      <c r="V28" s="380">
        <v>18971.29</v>
      </c>
      <c r="W28" s="380">
        <v>36067.199999999997</v>
      </c>
      <c r="X28" s="380">
        <v>19449.5</v>
      </c>
      <c r="Y28" s="380">
        <v>36067.199999999997</v>
      </c>
      <c r="Z28" s="380">
        <v>19261.96</v>
      </c>
      <c r="AA28" s="376" t="s">
        <v>313</v>
      </c>
      <c r="AB28" s="376" t="s">
        <v>314</v>
      </c>
      <c r="AC28" s="376" t="s">
        <v>315</v>
      </c>
      <c r="AD28" s="376" t="s">
        <v>234</v>
      </c>
      <c r="AE28" s="376" t="s">
        <v>276</v>
      </c>
      <c r="AF28" s="376" t="s">
        <v>266</v>
      </c>
      <c r="AG28" s="376" t="s">
        <v>185</v>
      </c>
      <c r="AH28" s="381">
        <v>17.34</v>
      </c>
      <c r="AI28" s="381">
        <v>21430.5</v>
      </c>
      <c r="AJ28" s="376" t="s">
        <v>186</v>
      </c>
      <c r="AK28" s="376" t="s">
        <v>187</v>
      </c>
      <c r="AL28" s="376" t="s">
        <v>173</v>
      </c>
      <c r="AM28" s="376" t="s">
        <v>188</v>
      </c>
      <c r="AN28" s="376" t="s">
        <v>68</v>
      </c>
      <c r="AO28" s="379">
        <v>80</v>
      </c>
      <c r="AP28" s="385">
        <v>1</v>
      </c>
      <c r="AQ28" s="385">
        <v>1</v>
      </c>
      <c r="AR28" s="384" t="s">
        <v>189</v>
      </c>
      <c r="AS28" s="387">
        <f t="shared" si="27"/>
        <v>1</v>
      </c>
      <c r="AT28">
        <f t="shared" si="28"/>
        <v>1</v>
      </c>
      <c r="AU28" s="387">
        <f>IF(AT28=0,"",IF(AND(AT28=1,M28="F",SUMIF(C2:C74,C28,AS2:AS74)&lt;=1),SUMIF(C2:C74,C28,AS2:AS74),IF(AND(AT28=1,M28="F",SUMIF(C2:C74,C28,AS2:AS74)&gt;1),1,"")))</f>
        <v>1</v>
      </c>
      <c r="AV28" s="387" t="str">
        <f>IF(AT28=0,"",IF(AND(AT28=3,M28="F",SUMIF(C2:C74,C28,AS2:AS74)&lt;=1),SUMIF(C2:C74,C28,AS2:AS74),IF(AND(AT28=3,M28="F",SUMIF(C2:C74,C28,AS2:AS74)&gt;1),1,"")))</f>
        <v/>
      </c>
      <c r="AW28" s="387">
        <f>SUMIF(C2:C74,C28,O2:O74)</f>
        <v>1</v>
      </c>
      <c r="AX28" s="387">
        <f>IF(AND(M28="F",AS28&lt;&gt;0),SUMIF(C2:C74,C28,W2:W74),0)</f>
        <v>36067.199999999997</v>
      </c>
      <c r="AY28" s="387">
        <f t="shared" si="29"/>
        <v>36067.199999999997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2236.1663999999996</v>
      </c>
      <c r="BE28" s="387">
        <f t="shared" si="3"/>
        <v>522.97439999999995</v>
      </c>
      <c r="BF28" s="387">
        <f t="shared" si="4"/>
        <v>4306.4236799999999</v>
      </c>
      <c r="BG28" s="387">
        <f t="shared" si="5"/>
        <v>260.044512</v>
      </c>
      <c r="BH28" s="387">
        <f t="shared" si="6"/>
        <v>176.72927999999999</v>
      </c>
      <c r="BI28" s="387">
        <f t="shared" si="7"/>
        <v>199.63195199999998</v>
      </c>
      <c r="BJ28" s="387">
        <f t="shared" si="8"/>
        <v>97.381439999999998</v>
      </c>
      <c r="BK28" s="387">
        <f t="shared" si="9"/>
        <v>0</v>
      </c>
      <c r="BL28" s="387">
        <f t="shared" si="32"/>
        <v>7799.3516639999989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2236.1663999999996</v>
      </c>
      <c r="BQ28" s="387">
        <f t="shared" si="13"/>
        <v>522.97439999999995</v>
      </c>
      <c r="BR28" s="387">
        <f t="shared" si="14"/>
        <v>4306.4236799999999</v>
      </c>
      <c r="BS28" s="387">
        <f t="shared" si="15"/>
        <v>260.044512</v>
      </c>
      <c r="BT28" s="387">
        <f t="shared" si="16"/>
        <v>0</v>
      </c>
      <c r="BU28" s="387">
        <f t="shared" si="17"/>
        <v>199.63195199999998</v>
      </c>
      <c r="BV28" s="387">
        <f t="shared" si="18"/>
        <v>86.561279999999982</v>
      </c>
      <c r="BW28" s="387">
        <f t="shared" si="19"/>
        <v>0</v>
      </c>
      <c r="BX28" s="387">
        <f t="shared" si="34"/>
        <v>7611.8022239999991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-176.72927999999999</v>
      </c>
      <c r="CG28" s="387">
        <f t="shared" si="24"/>
        <v>0</v>
      </c>
      <c r="CH28" s="387">
        <f t="shared" si="25"/>
        <v>-10.820160000000012</v>
      </c>
      <c r="CI28" s="387">
        <f t="shared" si="26"/>
        <v>0</v>
      </c>
      <c r="CJ28" s="387">
        <f t="shared" si="39"/>
        <v>-187.54944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0550-01</v>
      </c>
    </row>
    <row r="29" spans="1:92" ht="15.75" thickBot="1" x14ac:dyDescent="0.3">
      <c r="A29" s="376" t="s">
        <v>161</v>
      </c>
      <c r="B29" s="376" t="s">
        <v>162</v>
      </c>
      <c r="C29" s="376" t="s">
        <v>316</v>
      </c>
      <c r="D29" s="376" t="s">
        <v>191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317</v>
      </c>
      <c r="L29" s="376" t="s">
        <v>287</v>
      </c>
      <c r="M29" s="376" t="s">
        <v>178</v>
      </c>
      <c r="N29" s="376" t="s">
        <v>194</v>
      </c>
      <c r="O29" s="379">
        <v>1</v>
      </c>
      <c r="P29" s="385">
        <v>1</v>
      </c>
      <c r="Q29" s="385">
        <v>1</v>
      </c>
      <c r="R29" s="380">
        <v>80</v>
      </c>
      <c r="S29" s="385">
        <v>1</v>
      </c>
      <c r="T29" s="380">
        <v>60331.26</v>
      </c>
      <c r="U29" s="380">
        <v>0</v>
      </c>
      <c r="V29" s="380">
        <v>24051.96</v>
      </c>
      <c r="W29" s="380">
        <v>64209.599999999999</v>
      </c>
      <c r="X29" s="380">
        <v>25535.29</v>
      </c>
      <c r="Y29" s="380">
        <v>64209.599999999999</v>
      </c>
      <c r="Z29" s="380">
        <v>25201.41</v>
      </c>
      <c r="AA29" s="376" t="s">
        <v>318</v>
      </c>
      <c r="AB29" s="376" t="s">
        <v>319</v>
      </c>
      <c r="AC29" s="376" t="s">
        <v>320</v>
      </c>
      <c r="AD29" s="376" t="s">
        <v>321</v>
      </c>
      <c r="AE29" s="376" t="s">
        <v>317</v>
      </c>
      <c r="AF29" s="376" t="s">
        <v>322</v>
      </c>
      <c r="AG29" s="376" t="s">
        <v>185</v>
      </c>
      <c r="AH29" s="381">
        <v>30.87</v>
      </c>
      <c r="AI29" s="381">
        <v>4076.3</v>
      </c>
      <c r="AJ29" s="376" t="s">
        <v>186</v>
      </c>
      <c r="AK29" s="376" t="s">
        <v>187</v>
      </c>
      <c r="AL29" s="376" t="s">
        <v>173</v>
      </c>
      <c r="AM29" s="376" t="s">
        <v>188</v>
      </c>
      <c r="AN29" s="376" t="s">
        <v>68</v>
      </c>
      <c r="AO29" s="379">
        <v>80</v>
      </c>
      <c r="AP29" s="385">
        <v>1</v>
      </c>
      <c r="AQ29" s="385">
        <v>1</v>
      </c>
      <c r="AR29" s="384" t="s">
        <v>189</v>
      </c>
      <c r="AS29" s="387">
        <f t="shared" si="27"/>
        <v>1</v>
      </c>
      <c r="AT29">
        <f t="shared" si="28"/>
        <v>1</v>
      </c>
      <c r="AU29" s="387">
        <f>IF(AT29=0,"",IF(AND(AT29=1,M29="F",SUMIF(C2:C74,C29,AS2:AS74)&lt;=1),SUMIF(C2:C74,C29,AS2:AS74),IF(AND(AT29=1,M29="F",SUMIF(C2:C74,C29,AS2:AS74)&gt;1),1,"")))</f>
        <v>1</v>
      </c>
      <c r="AV29" s="387" t="str">
        <f>IF(AT29=0,"",IF(AND(AT29=3,M29="F",SUMIF(C2:C74,C29,AS2:AS74)&lt;=1),SUMIF(C2:C74,C29,AS2:AS74),IF(AND(AT29=3,M29="F",SUMIF(C2:C74,C29,AS2:AS74)&gt;1),1,"")))</f>
        <v/>
      </c>
      <c r="AW29" s="387">
        <f>SUMIF(C2:C74,C29,O2:O74)</f>
        <v>1</v>
      </c>
      <c r="AX29" s="387">
        <f>IF(AND(M29="F",AS29&lt;&gt;0),SUMIF(C2:C74,C29,W2:W74),0)</f>
        <v>64209.599999999999</v>
      </c>
      <c r="AY29" s="387">
        <f t="shared" si="29"/>
        <v>64209.599999999999</v>
      </c>
      <c r="AZ29" s="387" t="str">
        <f t="shared" si="30"/>
        <v/>
      </c>
      <c r="BA29" s="387">
        <f t="shared" si="31"/>
        <v>0</v>
      </c>
      <c r="BB29" s="387">
        <f t="shared" si="0"/>
        <v>11650</v>
      </c>
      <c r="BC29" s="387">
        <f t="shared" si="1"/>
        <v>0</v>
      </c>
      <c r="BD29" s="387">
        <f t="shared" si="2"/>
        <v>3980.9951999999998</v>
      </c>
      <c r="BE29" s="387">
        <f t="shared" si="3"/>
        <v>931.03920000000005</v>
      </c>
      <c r="BF29" s="387">
        <f t="shared" si="4"/>
        <v>7666.6262400000005</v>
      </c>
      <c r="BG29" s="387">
        <f t="shared" si="5"/>
        <v>462.95121599999999</v>
      </c>
      <c r="BH29" s="387">
        <f t="shared" si="6"/>
        <v>314.62703999999997</v>
      </c>
      <c r="BI29" s="387">
        <f t="shared" si="7"/>
        <v>355.40013599999997</v>
      </c>
      <c r="BJ29" s="387">
        <f t="shared" si="8"/>
        <v>173.36592000000002</v>
      </c>
      <c r="BK29" s="387">
        <f t="shared" si="9"/>
        <v>0</v>
      </c>
      <c r="BL29" s="387">
        <f t="shared" si="32"/>
        <v>13885.004951999999</v>
      </c>
      <c r="BM29" s="387">
        <f t="shared" si="33"/>
        <v>0</v>
      </c>
      <c r="BN29" s="387">
        <f t="shared" si="10"/>
        <v>11650</v>
      </c>
      <c r="BO29" s="387">
        <f t="shared" si="11"/>
        <v>0</v>
      </c>
      <c r="BP29" s="387">
        <f t="shared" si="12"/>
        <v>3980.9951999999998</v>
      </c>
      <c r="BQ29" s="387">
        <f t="shared" si="13"/>
        <v>931.03920000000005</v>
      </c>
      <c r="BR29" s="387">
        <f t="shared" si="14"/>
        <v>7666.6262400000005</v>
      </c>
      <c r="BS29" s="387">
        <f t="shared" si="15"/>
        <v>462.95121599999999</v>
      </c>
      <c r="BT29" s="387">
        <f t="shared" si="16"/>
        <v>0</v>
      </c>
      <c r="BU29" s="387">
        <f t="shared" si="17"/>
        <v>355.40013599999997</v>
      </c>
      <c r="BV29" s="387">
        <f t="shared" si="18"/>
        <v>154.10303999999999</v>
      </c>
      <c r="BW29" s="387">
        <f t="shared" si="19"/>
        <v>0</v>
      </c>
      <c r="BX29" s="387">
        <f t="shared" si="34"/>
        <v>13551.115032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-314.62703999999997</v>
      </c>
      <c r="CG29" s="387">
        <f t="shared" si="24"/>
        <v>0</v>
      </c>
      <c r="CH29" s="387">
        <f t="shared" si="25"/>
        <v>-19.262880000000024</v>
      </c>
      <c r="CI29" s="387">
        <f t="shared" si="26"/>
        <v>0</v>
      </c>
      <c r="CJ29" s="387">
        <f t="shared" si="39"/>
        <v>-333.88991999999996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0550-01</v>
      </c>
    </row>
    <row r="30" spans="1:92" ht="15.75" thickBot="1" x14ac:dyDescent="0.3">
      <c r="A30" s="376" t="s">
        <v>161</v>
      </c>
      <c r="B30" s="376" t="s">
        <v>162</v>
      </c>
      <c r="C30" s="376" t="s">
        <v>323</v>
      </c>
      <c r="D30" s="376" t="s">
        <v>261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262</v>
      </c>
      <c r="L30" s="376" t="s">
        <v>185</v>
      </c>
      <c r="M30" s="376" t="s">
        <v>178</v>
      </c>
      <c r="N30" s="376" t="s">
        <v>194</v>
      </c>
      <c r="O30" s="379">
        <v>1</v>
      </c>
      <c r="P30" s="385">
        <v>1</v>
      </c>
      <c r="Q30" s="385">
        <v>1</v>
      </c>
      <c r="R30" s="380">
        <v>80</v>
      </c>
      <c r="S30" s="385">
        <v>1</v>
      </c>
      <c r="T30" s="380">
        <v>28000.22</v>
      </c>
      <c r="U30" s="380">
        <v>10.53</v>
      </c>
      <c r="V30" s="380">
        <v>17411.7</v>
      </c>
      <c r="W30" s="380">
        <v>29307.200000000001</v>
      </c>
      <c r="X30" s="380">
        <v>17987.64</v>
      </c>
      <c r="Y30" s="380">
        <v>29307.200000000001</v>
      </c>
      <c r="Z30" s="380">
        <v>17835.25</v>
      </c>
      <c r="AA30" s="376" t="s">
        <v>324</v>
      </c>
      <c r="AB30" s="376" t="s">
        <v>300</v>
      </c>
      <c r="AC30" s="376" t="s">
        <v>325</v>
      </c>
      <c r="AD30" s="376" t="s">
        <v>234</v>
      </c>
      <c r="AE30" s="376" t="s">
        <v>262</v>
      </c>
      <c r="AF30" s="376" t="s">
        <v>266</v>
      </c>
      <c r="AG30" s="376" t="s">
        <v>185</v>
      </c>
      <c r="AH30" s="381">
        <v>14.09</v>
      </c>
      <c r="AI30" s="379">
        <v>5329</v>
      </c>
      <c r="AJ30" s="376" t="s">
        <v>186</v>
      </c>
      <c r="AK30" s="376" t="s">
        <v>187</v>
      </c>
      <c r="AL30" s="376" t="s">
        <v>173</v>
      </c>
      <c r="AM30" s="376" t="s">
        <v>188</v>
      </c>
      <c r="AN30" s="376" t="s">
        <v>68</v>
      </c>
      <c r="AO30" s="379">
        <v>80</v>
      </c>
      <c r="AP30" s="385">
        <v>1</v>
      </c>
      <c r="AQ30" s="385">
        <v>1</v>
      </c>
      <c r="AR30" s="384" t="s">
        <v>189</v>
      </c>
      <c r="AS30" s="387">
        <f t="shared" si="27"/>
        <v>1</v>
      </c>
      <c r="AT30">
        <f t="shared" si="28"/>
        <v>1</v>
      </c>
      <c r="AU30" s="387">
        <f>IF(AT30=0,"",IF(AND(AT30=1,M30="F",SUMIF(C2:C74,C30,AS2:AS74)&lt;=1),SUMIF(C2:C74,C30,AS2:AS74),IF(AND(AT30=1,M30="F",SUMIF(C2:C74,C30,AS2:AS74)&gt;1),1,"")))</f>
        <v>1</v>
      </c>
      <c r="AV30" s="387" t="str">
        <f>IF(AT30=0,"",IF(AND(AT30=3,M30="F",SUMIF(C2:C74,C30,AS2:AS74)&lt;=1),SUMIF(C2:C74,C30,AS2:AS74),IF(AND(AT30=3,M30="F",SUMIF(C2:C74,C30,AS2:AS74)&gt;1),1,"")))</f>
        <v/>
      </c>
      <c r="AW30" s="387">
        <f>SUMIF(C2:C74,C30,O2:O74)</f>
        <v>1</v>
      </c>
      <c r="AX30" s="387">
        <f>IF(AND(M30="F",AS30&lt;&gt;0),SUMIF(C2:C74,C30,W2:W74),0)</f>
        <v>29307.200000000001</v>
      </c>
      <c r="AY30" s="387">
        <f t="shared" si="29"/>
        <v>29307.200000000001</v>
      </c>
      <c r="AZ30" s="387" t="str">
        <f t="shared" si="30"/>
        <v/>
      </c>
      <c r="BA30" s="387">
        <f t="shared" si="31"/>
        <v>0</v>
      </c>
      <c r="BB30" s="387">
        <f t="shared" si="0"/>
        <v>11650</v>
      </c>
      <c r="BC30" s="387">
        <f t="shared" si="1"/>
        <v>0</v>
      </c>
      <c r="BD30" s="387">
        <f t="shared" si="2"/>
        <v>1817.0463999999999</v>
      </c>
      <c r="BE30" s="387">
        <f t="shared" si="3"/>
        <v>424.95440000000002</v>
      </c>
      <c r="BF30" s="387">
        <f t="shared" si="4"/>
        <v>3499.2796800000001</v>
      </c>
      <c r="BG30" s="387">
        <f t="shared" si="5"/>
        <v>211.304912</v>
      </c>
      <c r="BH30" s="387">
        <f t="shared" si="6"/>
        <v>143.60527999999999</v>
      </c>
      <c r="BI30" s="387">
        <f t="shared" si="7"/>
        <v>162.215352</v>
      </c>
      <c r="BJ30" s="387">
        <f t="shared" si="8"/>
        <v>79.129440000000002</v>
      </c>
      <c r="BK30" s="387">
        <f t="shared" si="9"/>
        <v>0</v>
      </c>
      <c r="BL30" s="387">
        <f t="shared" si="32"/>
        <v>6337.5354639999987</v>
      </c>
      <c r="BM30" s="387">
        <f t="shared" si="33"/>
        <v>0</v>
      </c>
      <c r="BN30" s="387">
        <f t="shared" si="10"/>
        <v>11650</v>
      </c>
      <c r="BO30" s="387">
        <f t="shared" si="11"/>
        <v>0</v>
      </c>
      <c r="BP30" s="387">
        <f t="shared" si="12"/>
        <v>1817.0463999999999</v>
      </c>
      <c r="BQ30" s="387">
        <f t="shared" si="13"/>
        <v>424.95440000000002</v>
      </c>
      <c r="BR30" s="387">
        <f t="shared" si="14"/>
        <v>3499.2796800000001</v>
      </c>
      <c r="BS30" s="387">
        <f t="shared" si="15"/>
        <v>211.304912</v>
      </c>
      <c r="BT30" s="387">
        <f t="shared" si="16"/>
        <v>0</v>
      </c>
      <c r="BU30" s="387">
        <f t="shared" si="17"/>
        <v>162.215352</v>
      </c>
      <c r="BV30" s="387">
        <f t="shared" si="18"/>
        <v>70.337279999999993</v>
      </c>
      <c r="BW30" s="387">
        <f t="shared" si="19"/>
        <v>0</v>
      </c>
      <c r="BX30" s="387">
        <f t="shared" si="34"/>
        <v>6185.1380239999989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-143.60527999999999</v>
      </c>
      <c r="CG30" s="387">
        <f t="shared" si="24"/>
        <v>0</v>
      </c>
      <c r="CH30" s="387">
        <f t="shared" si="25"/>
        <v>-8.7921600000000097</v>
      </c>
      <c r="CI30" s="387">
        <f t="shared" si="26"/>
        <v>0</v>
      </c>
      <c r="CJ30" s="387">
        <f t="shared" si="39"/>
        <v>-152.39744000000002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0550-01</v>
      </c>
    </row>
    <row r="31" spans="1:92" ht="15.75" thickBot="1" x14ac:dyDescent="0.3">
      <c r="A31" s="376" t="s">
        <v>161</v>
      </c>
      <c r="B31" s="376" t="s">
        <v>162</v>
      </c>
      <c r="C31" s="376" t="s">
        <v>326</v>
      </c>
      <c r="D31" s="376" t="s">
        <v>253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254</v>
      </c>
      <c r="L31" s="376" t="s">
        <v>177</v>
      </c>
      <c r="M31" s="376" t="s">
        <v>178</v>
      </c>
      <c r="N31" s="376" t="s">
        <v>194</v>
      </c>
      <c r="O31" s="379">
        <v>1</v>
      </c>
      <c r="P31" s="385">
        <v>1</v>
      </c>
      <c r="Q31" s="385">
        <v>1</v>
      </c>
      <c r="R31" s="380">
        <v>80</v>
      </c>
      <c r="S31" s="385">
        <v>1</v>
      </c>
      <c r="T31" s="380">
        <v>47808.06</v>
      </c>
      <c r="U31" s="380">
        <v>0</v>
      </c>
      <c r="V31" s="380">
        <v>21326.53</v>
      </c>
      <c r="W31" s="380">
        <v>50668.800000000003</v>
      </c>
      <c r="X31" s="380">
        <v>22607.09</v>
      </c>
      <c r="Y31" s="380">
        <v>50668.800000000003</v>
      </c>
      <c r="Z31" s="380">
        <v>22343.62</v>
      </c>
      <c r="AA31" s="376" t="s">
        <v>327</v>
      </c>
      <c r="AB31" s="376" t="s">
        <v>328</v>
      </c>
      <c r="AC31" s="376" t="s">
        <v>265</v>
      </c>
      <c r="AD31" s="376" t="s">
        <v>329</v>
      </c>
      <c r="AE31" s="376" t="s">
        <v>254</v>
      </c>
      <c r="AF31" s="376" t="s">
        <v>184</v>
      </c>
      <c r="AG31" s="376" t="s">
        <v>185</v>
      </c>
      <c r="AH31" s="381">
        <v>24.36</v>
      </c>
      <c r="AI31" s="379">
        <v>9169</v>
      </c>
      <c r="AJ31" s="376" t="s">
        <v>186</v>
      </c>
      <c r="AK31" s="376" t="s">
        <v>187</v>
      </c>
      <c r="AL31" s="376" t="s">
        <v>173</v>
      </c>
      <c r="AM31" s="376" t="s">
        <v>188</v>
      </c>
      <c r="AN31" s="376" t="s">
        <v>68</v>
      </c>
      <c r="AO31" s="379">
        <v>80</v>
      </c>
      <c r="AP31" s="385">
        <v>1</v>
      </c>
      <c r="AQ31" s="385">
        <v>1</v>
      </c>
      <c r="AR31" s="384" t="s">
        <v>189</v>
      </c>
      <c r="AS31" s="387">
        <f t="shared" si="27"/>
        <v>1</v>
      </c>
      <c r="AT31">
        <f t="shared" si="28"/>
        <v>1</v>
      </c>
      <c r="AU31" s="387">
        <f>IF(AT31=0,"",IF(AND(AT31=1,M31="F",SUMIF(C2:C74,C31,AS2:AS74)&lt;=1),SUMIF(C2:C74,C31,AS2:AS74),IF(AND(AT31=1,M31="F",SUMIF(C2:C74,C31,AS2:AS74)&gt;1),1,"")))</f>
        <v>1</v>
      </c>
      <c r="AV31" s="387" t="str">
        <f>IF(AT31=0,"",IF(AND(AT31=3,M31="F",SUMIF(C2:C74,C31,AS2:AS74)&lt;=1),SUMIF(C2:C74,C31,AS2:AS74),IF(AND(AT31=3,M31="F",SUMIF(C2:C74,C31,AS2:AS74)&gt;1),1,"")))</f>
        <v/>
      </c>
      <c r="AW31" s="387">
        <f>SUMIF(C2:C74,C31,O2:O74)</f>
        <v>1</v>
      </c>
      <c r="AX31" s="387">
        <f>IF(AND(M31="F",AS31&lt;&gt;0),SUMIF(C2:C74,C31,W2:W74),0)</f>
        <v>50668.800000000003</v>
      </c>
      <c r="AY31" s="387">
        <f t="shared" si="29"/>
        <v>50668.800000000003</v>
      </c>
      <c r="AZ31" s="387" t="str">
        <f t="shared" si="30"/>
        <v/>
      </c>
      <c r="BA31" s="387">
        <f t="shared" si="31"/>
        <v>0</v>
      </c>
      <c r="BB31" s="387">
        <f t="shared" si="0"/>
        <v>11650</v>
      </c>
      <c r="BC31" s="387">
        <f t="shared" si="1"/>
        <v>0</v>
      </c>
      <c r="BD31" s="387">
        <f t="shared" si="2"/>
        <v>3141.4656</v>
      </c>
      <c r="BE31" s="387">
        <f t="shared" si="3"/>
        <v>734.69760000000008</v>
      </c>
      <c r="BF31" s="387">
        <f t="shared" si="4"/>
        <v>6049.8547200000003</v>
      </c>
      <c r="BG31" s="387">
        <f t="shared" si="5"/>
        <v>365.32204800000005</v>
      </c>
      <c r="BH31" s="387">
        <f t="shared" si="6"/>
        <v>248.27712</v>
      </c>
      <c r="BI31" s="387">
        <f t="shared" si="7"/>
        <v>280.45180800000003</v>
      </c>
      <c r="BJ31" s="387">
        <f t="shared" si="8"/>
        <v>136.80576000000002</v>
      </c>
      <c r="BK31" s="387">
        <f t="shared" si="9"/>
        <v>0</v>
      </c>
      <c r="BL31" s="387">
        <f t="shared" si="32"/>
        <v>10956.874656</v>
      </c>
      <c r="BM31" s="387">
        <f t="shared" si="33"/>
        <v>0</v>
      </c>
      <c r="BN31" s="387">
        <f t="shared" si="10"/>
        <v>11650</v>
      </c>
      <c r="BO31" s="387">
        <f t="shared" si="11"/>
        <v>0</v>
      </c>
      <c r="BP31" s="387">
        <f t="shared" si="12"/>
        <v>3141.4656</v>
      </c>
      <c r="BQ31" s="387">
        <f t="shared" si="13"/>
        <v>734.69760000000008</v>
      </c>
      <c r="BR31" s="387">
        <f t="shared" si="14"/>
        <v>6049.8547200000003</v>
      </c>
      <c r="BS31" s="387">
        <f t="shared" si="15"/>
        <v>365.32204800000005</v>
      </c>
      <c r="BT31" s="387">
        <f t="shared" si="16"/>
        <v>0</v>
      </c>
      <c r="BU31" s="387">
        <f t="shared" si="17"/>
        <v>280.45180800000003</v>
      </c>
      <c r="BV31" s="387">
        <f t="shared" si="18"/>
        <v>121.60512</v>
      </c>
      <c r="BW31" s="387">
        <f t="shared" si="19"/>
        <v>0</v>
      </c>
      <c r="BX31" s="387">
        <f t="shared" si="34"/>
        <v>10693.396896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-248.27712</v>
      </c>
      <c r="CG31" s="387">
        <f t="shared" si="24"/>
        <v>0</v>
      </c>
      <c r="CH31" s="387">
        <f t="shared" si="25"/>
        <v>-15.200640000000019</v>
      </c>
      <c r="CI31" s="387">
        <f t="shared" si="26"/>
        <v>0</v>
      </c>
      <c r="CJ31" s="387">
        <f t="shared" si="39"/>
        <v>-263.47775999999999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0550-01</v>
      </c>
    </row>
    <row r="32" spans="1:92" ht="15.75" thickBot="1" x14ac:dyDescent="0.3">
      <c r="A32" s="376" t="s">
        <v>161</v>
      </c>
      <c r="B32" s="376" t="s">
        <v>162</v>
      </c>
      <c r="C32" s="376" t="s">
        <v>330</v>
      </c>
      <c r="D32" s="376" t="s">
        <v>247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248</v>
      </c>
      <c r="L32" s="376" t="s">
        <v>206</v>
      </c>
      <c r="M32" s="376" t="s">
        <v>178</v>
      </c>
      <c r="N32" s="376" t="s">
        <v>194</v>
      </c>
      <c r="O32" s="379">
        <v>1</v>
      </c>
      <c r="P32" s="385">
        <v>1</v>
      </c>
      <c r="Q32" s="385">
        <v>1</v>
      </c>
      <c r="R32" s="380">
        <v>80</v>
      </c>
      <c r="S32" s="385">
        <v>1</v>
      </c>
      <c r="T32" s="380">
        <v>33446.400000000001</v>
      </c>
      <c r="U32" s="380">
        <v>0</v>
      </c>
      <c r="V32" s="380">
        <v>18502.2</v>
      </c>
      <c r="W32" s="380">
        <v>35443.199999999997</v>
      </c>
      <c r="X32" s="380">
        <v>19314.55</v>
      </c>
      <c r="Y32" s="380">
        <v>35443.199999999997</v>
      </c>
      <c r="Z32" s="380">
        <v>19130.25</v>
      </c>
      <c r="AA32" s="376" t="s">
        <v>331</v>
      </c>
      <c r="AB32" s="376" t="s">
        <v>332</v>
      </c>
      <c r="AC32" s="376" t="s">
        <v>333</v>
      </c>
      <c r="AD32" s="376" t="s">
        <v>177</v>
      </c>
      <c r="AE32" s="376" t="s">
        <v>248</v>
      </c>
      <c r="AF32" s="376" t="s">
        <v>210</v>
      </c>
      <c r="AG32" s="376" t="s">
        <v>185</v>
      </c>
      <c r="AH32" s="381">
        <v>17.04</v>
      </c>
      <c r="AI32" s="381">
        <v>20717.5</v>
      </c>
      <c r="AJ32" s="376" t="s">
        <v>186</v>
      </c>
      <c r="AK32" s="376" t="s">
        <v>187</v>
      </c>
      <c r="AL32" s="376" t="s">
        <v>173</v>
      </c>
      <c r="AM32" s="376" t="s">
        <v>188</v>
      </c>
      <c r="AN32" s="376" t="s">
        <v>68</v>
      </c>
      <c r="AO32" s="379">
        <v>80</v>
      </c>
      <c r="AP32" s="385">
        <v>1</v>
      </c>
      <c r="AQ32" s="385">
        <v>1</v>
      </c>
      <c r="AR32" s="384" t="s">
        <v>189</v>
      </c>
      <c r="AS32" s="387">
        <f t="shared" si="27"/>
        <v>1</v>
      </c>
      <c r="AT32">
        <f t="shared" si="28"/>
        <v>1</v>
      </c>
      <c r="AU32" s="387">
        <f>IF(AT32=0,"",IF(AND(AT32=1,M32="F",SUMIF(C2:C74,C32,AS2:AS74)&lt;=1),SUMIF(C2:C74,C32,AS2:AS74),IF(AND(AT32=1,M32="F",SUMIF(C2:C74,C32,AS2:AS74)&gt;1),1,"")))</f>
        <v>1</v>
      </c>
      <c r="AV32" s="387" t="str">
        <f>IF(AT32=0,"",IF(AND(AT32=3,M32="F",SUMIF(C2:C74,C32,AS2:AS74)&lt;=1),SUMIF(C2:C74,C32,AS2:AS74),IF(AND(AT32=3,M32="F",SUMIF(C2:C74,C32,AS2:AS74)&gt;1),1,"")))</f>
        <v/>
      </c>
      <c r="AW32" s="387">
        <f>SUMIF(C2:C74,C32,O2:O74)</f>
        <v>1</v>
      </c>
      <c r="AX32" s="387">
        <f>IF(AND(M32="F",AS32&lt;&gt;0),SUMIF(C2:C74,C32,W2:W74),0)</f>
        <v>35443.199999999997</v>
      </c>
      <c r="AY32" s="387">
        <f t="shared" si="29"/>
        <v>35443.199999999997</v>
      </c>
      <c r="AZ32" s="387" t="str">
        <f t="shared" si="30"/>
        <v/>
      </c>
      <c r="BA32" s="387">
        <f t="shared" si="31"/>
        <v>0</v>
      </c>
      <c r="BB32" s="387">
        <f t="shared" si="0"/>
        <v>11650</v>
      </c>
      <c r="BC32" s="387">
        <f t="shared" si="1"/>
        <v>0</v>
      </c>
      <c r="BD32" s="387">
        <f t="shared" si="2"/>
        <v>2197.4784</v>
      </c>
      <c r="BE32" s="387">
        <f t="shared" si="3"/>
        <v>513.92639999999994</v>
      </c>
      <c r="BF32" s="387">
        <f t="shared" si="4"/>
        <v>4231.9180799999995</v>
      </c>
      <c r="BG32" s="387">
        <f t="shared" si="5"/>
        <v>255.54547199999999</v>
      </c>
      <c r="BH32" s="387">
        <f t="shared" si="6"/>
        <v>173.67167999999998</v>
      </c>
      <c r="BI32" s="387">
        <f t="shared" si="7"/>
        <v>196.17811199999997</v>
      </c>
      <c r="BJ32" s="387">
        <f t="shared" si="8"/>
        <v>95.696640000000002</v>
      </c>
      <c r="BK32" s="387">
        <f t="shared" si="9"/>
        <v>0</v>
      </c>
      <c r="BL32" s="387">
        <f t="shared" si="32"/>
        <v>7664.4147839999996</v>
      </c>
      <c r="BM32" s="387">
        <f t="shared" si="33"/>
        <v>0</v>
      </c>
      <c r="BN32" s="387">
        <f t="shared" si="10"/>
        <v>11650</v>
      </c>
      <c r="BO32" s="387">
        <f t="shared" si="11"/>
        <v>0</v>
      </c>
      <c r="BP32" s="387">
        <f t="shared" si="12"/>
        <v>2197.4784</v>
      </c>
      <c r="BQ32" s="387">
        <f t="shared" si="13"/>
        <v>513.92639999999994</v>
      </c>
      <c r="BR32" s="387">
        <f t="shared" si="14"/>
        <v>4231.9180799999995</v>
      </c>
      <c r="BS32" s="387">
        <f t="shared" si="15"/>
        <v>255.54547199999999</v>
      </c>
      <c r="BT32" s="387">
        <f t="shared" si="16"/>
        <v>0</v>
      </c>
      <c r="BU32" s="387">
        <f t="shared" si="17"/>
        <v>196.17811199999997</v>
      </c>
      <c r="BV32" s="387">
        <f t="shared" si="18"/>
        <v>85.063679999999991</v>
      </c>
      <c r="BW32" s="387">
        <f t="shared" si="19"/>
        <v>0</v>
      </c>
      <c r="BX32" s="387">
        <f t="shared" si="34"/>
        <v>7480.1101439999993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-173.67167999999998</v>
      </c>
      <c r="CG32" s="387">
        <f t="shared" si="24"/>
        <v>0</v>
      </c>
      <c r="CH32" s="387">
        <f t="shared" si="25"/>
        <v>-10.632960000000011</v>
      </c>
      <c r="CI32" s="387">
        <f t="shared" si="26"/>
        <v>0</v>
      </c>
      <c r="CJ32" s="387">
        <f t="shared" si="39"/>
        <v>-184.30464000000001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0550-01</v>
      </c>
    </row>
    <row r="33" spans="1:92" ht="15.75" thickBot="1" x14ac:dyDescent="0.3">
      <c r="A33" s="376" t="s">
        <v>161</v>
      </c>
      <c r="B33" s="376" t="s">
        <v>162</v>
      </c>
      <c r="C33" s="376" t="s">
        <v>334</v>
      </c>
      <c r="D33" s="376" t="s">
        <v>275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276</v>
      </c>
      <c r="L33" s="376" t="s">
        <v>185</v>
      </c>
      <c r="M33" s="376" t="s">
        <v>178</v>
      </c>
      <c r="N33" s="376" t="s">
        <v>194</v>
      </c>
      <c r="O33" s="379">
        <v>1</v>
      </c>
      <c r="P33" s="385">
        <v>1</v>
      </c>
      <c r="Q33" s="385">
        <v>1</v>
      </c>
      <c r="R33" s="380">
        <v>80</v>
      </c>
      <c r="S33" s="385">
        <v>1</v>
      </c>
      <c r="T33" s="380">
        <v>30184.29</v>
      </c>
      <c r="U33" s="380">
        <v>0</v>
      </c>
      <c r="V33" s="380">
        <v>17676.349999999999</v>
      </c>
      <c r="W33" s="380">
        <v>30284.799999999999</v>
      </c>
      <c r="X33" s="380">
        <v>18199.04</v>
      </c>
      <c r="Y33" s="380">
        <v>30284.799999999999</v>
      </c>
      <c r="Z33" s="380">
        <v>18041.57</v>
      </c>
      <c r="AA33" s="376" t="s">
        <v>335</v>
      </c>
      <c r="AB33" s="376" t="s">
        <v>336</v>
      </c>
      <c r="AC33" s="376" t="s">
        <v>337</v>
      </c>
      <c r="AD33" s="376" t="s">
        <v>287</v>
      </c>
      <c r="AE33" s="376" t="s">
        <v>276</v>
      </c>
      <c r="AF33" s="376" t="s">
        <v>266</v>
      </c>
      <c r="AG33" s="376" t="s">
        <v>185</v>
      </c>
      <c r="AH33" s="381">
        <v>14.56</v>
      </c>
      <c r="AI33" s="379">
        <v>1526</v>
      </c>
      <c r="AJ33" s="376" t="s">
        <v>186</v>
      </c>
      <c r="AK33" s="376" t="s">
        <v>187</v>
      </c>
      <c r="AL33" s="376" t="s">
        <v>173</v>
      </c>
      <c r="AM33" s="376" t="s">
        <v>188</v>
      </c>
      <c r="AN33" s="376" t="s">
        <v>68</v>
      </c>
      <c r="AO33" s="379">
        <v>80</v>
      </c>
      <c r="AP33" s="385">
        <v>1</v>
      </c>
      <c r="AQ33" s="385">
        <v>1</v>
      </c>
      <c r="AR33" s="384" t="s">
        <v>189</v>
      </c>
      <c r="AS33" s="387">
        <f t="shared" si="27"/>
        <v>1</v>
      </c>
      <c r="AT33">
        <f t="shared" si="28"/>
        <v>1</v>
      </c>
      <c r="AU33" s="387">
        <f>IF(AT33=0,"",IF(AND(AT33=1,M33="F",SUMIF(C2:C74,C33,AS2:AS74)&lt;=1),SUMIF(C2:C74,C33,AS2:AS74),IF(AND(AT33=1,M33="F",SUMIF(C2:C74,C33,AS2:AS74)&gt;1),1,"")))</f>
        <v>1</v>
      </c>
      <c r="AV33" s="387" t="str">
        <f>IF(AT33=0,"",IF(AND(AT33=3,M33="F",SUMIF(C2:C74,C33,AS2:AS74)&lt;=1),SUMIF(C2:C74,C33,AS2:AS74),IF(AND(AT33=3,M33="F",SUMIF(C2:C74,C33,AS2:AS74)&gt;1),1,"")))</f>
        <v/>
      </c>
      <c r="AW33" s="387">
        <f>SUMIF(C2:C74,C33,O2:O74)</f>
        <v>1</v>
      </c>
      <c r="AX33" s="387">
        <f>IF(AND(M33="F",AS33&lt;&gt;0),SUMIF(C2:C74,C33,W2:W74),0)</f>
        <v>30284.799999999999</v>
      </c>
      <c r="AY33" s="387">
        <f t="shared" si="29"/>
        <v>30284.799999999999</v>
      </c>
      <c r="AZ33" s="387" t="str">
        <f t="shared" si="30"/>
        <v/>
      </c>
      <c r="BA33" s="387">
        <f t="shared" si="31"/>
        <v>0</v>
      </c>
      <c r="BB33" s="387">
        <f t="shared" si="0"/>
        <v>11650</v>
      </c>
      <c r="BC33" s="387">
        <f t="shared" si="1"/>
        <v>0</v>
      </c>
      <c r="BD33" s="387">
        <f t="shared" si="2"/>
        <v>1877.6576</v>
      </c>
      <c r="BE33" s="387">
        <f t="shared" si="3"/>
        <v>439.12960000000004</v>
      </c>
      <c r="BF33" s="387">
        <f t="shared" si="4"/>
        <v>3616.0051200000003</v>
      </c>
      <c r="BG33" s="387">
        <f t="shared" si="5"/>
        <v>218.353408</v>
      </c>
      <c r="BH33" s="387">
        <f t="shared" si="6"/>
        <v>148.39552</v>
      </c>
      <c r="BI33" s="387">
        <f t="shared" si="7"/>
        <v>167.62636799999999</v>
      </c>
      <c r="BJ33" s="387">
        <f t="shared" si="8"/>
        <v>81.768960000000007</v>
      </c>
      <c r="BK33" s="387">
        <f t="shared" si="9"/>
        <v>0</v>
      </c>
      <c r="BL33" s="387">
        <f t="shared" si="32"/>
        <v>6548.936576000001</v>
      </c>
      <c r="BM33" s="387">
        <f t="shared" si="33"/>
        <v>0</v>
      </c>
      <c r="BN33" s="387">
        <f t="shared" si="10"/>
        <v>11650</v>
      </c>
      <c r="BO33" s="387">
        <f t="shared" si="11"/>
        <v>0</v>
      </c>
      <c r="BP33" s="387">
        <f t="shared" si="12"/>
        <v>1877.6576</v>
      </c>
      <c r="BQ33" s="387">
        <f t="shared" si="13"/>
        <v>439.12960000000004</v>
      </c>
      <c r="BR33" s="387">
        <f t="shared" si="14"/>
        <v>3616.0051200000003</v>
      </c>
      <c r="BS33" s="387">
        <f t="shared" si="15"/>
        <v>218.353408</v>
      </c>
      <c r="BT33" s="387">
        <f t="shared" si="16"/>
        <v>0</v>
      </c>
      <c r="BU33" s="387">
        <f t="shared" si="17"/>
        <v>167.62636799999999</v>
      </c>
      <c r="BV33" s="387">
        <f t="shared" si="18"/>
        <v>72.683519999999987</v>
      </c>
      <c r="BW33" s="387">
        <f t="shared" si="19"/>
        <v>0</v>
      </c>
      <c r="BX33" s="387">
        <f t="shared" si="34"/>
        <v>6391.4556160000002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-148.39552</v>
      </c>
      <c r="CG33" s="387">
        <f t="shared" si="24"/>
        <v>0</v>
      </c>
      <c r="CH33" s="387">
        <f t="shared" si="25"/>
        <v>-9.0854400000000108</v>
      </c>
      <c r="CI33" s="387">
        <f t="shared" si="26"/>
        <v>0</v>
      </c>
      <c r="CJ33" s="387">
        <f t="shared" si="39"/>
        <v>-157.48096000000001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0550-01</v>
      </c>
    </row>
    <row r="34" spans="1:92" ht="15.75" thickBot="1" x14ac:dyDescent="0.3">
      <c r="A34" s="376" t="s">
        <v>161</v>
      </c>
      <c r="B34" s="376" t="s">
        <v>162</v>
      </c>
      <c r="C34" s="376" t="s">
        <v>338</v>
      </c>
      <c r="D34" s="376" t="s">
        <v>339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340</v>
      </c>
      <c r="L34" s="376" t="s">
        <v>287</v>
      </c>
      <c r="M34" s="376" t="s">
        <v>178</v>
      </c>
      <c r="N34" s="376" t="s">
        <v>194</v>
      </c>
      <c r="O34" s="379">
        <v>1</v>
      </c>
      <c r="P34" s="385">
        <v>1</v>
      </c>
      <c r="Q34" s="385">
        <v>1</v>
      </c>
      <c r="R34" s="380">
        <v>80</v>
      </c>
      <c r="S34" s="385">
        <v>1</v>
      </c>
      <c r="T34" s="380">
        <v>46913.04</v>
      </c>
      <c r="U34" s="380">
        <v>0</v>
      </c>
      <c r="V34" s="380">
        <v>17779.41</v>
      </c>
      <c r="W34" s="380">
        <v>68473.600000000006</v>
      </c>
      <c r="X34" s="380">
        <v>26457.38</v>
      </c>
      <c r="Y34" s="380">
        <v>68473.600000000006</v>
      </c>
      <c r="Z34" s="380">
        <v>26101.32</v>
      </c>
      <c r="AA34" s="376" t="s">
        <v>341</v>
      </c>
      <c r="AB34" s="376" t="s">
        <v>342</v>
      </c>
      <c r="AC34" s="376" t="s">
        <v>343</v>
      </c>
      <c r="AD34" s="376" t="s">
        <v>217</v>
      </c>
      <c r="AE34" s="376" t="s">
        <v>340</v>
      </c>
      <c r="AF34" s="376" t="s">
        <v>322</v>
      </c>
      <c r="AG34" s="376" t="s">
        <v>185</v>
      </c>
      <c r="AH34" s="381">
        <v>32.92</v>
      </c>
      <c r="AI34" s="381">
        <v>3863.2</v>
      </c>
      <c r="AJ34" s="376" t="s">
        <v>186</v>
      </c>
      <c r="AK34" s="376" t="s">
        <v>187</v>
      </c>
      <c r="AL34" s="376" t="s">
        <v>173</v>
      </c>
      <c r="AM34" s="376" t="s">
        <v>188</v>
      </c>
      <c r="AN34" s="376" t="s">
        <v>68</v>
      </c>
      <c r="AO34" s="379">
        <v>80</v>
      </c>
      <c r="AP34" s="385">
        <v>1</v>
      </c>
      <c r="AQ34" s="385">
        <v>1</v>
      </c>
      <c r="AR34" s="384" t="s">
        <v>189</v>
      </c>
      <c r="AS34" s="387">
        <f t="shared" si="27"/>
        <v>1</v>
      </c>
      <c r="AT34">
        <f t="shared" si="28"/>
        <v>1</v>
      </c>
      <c r="AU34" s="387">
        <f>IF(AT34=0,"",IF(AND(AT34=1,M34="F",SUMIF(C2:C74,C34,AS2:AS74)&lt;=1),SUMIF(C2:C74,C34,AS2:AS74),IF(AND(AT34=1,M34="F",SUMIF(C2:C74,C34,AS2:AS74)&gt;1),1,"")))</f>
        <v>1</v>
      </c>
      <c r="AV34" s="387" t="str">
        <f>IF(AT34=0,"",IF(AND(AT34=3,M34="F",SUMIF(C2:C74,C34,AS2:AS74)&lt;=1),SUMIF(C2:C74,C34,AS2:AS74),IF(AND(AT34=3,M34="F",SUMIF(C2:C74,C34,AS2:AS74)&gt;1),1,"")))</f>
        <v/>
      </c>
      <c r="AW34" s="387">
        <f>SUMIF(C2:C74,C34,O2:O74)</f>
        <v>1</v>
      </c>
      <c r="AX34" s="387">
        <f>IF(AND(M34="F",AS34&lt;&gt;0),SUMIF(C2:C74,C34,W2:W74),0)</f>
        <v>68473.600000000006</v>
      </c>
      <c r="AY34" s="387">
        <f t="shared" si="29"/>
        <v>68473.600000000006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4245.3632000000007</v>
      </c>
      <c r="BE34" s="387">
        <f t="shared" ref="BE34:BE65" si="47">IF(AT34&lt;&gt;0,SSHI*W34,0)</f>
        <v>992.86720000000014</v>
      </c>
      <c r="BF34" s="387">
        <f t="shared" ref="BF34:BF65" si="48">IF(AND(AT34&lt;&gt;0,AN34&lt;&gt;"NE"),VLOOKUP(AN34,Retirement_Rates,3,FALSE)*W34,0)</f>
        <v>8175.7478400000009</v>
      </c>
      <c r="BG34" s="387">
        <f t="shared" ref="BG34:BG65" si="49">IF(AND(AT34&lt;&gt;0,AJ34&lt;&gt;"PF"),Life*W34,0)</f>
        <v>493.69465600000007</v>
      </c>
      <c r="BH34" s="387">
        <f t="shared" ref="BH34:BH65" si="50">IF(AND(AT34&lt;&gt;0,AM34="Y"),UI*W34,0)</f>
        <v>335.52064000000001</v>
      </c>
      <c r="BI34" s="387">
        <f t="shared" ref="BI34:BI65" si="51">IF(AND(AT34&lt;&gt;0,N34&lt;&gt;"NR"),DHR*W34,0)</f>
        <v>379.00137600000005</v>
      </c>
      <c r="BJ34" s="387">
        <f t="shared" ref="BJ34:BJ65" si="52">IF(AT34&lt;&gt;0,WC*W34,0)</f>
        <v>184.87872000000002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14807.073632000001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4245.3632000000007</v>
      </c>
      <c r="BQ34" s="387">
        <f t="shared" ref="BQ34:BQ65" si="57">IF(AT34&lt;&gt;0,SSHIBY*W34,0)</f>
        <v>992.86720000000014</v>
      </c>
      <c r="BR34" s="387">
        <f t="shared" ref="BR34:BR65" si="58">IF(AND(AT34&lt;&gt;0,AN34&lt;&gt;"NE"),VLOOKUP(AN34,Retirement_Rates,4,FALSE)*W34,0)</f>
        <v>8175.7478400000009</v>
      </c>
      <c r="BS34" s="387">
        <f t="shared" ref="BS34:BS65" si="59">IF(AND(AT34&lt;&gt;0,AJ34&lt;&gt;"PF"),LifeBY*W34,0)</f>
        <v>493.69465600000007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379.00137600000005</v>
      </c>
      <c r="BV34" s="387">
        <f t="shared" ref="BV34:BV65" si="62">IF(AT34&lt;&gt;0,WCBY*W34,0)</f>
        <v>164.33663999999999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14451.010912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0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-335.52064000000001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-20.542080000000027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-356.06272000000001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0550-01</v>
      </c>
    </row>
    <row r="35" spans="1:92" ht="15.75" thickBot="1" x14ac:dyDescent="0.3">
      <c r="A35" s="376" t="s">
        <v>161</v>
      </c>
      <c r="B35" s="376" t="s">
        <v>162</v>
      </c>
      <c r="C35" s="376" t="s">
        <v>344</v>
      </c>
      <c r="D35" s="376" t="s">
        <v>191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345</v>
      </c>
      <c r="L35" s="376" t="s">
        <v>177</v>
      </c>
      <c r="M35" s="376" t="s">
        <v>178</v>
      </c>
      <c r="N35" s="376" t="s">
        <v>194</v>
      </c>
      <c r="O35" s="379">
        <v>1</v>
      </c>
      <c r="P35" s="385">
        <v>1</v>
      </c>
      <c r="Q35" s="385">
        <v>1</v>
      </c>
      <c r="R35" s="380">
        <v>80</v>
      </c>
      <c r="S35" s="385">
        <v>1</v>
      </c>
      <c r="T35" s="380">
        <v>51363.29</v>
      </c>
      <c r="U35" s="380">
        <v>0</v>
      </c>
      <c r="V35" s="380">
        <v>22129.87</v>
      </c>
      <c r="W35" s="380">
        <v>53955.199999999997</v>
      </c>
      <c r="X35" s="380">
        <v>23317.79</v>
      </c>
      <c r="Y35" s="380">
        <v>53955.199999999997</v>
      </c>
      <c r="Z35" s="380">
        <v>23037.23</v>
      </c>
      <c r="AA35" s="376" t="s">
        <v>346</v>
      </c>
      <c r="AB35" s="376" t="s">
        <v>347</v>
      </c>
      <c r="AC35" s="376" t="s">
        <v>348</v>
      </c>
      <c r="AD35" s="376" t="s">
        <v>349</v>
      </c>
      <c r="AE35" s="376" t="s">
        <v>345</v>
      </c>
      <c r="AF35" s="376" t="s">
        <v>184</v>
      </c>
      <c r="AG35" s="376" t="s">
        <v>185</v>
      </c>
      <c r="AH35" s="381">
        <v>25.94</v>
      </c>
      <c r="AI35" s="381">
        <v>9647.1</v>
      </c>
      <c r="AJ35" s="376" t="s">
        <v>186</v>
      </c>
      <c r="AK35" s="376" t="s">
        <v>187</v>
      </c>
      <c r="AL35" s="376" t="s">
        <v>173</v>
      </c>
      <c r="AM35" s="376" t="s">
        <v>188</v>
      </c>
      <c r="AN35" s="376" t="s">
        <v>68</v>
      </c>
      <c r="AO35" s="379">
        <v>80</v>
      </c>
      <c r="AP35" s="385">
        <v>1</v>
      </c>
      <c r="AQ35" s="385">
        <v>1</v>
      </c>
      <c r="AR35" s="384" t="s">
        <v>189</v>
      </c>
      <c r="AS35" s="387">
        <f t="shared" si="27"/>
        <v>1</v>
      </c>
      <c r="AT35">
        <f t="shared" si="28"/>
        <v>1</v>
      </c>
      <c r="AU35" s="387">
        <f>IF(AT35=0,"",IF(AND(AT35=1,M35="F",SUMIF(C2:C74,C35,AS2:AS74)&lt;=1),SUMIF(C2:C74,C35,AS2:AS74),IF(AND(AT35=1,M35="F",SUMIF(C2:C74,C35,AS2:AS74)&gt;1),1,"")))</f>
        <v>1</v>
      </c>
      <c r="AV35" s="387" t="str">
        <f>IF(AT35=0,"",IF(AND(AT35=3,M35="F",SUMIF(C2:C74,C35,AS2:AS74)&lt;=1),SUMIF(C2:C74,C35,AS2:AS74),IF(AND(AT35=3,M35="F",SUMIF(C2:C74,C35,AS2:AS74)&gt;1),1,"")))</f>
        <v/>
      </c>
      <c r="AW35" s="387">
        <f>SUMIF(C2:C74,C35,O2:O74)</f>
        <v>1</v>
      </c>
      <c r="AX35" s="387">
        <f>IF(AND(M35="F",AS35&lt;&gt;0),SUMIF(C2:C74,C35,W2:W74),0)</f>
        <v>53955.199999999997</v>
      </c>
      <c r="AY35" s="387">
        <f t="shared" si="29"/>
        <v>53955.199999999997</v>
      </c>
      <c r="AZ35" s="387" t="str">
        <f t="shared" si="30"/>
        <v/>
      </c>
      <c r="BA35" s="387">
        <f t="shared" si="31"/>
        <v>0</v>
      </c>
      <c r="BB35" s="387">
        <f t="shared" si="44"/>
        <v>11650</v>
      </c>
      <c r="BC35" s="387">
        <f t="shared" si="45"/>
        <v>0</v>
      </c>
      <c r="BD35" s="387">
        <f t="shared" si="46"/>
        <v>3345.2223999999997</v>
      </c>
      <c r="BE35" s="387">
        <f t="shared" si="47"/>
        <v>782.35040000000004</v>
      </c>
      <c r="BF35" s="387">
        <f t="shared" si="48"/>
        <v>6442.2508799999996</v>
      </c>
      <c r="BG35" s="387">
        <f t="shared" si="49"/>
        <v>389.01699200000002</v>
      </c>
      <c r="BH35" s="387">
        <f t="shared" si="50"/>
        <v>264.38047999999998</v>
      </c>
      <c r="BI35" s="387">
        <f t="shared" si="51"/>
        <v>298.64203199999997</v>
      </c>
      <c r="BJ35" s="387">
        <f t="shared" si="52"/>
        <v>145.67903999999999</v>
      </c>
      <c r="BK35" s="387">
        <f t="shared" si="53"/>
        <v>0</v>
      </c>
      <c r="BL35" s="387">
        <f t="shared" si="32"/>
        <v>11667.542224000001</v>
      </c>
      <c r="BM35" s="387">
        <f t="shared" si="33"/>
        <v>0</v>
      </c>
      <c r="BN35" s="387">
        <f t="shared" si="54"/>
        <v>11650</v>
      </c>
      <c r="BO35" s="387">
        <f t="shared" si="55"/>
        <v>0</v>
      </c>
      <c r="BP35" s="387">
        <f t="shared" si="56"/>
        <v>3345.2223999999997</v>
      </c>
      <c r="BQ35" s="387">
        <f t="shared" si="57"/>
        <v>782.35040000000004</v>
      </c>
      <c r="BR35" s="387">
        <f t="shared" si="58"/>
        <v>6442.2508799999996</v>
      </c>
      <c r="BS35" s="387">
        <f t="shared" si="59"/>
        <v>389.01699200000002</v>
      </c>
      <c r="BT35" s="387">
        <f t="shared" si="60"/>
        <v>0</v>
      </c>
      <c r="BU35" s="387">
        <f t="shared" si="61"/>
        <v>298.64203199999997</v>
      </c>
      <c r="BV35" s="387">
        <f t="shared" si="62"/>
        <v>129.49247999999997</v>
      </c>
      <c r="BW35" s="387">
        <f t="shared" si="63"/>
        <v>0</v>
      </c>
      <c r="BX35" s="387">
        <f t="shared" si="34"/>
        <v>11386.975184000001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-264.38047999999998</v>
      </c>
      <c r="CG35" s="387">
        <f t="shared" si="68"/>
        <v>0</v>
      </c>
      <c r="CH35" s="387">
        <f t="shared" si="69"/>
        <v>-16.186560000000018</v>
      </c>
      <c r="CI35" s="387">
        <f t="shared" si="70"/>
        <v>0</v>
      </c>
      <c r="CJ35" s="387">
        <f t="shared" si="39"/>
        <v>-280.56704000000002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0550-01</v>
      </c>
    </row>
    <row r="36" spans="1:92" ht="15.75" thickBot="1" x14ac:dyDescent="0.3">
      <c r="A36" s="376" t="s">
        <v>161</v>
      </c>
      <c r="B36" s="376" t="s">
        <v>162</v>
      </c>
      <c r="C36" s="376" t="s">
        <v>350</v>
      </c>
      <c r="D36" s="376" t="s">
        <v>351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352</v>
      </c>
      <c r="L36" s="376" t="s">
        <v>234</v>
      </c>
      <c r="M36" s="376" t="s">
        <v>178</v>
      </c>
      <c r="N36" s="376" t="s">
        <v>194</v>
      </c>
      <c r="O36" s="379">
        <v>1</v>
      </c>
      <c r="P36" s="385">
        <v>1</v>
      </c>
      <c r="Q36" s="385">
        <v>1</v>
      </c>
      <c r="R36" s="380">
        <v>80</v>
      </c>
      <c r="S36" s="385">
        <v>1</v>
      </c>
      <c r="T36" s="380">
        <v>50000.55</v>
      </c>
      <c r="U36" s="380">
        <v>0</v>
      </c>
      <c r="V36" s="380">
        <v>22098.880000000001</v>
      </c>
      <c r="W36" s="380">
        <v>52686.400000000001</v>
      </c>
      <c r="X36" s="380">
        <v>23043.4</v>
      </c>
      <c r="Y36" s="380">
        <v>52686.400000000001</v>
      </c>
      <c r="Z36" s="380">
        <v>22769.43</v>
      </c>
      <c r="AA36" s="376" t="s">
        <v>353</v>
      </c>
      <c r="AB36" s="376" t="s">
        <v>354</v>
      </c>
      <c r="AC36" s="376" t="s">
        <v>355</v>
      </c>
      <c r="AD36" s="376" t="s">
        <v>311</v>
      </c>
      <c r="AE36" s="376" t="s">
        <v>352</v>
      </c>
      <c r="AF36" s="376" t="s">
        <v>245</v>
      </c>
      <c r="AG36" s="376" t="s">
        <v>185</v>
      </c>
      <c r="AH36" s="381">
        <v>25.33</v>
      </c>
      <c r="AI36" s="381">
        <v>9367.5</v>
      </c>
      <c r="AJ36" s="376" t="s">
        <v>186</v>
      </c>
      <c r="AK36" s="376" t="s">
        <v>187</v>
      </c>
      <c r="AL36" s="376" t="s">
        <v>173</v>
      </c>
      <c r="AM36" s="376" t="s">
        <v>188</v>
      </c>
      <c r="AN36" s="376" t="s">
        <v>68</v>
      </c>
      <c r="AO36" s="379">
        <v>80</v>
      </c>
      <c r="AP36" s="385">
        <v>1</v>
      </c>
      <c r="AQ36" s="385">
        <v>1</v>
      </c>
      <c r="AR36" s="384" t="s">
        <v>189</v>
      </c>
      <c r="AS36" s="387">
        <f t="shared" si="27"/>
        <v>1</v>
      </c>
      <c r="AT36">
        <f t="shared" si="28"/>
        <v>1</v>
      </c>
      <c r="AU36" s="387">
        <f>IF(AT36=0,"",IF(AND(AT36=1,M36="F",SUMIF(C2:C74,C36,AS2:AS74)&lt;=1),SUMIF(C2:C74,C36,AS2:AS74),IF(AND(AT36=1,M36="F",SUMIF(C2:C74,C36,AS2:AS74)&gt;1),1,"")))</f>
        <v>1</v>
      </c>
      <c r="AV36" s="387" t="str">
        <f>IF(AT36=0,"",IF(AND(AT36=3,M36="F",SUMIF(C2:C74,C36,AS2:AS74)&lt;=1),SUMIF(C2:C74,C36,AS2:AS74),IF(AND(AT36=3,M36="F",SUMIF(C2:C74,C36,AS2:AS74)&gt;1),1,"")))</f>
        <v/>
      </c>
      <c r="AW36" s="387">
        <f>SUMIF(C2:C74,C36,O2:O74)</f>
        <v>1</v>
      </c>
      <c r="AX36" s="387">
        <f>IF(AND(M36="F",AS36&lt;&gt;0),SUMIF(C2:C74,C36,W2:W74),0)</f>
        <v>52686.400000000001</v>
      </c>
      <c r="AY36" s="387">
        <f t="shared" si="29"/>
        <v>52686.400000000001</v>
      </c>
      <c r="AZ36" s="387" t="str">
        <f t="shared" si="30"/>
        <v/>
      </c>
      <c r="BA36" s="387">
        <f t="shared" si="31"/>
        <v>0</v>
      </c>
      <c r="BB36" s="387">
        <f t="shared" si="44"/>
        <v>11650</v>
      </c>
      <c r="BC36" s="387">
        <f t="shared" si="45"/>
        <v>0</v>
      </c>
      <c r="BD36" s="387">
        <f t="shared" si="46"/>
        <v>3266.5568000000003</v>
      </c>
      <c r="BE36" s="387">
        <f t="shared" si="47"/>
        <v>763.95280000000002</v>
      </c>
      <c r="BF36" s="387">
        <f t="shared" si="48"/>
        <v>6290.7561600000008</v>
      </c>
      <c r="BG36" s="387">
        <f t="shared" si="49"/>
        <v>379.868944</v>
      </c>
      <c r="BH36" s="387">
        <f t="shared" si="50"/>
        <v>258.16336000000001</v>
      </c>
      <c r="BI36" s="387">
        <f t="shared" si="51"/>
        <v>291.61922400000003</v>
      </c>
      <c r="BJ36" s="387">
        <f t="shared" si="52"/>
        <v>142.25328000000002</v>
      </c>
      <c r="BK36" s="387">
        <f t="shared" si="53"/>
        <v>0</v>
      </c>
      <c r="BL36" s="387">
        <f t="shared" si="32"/>
        <v>11393.170568000003</v>
      </c>
      <c r="BM36" s="387">
        <f t="shared" si="33"/>
        <v>0</v>
      </c>
      <c r="BN36" s="387">
        <f t="shared" si="54"/>
        <v>11650</v>
      </c>
      <c r="BO36" s="387">
        <f t="shared" si="55"/>
        <v>0</v>
      </c>
      <c r="BP36" s="387">
        <f t="shared" si="56"/>
        <v>3266.5568000000003</v>
      </c>
      <c r="BQ36" s="387">
        <f t="shared" si="57"/>
        <v>763.95280000000002</v>
      </c>
      <c r="BR36" s="387">
        <f t="shared" si="58"/>
        <v>6290.7561600000008</v>
      </c>
      <c r="BS36" s="387">
        <f t="shared" si="59"/>
        <v>379.868944</v>
      </c>
      <c r="BT36" s="387">
        <f t="shared" si="60"/>
        <v>0</v>
      </c>
      <c r="BU36" s="387">
        <f t="shared" si="61"/>
        <v>291.61922400000003</v>
      </c>
      <c r="BV36" s="387">
        <f t="shared" si="62"/>
        <v>126.44735999999999</v>
      </c>
      <c r="BW36" s="387">
        <f t="shared" si="63"/>
        <v>0</v>
      </c>
      <c r="BX36" s="387">
        <f t="shared" si="34"/>
        <v>11119.201288000002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-258.16336000000001</v>
      </c>
      <c r="CG36" s="387">
        <f t="shared" si="68"/>
        <v>0</v>
      </c>
      <c r="CH36" s="387">
        <f t="shared" si="69"/>
        <v>-15.805920000000018</v>
      </c>
      <c r="CI36" s="387">
        <f t="shared" si="70"/>
        <v>0</v>
      </c>
      <c r="CJ36" s="387">
        <f t="shared" si="39"/>
        <v>-273.96928000000003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0550-01</v>
      </c>
    </row>
    <row r="37" spans="1:92" ht="15.75" thickBot="1" x14ac:dyDescent="0.3">
      <c r="A37" s="376" t="s">
        <v>161</v>
      </c>
      <c r="B37" s="376" t="s">
        <v>162</v>
      </c>
      <c r="C37" s="376" t="s">
        <v>356</v>
      </c>
      <c r="D37" s="376" t="s">
        <v>239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240</v>
      </c>
      <c r="L37" s="376" t="s">
        <v>234</v>
      </c>
      <c r="M37" s="376" t="s">
        <v>178</v>
      </c>
      <c r="N37" s="376" t="s">
        <v>194</v>
      </c>
      <c r="O37" s="379">
        <v>1</v>
      </c>
      <c r="P37" s="385">
        <v>1</v>
      </c>
      <c r="Q37" s="385">
        <v>1</v>
      </c>
      <c r="R37" s="380">
        <v>80</v>
      </c>
      <c r="S37" s="385">
        <v>1</v>
      </c>
      <c r="T37" s="380">
        <v>37627.21</v>
      </c>
      <c r="U37" s="380">
        <v>0</v>
      </c>
      <c r="V37" s="380">
        <v>19316.48</v>
      </c>
      <c r="W37" s="380">
        <v>39873.599999999999</v>
      </c>
      <c r="X37" s="380">
        <v>20272.62</v>
      </c>
      <c r="Y37" s="380">
        <v>39873.599999999999</v>
      </c>
      <c r="Z37" s="380">
        <v>20065.28</v>
      </c>
      <c r="AA37" s="376" t="s">
        <v>357</v>
      </c>
      <c r="AB37" s="376" t="s">
        <v>242</v>
      </c>
      <c r="AC37" s="376" t="s">
        <v>358</v>
      </c>
      <c r="AD37" s="376" t="s">
        <v>177</v>
      </c>
      <c r="AE37" s="376" t="s">
        <v>240</v>
      </c>
      <c r="AF37" s="376" t="s">
        <v>245</v>
      </c>
      <c r="AG37" s="376" t="s">
        <v>185</v>
      </c>
      <c r="AH37" s="381">
        <v>19.170000000000002</v>
      </c>
      <c r="AI37" s="379">
        <v>24599</v>
      </c>
      <c r="AJ37" s="376" t="s">
        <v>186</v>
      </c>
      <c r="AK37" s="376" t="s">
        <v>187</v>
      </c>
      <c r="AL37" s="376" t="s">
        <v>173</v>
      </c>
      <c r="AM37" s="376" t="s">
        <v>188</v>
      </c>
      <c r="AN37" s="376" t="s">
        <v>68</v>
      </c>
      <c r="AO37" s="379">
        <v>80</v>
      </c>
      <c r="AP37" s="385">
        <v>1</v>
      </c>
      <c r="AQ37" s="385">
        <v>1</v>
      </c>
      <c r="AR37" s="384" t="s">
        <v>189</v>
      </c>
      <c r="AS37" s="387">
        <f t="shared" si="27"/>
        <v>1</v>
      </c>
      <c r="AT37">
        <f t="shared" si="28"/>
        <v>1</v>
      </c>
      <c r="AU37" s="387">
        <f>IF(AT37=0,"",IF(AND(AT37=1,M37="F",SUMIF(C2:C74,C37,AS2:AS74)&lt;=1),SUMIF(C2:C74,C37,AS2:AS74),IF(AND(AT37=1,M37="F",SUMIF(C2:C74,C37,AS2:AS74)&gt;1),1,"")))</f>
        <v>1</v>
      </c>
      <c r="AV37" s="387" t="str">
        <f>IF(AT37=0,"",IF(AND(AT37=3,M37="F",SUMIF(C2:C74,C37,AS2:AS74)&lt;=1),SUMIF(C2:C74,C37,AS2:AS74),IF(AND(AT37=3,M37="F",SUMIF(C2:C74,C37,AS2:AS74)&gt;1),1,"")))</f>
        <v/>
      </c>
      <c r="AW37" s="387">
        <f>SUMIF(C2:C74,C37,O2:O74)</f>
        <v>1</v>
      </c>
      <c r="AX37" s="387">
        <f>IF(AND(M37="F",AS37&lt;&gt;0),SUMIF(C2:C74,C37,W2:W74),0)</f>
        <v>39873.599999999999</v>
      </c>
      <c r="AY37" s="387">
        <f t="shared" si="29"/>
        <v>39873.599999999999</v>
      </c>
      <c r="AZ37" s="387" t="str">
        <f t="shared" si="30"/>
        <v/>
      </c>
      <c r="BA37" s="387">
        <f t="shared" si="31"/>
        <v>0</v>
      </c>
      <c r="BB37" s="387">
        <f t="shared" si="44"/>
        <v>11650</v>
      </c>
      <c r="BC37" s="387">
        <f t="shared" si="45"/>
        <v>0</v>
      </c>
      <c r="BD37" s="387">
        <f t="shared" si="46"/>
        <v>2472.1632</v>
      </c>
      <c r="BE37" s="387">
        <f t="shared" si="47"/>
        <v>578.16719999999998</v>
      </c>
      <c r="BF37" s="387">
        <f t="shared" si="48"/>
        <v>4760.9078399999999</v>
      </c>
      <c r="BG37" s="387">
        <f t="shared" si="49"/>
        <v>287.48865599999999</v>
      </c>
      <c r="BH37" s="387">
        <f t="shared" si="50"/>
        <v>195.38064</v>
      </c>
      <c r="BI37" s="387">
        <f t="shared" si="51"/>
        <v>220.70037600000001</v>
      </c>
      <c r="BJ37" s="387">
        <f t="shared" si="52"/>
        <v>107.65872</v>
      </c>
      <c r="BK37" s="387">
        <f t="shared" si="53"/>
        <v>0</v>
      </c>
      <c r="BL37" s="387">
        <f t="shared" si="32"/>
        <v>8622.4666319999997</v>
      </c>
      <c r="BM37" s="387">
        <f t="shared" si="33"/>
        <v>0</v>
      </c>
      <c r="BN37" s="387">
        <f t="shared" si="54"/>
        <v>11650</v>
      </c>
      <c r="BO37" s="387">
        <f t="shared" si="55"/>
        <v>0</v>
      </c>
      <c r="BP37" s="387">
        <f t="shared" si="56"/>
        <v>2472.1632</v>
      </c>
      <c r="BQ37" s="387">
        <f t="shared" si="57"/>
        <v>578.16719999999998</v>
      </c>
      <c r="BR37" s="387">
        <f t="shared" si="58"/>
        <v>4760.9078399999999</v>
      </c>
      <c r="BS37" s="387">
        <f t="shared" si="59"/>
        <v>287.48865599999999</v>
      </c>
      <c r="BT37" s="387">
        <f t="shared" si="60"/>
        <v>0</v>
      </c>
      <c r="BU37" s="387">
        <f t="shared" si="61"/>
        <v>220.70037600000001</v>
      </c>
      <c r="BV37" s="387">
        <f t="shared" si="62"/>
        <v>95.696639999999988</v>
      </c>
      <c r="BW37" s="387">
        <f t="shared" si="63"/>
        <v>0</v>
      </c>
      <c r="BX37" s="387">
        <f t="shared" si="34"/>
        <v>8415.1239120000009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-195.38064</v>
      </c>
      <c r="CG37" s="387">
        <f t="shared" si="68"/>
        <v>0</v>
      </c>
      <c r="CH37" s="387">
        <f t="shared" si="69"/>
        <v>-11.962080000000014</v>
      </c>
      <c r="CI37" s="387">
        <f t="shared" si="70"/>
        <v>0</v>
      </c>
      <c r="CJ37" s="387">
        <f t="shared" si="39"/>
        <v>-207.34272000000001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0550-01</v>
      </c>
    </row>
    <row r="38" spans="1:92" ht="15.75" thickBot="1" x14ac:dyDescent="0.3">
      <c r="A38" s="376" t="s">
        <v>161</v>
      </c>
      <c r="B38" s="376" t="s">
        <v>162</v>
      </c>
      <c r="C38" s="376" t="s">
        <v>359</v>
      </c>
      <c r="D38" s="376" t="s">
        <v>239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240</v>
      </c>
      <c r="L38" s="376" t="s">
        <v>234</v>
      </c>
      <c r="M38" s="376" t="s">
        <v>178</v>
      </c>
      <c r="N38" s="376" t="s">
        <v>194</v>
      </c>
      <c r="O38" s="379">
        <v>1</v>
      </c>
      <c r="P38" s="385">
        <v>1</v>
      </c>
      <c r="Q38" s="385">
        <v>1</v>
      </c>
      <c r="R38" s="380">
        <v>80</v>
      </c>
      <c r="S38" s="385">
        <v>1</v>
      </c>
      <c r="T38" s="380">
        <v>36843.199999999997</v>
      </c>
      <c r="U38" s="380">
        <v>0</v>
      </c>
      <c r="V38" s="380">
        <v>19370.25</v>
      </c>
      <c r="W38" s="380">
        <v>38667.199999999997</v>
      </c>
      <c r="X38" s="380">
        <v>20011.75</v>
      </c>
      <c r="Y38" s="380">
        <v>38667.199999999997</v>
      </c>
      <c r="Z38" s="380">
        <v>19810.689999999999</v>
      </c>
      <c r="AA38" s="376" t="s">
        <v>360</v>
      </c>
      <c r="AB38" s="376" t="s">
        <v>361</v>
      </c>
      <c r="AC38" s="376" t="s">
        <v>362</v>
      </c>
      <c r="AD38" s="376" t="s">
        <v>287</v>
      </c>
      <c r="AE38" s="376" t="s">
        <v>240</v>
      </c>
      <c r="AF38" s="376" t="s">
        <v>245</v>
      </c>
      <c r="AG38" s="376" t="s">
        <v>185</v>
      </c>
      <c r="AH38" s="381">
        <v>18.59</v>
      </c>
      <c r="AI38" s="381">
        <v>24757.4</v>
      </c>
      <c r="AJ38" s="376" t="s">
        <v>186</v>
      </c>
      <c r="AK38" s="376" t="s">
        <v>187</v>
      </c>
      <c r="AL38" s="376" t="s">
        <v>173</v>
      </c>
      <c r="AM38" s="376" t="s">
        <v>188</v>
      </c>
      <c r="AN38" s="376" t="s">
        <v>68</v>
      </c>
      <c r="AO38" s="379">
        <v>80</v>
      </c>
      <c r="AP38" s="385">
        <v>1</v>
      </c>
      <c r="AQ38" s="385">
        <v>1</v>
      </c>
      <c r="AR38" s="384" t="s">
        <v>189</v>
      </c>
      <c r="AS38" s="387">
        <f t="shared" si="27"/>
        <v>1</v>
      </c>
      <c r="AT38">
        <f t="shared" si="28"/>
        <v>1</v>
      </c>
      <c r="AU38" s="387">
        <f>IF(AT38=0,"",IF(AND(AT38=1,M38="F",SUMIF(C2:C74,C38,AS2:AS74)&lt;=1),SUMIF(C2:C74,C38,AS2:AS74),IF(AND(AT38=1,M38="F",SUMIF(C2:C74,C38,AS2:AS74)&gt;1),1,"")))</f>
        <v>1</v>
      </c>
      <c r="AV38" s="387" t="str">
        <f>IF(AT38=0,"",IF(AND(AT38=3,M38="F",SUMIF(C2:C74,C38,AS2:AS74)&lt;=1),SUMIF(C2:C74,C38,AS2:AS74),IF(AND(AT38=3,M38="F",SUMIF(C2:C74,C38,AS2:AS74)&gt;1),1,"")))</f>
        <v/>
      </c>
      <c r="AW38" s="387">
        <f>SUMIF(C2:C74,C38,O2:O74)</f>
        <v>1</v>
      </c>
      <c r="AX38" s="387">
        <f>IF(AND(M38="F",AS38&lt;&gt;0),SUMIF(C2:C74,C38,W2:W74),0)</f>
        <v>38667.199999999997</v>
      </c>
      <c r="AY38" s="387">
        <f t="shared" si="29"/>
        <v>38667.199999999997</v>
      </c>
      <c r="AZ38" s="387" t="str">
        <f t="shared" si="30"/>
        <v/>
      </c>
      <c r="BA38" s="387">
        <f t="shared" si="31"/>
        <v>0</v>
      </c>
      <c r="BB38" s="387">
        <f t="shared" si="44"/>
        <v>11650</v>
      </c>
      <c r="BC38" s="387">
        <f t="shared" si="45"/>
        <v>0</v>
      </c>
      <c r="BD38" s="387">
        <f t="shared" si="46"/>
        <v>2397.3663999999999</v>
      </c>
      <c r="BE38" s="387">
        <f t="shared" si="47"/>
        <v>560.67439999999999</v>
      </c>
      <c r="BF38" s="387">
        <f t="shared" si="48"/>
        <v>4616.8636799999995</v>
      </c>
      <c r="BG38" s="387">
        <f t="shared" si="49"/>
        <v>278.79051199999998</v>
      </c>
      <c r="BH38" s="387">
        <f t="shared" si="50"/>
        <v>189.46927999999997</v>
      </c>
      <c r="BI38" s="387">
        <f t="shared" si="51"/>
        <v>214.02295199999998</v>
      </c>
      <c r="BJ38" s="387">
        <f t="shared" si="52"/>
        <v>104.40143999999999</v>
      </c>
      <c r="BK38" s="387">
        <f t="shared" si="53"/>
        <v>0</v>
      </c>
      <c r="BL38" s="387">
        <f t="shared" si="32"/>
        <v>8361.588663999999</v>
      </c>
      <c r="BM38" s="387">
        <f t="shared" si="33"/>
        <v>0</v>
      </c>
      <c r="BN38" s="387">
        <f t="shared" si="54"/>
        <v>11650</v>
      </c>
      <c r="BO38" s="387">
        <f t="shared" si="55"/>
        <v>0</v>
      </c>
      <c r="BP38" s="387">
        <f t="shared" si="56"/>
        <v>2397.3663999999999</v>
      </c>
      <c r="BQ38" s="387">
        <f t="shared" si="57"/>
        <v>560.67439999999999</v>
      </c>
      <c r="BR38" s="387">
        <f t="shared" si="58"/>
        <v>4616.8636799999995</v>
      </c>
      <c r="BS38" s="387">
        <f t="shared" si="59"/>
        <v>278.79051199999998</v>
      </c>
      <c r="BT38" s="387">
        <f t="shared" si="60"/>
        <v>0</v>
      </c>
      <c r="BU38" s="387">
        <f t="shared" si="61"/>
        <v>214.02295199999998</v>
      </c>
      <c r="BV38" s="387">
        <f t="shared" si="62"/>
        <v>92.801279999999991</v>
      </c>
      <c r="BW38" s="387">
        <f t="shared" si="63"/>
        <v>0</v>
      </c>
      <c r="BX38" s="387">
        <f t="shared" si="34"/>
        <v>8160.5192239999988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-189.46927999999997</v>
      </c>
      <c r="CG38" s="387">
        <f t="shared" si="68"/>
        <v>0</v>
      </c>
      <c r="CH38" s="387">
        <f t="shared" si="69"/>
        <v>-11.600160000000013</v>
      </c>
      <c r="CI38" s="387">
        <f t="shared" si="70"/>
        <v>0</v>
      </c>
      <c r="CJ38" s="387">
        <f t="shared" si="39"/>
        <v>-201.06943999999999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0550-01</v>
      </c>
    </row>
    <row r="39" spans="1:92" ht="15.75" thickBot="1" x14ac:dyDescent="0.3">
      <c r="A39" s="376" t="s">
        <v>161</v>
      </c>
      <c r="B39" s="376" t="s">
        <v>162</v>
      </c>
      <c r="C39" s="376" t="s">
        <v>363</v>
      </c>
      <c r="D39" s="376" t="s">
        <v>364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365</v>
      </c>
      <c r="L39" s="376" t="s">
        <v>193</v>
      </c>
      <c r="M39" s="376" t="s">
        <v>178</v>
      </c>
      <c r="N39" s="376" t="s">
        <v>194</v>
      </c>
      <c r="O39" s="379">
        <v>1</v>
      </c>
      <c r="P39" s="385">
        <v>1</v>
      </c>
      <c r="Q39" s="385">
        <v>1</v>
      </c>
      <c r="R39" s="380">
        <v>80</v>
      </c>
      <c r="S39" s="385">
        <v>1</v>
      </c>
      <c r="T39" s="380">
        <v>48715.22</v>
      </c>
      <c r="U39" s="380">
        <v>2.33</v>
      </c>
      <c r="V39" s="380">
        <v>21630.080000000002</v>
      </c>
      <c r="W39" s="380">
        <v>50731.199999999997</v>
      </c>
      <c r="X39" s="380">
        <v>22620.6</v>
      </c>
      <c r="Y39" s="380">
        <v>50731.199999999997</v>
      </c>
      <c r="Z39" s="380">
        <v>22356.799999999999</v>
      </c>
      <c r="AA39" s="376" t="s">
        <v>366</v>
      </c>
      <c r="AB39" s="376" t="s">
        <v>367</v>
      </c>
      <c r="AC39" s="376" t="s">
        <v>368</v>
      </c>
      <c r="AD39" s="376" t="s">
        <v>369</v>
      </c>
      <c r="AE39" s="376" t="s">
        <v>365</v>
      </c>
      <c r="AF39" s="376" t="s">
        <v>199</v>
      </c>
      <c r="AG39" s="376" t="s">
        <v>185</v>
      </c>
      <c r="AH39" s="381">
        <v>24.39</v>
      </c>
      <c r="AI39" s="381">
        <v>43587.8</v>
      </c>
      <c r="AJ39" s="376" t="s">
        <v>186</v>
      </c>
      <c r="AK39" s="376" t="s">
        <v>187</v>
      </c>
      <c r="AL39" s="376" t="s">
        <v>173</v>
      </c>
      <c r="AM39" s="376" t="s">
        <v>188</v>
      </c>
      <c r="AN39" s="376" t="s">
        <v>68</v>
      </c>
      <c r="AO39" s="379">
        <v>80</v>
      </c>
      <c r="AP39" s="385">
        <v>1</v>
      </c>
      <c r="AQ39" s="385">
        <v>1</v>
      </c>
      <c r="AR39" s="384" t="s">
        <v>189</v>
      </c>
      <c r="AS39" s="387">
        <f t="shared" si="27"/>
        <v>1</v>
      </c>
      <c r="AT39">
        <f t="shared" si="28"/>
        <v>1</v>
      </c>
      <c r="AU39" s="387">
        <f>IF(AT39=0,"",IF(AND(AT39=1,M39="F",SUMIF(C2:C74,C39,AS2:AS74)&lt;=1),SUMIF(C2:C74,C39,AS2:AS74),IF(AND(AT39=1,M39="F",SUMIF(C2:C74,C39,AS2:AS74)&gt;1),1,"")))</f>
        <v>1</v>
      </c>
      <c r="AV39" s="387" t="str">
        <f>IF(AT39=0,"",IF(AND(AT39=3,M39="F",SUMIF(C2:C74,C39,AS2:AS74)&lt;=1),SUMIF(C2:C74,C39,AS2:AS74),IF(AND(AT39=3,M39="F",SUMIF(C2:C74,C39,AS2:AS74)&gt;1),1,"")))</f>
        <v/>
      </c>
      <c r="AW39" s="387">
        <f>SUMIF(C2:C74,C39,O2:O74)</f>
        <v>1</v>
      </c>
      <c r="AX39" s="387">
        <f>IF(AND(M39="F",AS39&lt;&gt;0),SUMIF(C2:C74,C39,W2:W74),0)</f>
        <v>50731.199999999997</v>
      </c>
      <c r="AY39" s="387">
        <f t="shared" si="29"/>
        <v>50731.199999999997</v>
      </c>
      <c r="AZ39" s="387" t="str">
        <f t="shared" si="30"/>
        <v/>
      </c>
      <c r="BA39" s="387">
        <f t="shared" si="31"/>
        <v>0</v>
      </c>
      <c r="BB39" s="387">
        <f t="shared" si="44"/>
        <v>11650</v>
      </c>
      <c r="BC39" s="387">
        <f t="shared" si="45"/>
        <v>0</v>
      </c>
      <c r="BD39" s="387">
        <f t="shared" si="46"/>
        <v>3145.3343999999997</v>
      </c>
      <c r="BE39" s="387">
        <f t="shared" si="47"/>
        <v>735.60239999999999</v>
      </c>
      <c r="BF39" s="387">
        <f t="shared" si="48"/>
        <v>6057.3052799999996</v>
      </c>
      <c r="BG39" s="387">
        <f t="shared" si="49"/>
        <v>365.771952</v>
      </c>
      <c r="BH39" s="387">
        <f t="shared" si="50"/>
        <v>248.58287999999999</v>
      </c>
      <c r="BI39" s="387">
        <f t="shared" si="51"/>
        <v>280.797192</v>
      </c>
      <c r="BJ39" s="387">
        <f t="shared" si="52"/>
        <v>136.97424000000001</v>
      </c>
      <c r="BK39" s="387">
        <f t="shared" si="53"/>
        <v>0</v>
      </c>
      <c r="BL39" s="387">
        <f t="shared" si="32"/>
        <v>10970.368343999999</v>
      </c>
      <c r="BM39" s="387">
        <f t="shared" si="33"/>
        <v>0</v>
      </c>
      <c r="BN39" s="387">
        <f t="shared" si="54"/>
        <v>11650</v>
      </c>
      <c r="BO39" s="387">
        <f t="shared" si="55"/>
        <v>0</v>
      </c>
      <c r="BP39" s="387">
        <f t="shared" si="56"/>
        <v>3145.3343999999997</v>
      </c>
      <c r="BQ39" s="387">
        <f t="shared" si="57"/>
        <v>735.60239999999999</v>
      </c>
      <c r="BR39" s="387">
        <f t="shared" si="58"/>
        <v>6057.3052799999996</v>
      </c>
      <c r="BS39" s="387">
        <f t="shared" si="59"/>
        <v>365.771952</v>
      </c>
      <c r="BT39" s="387">
        <f t="shared" si="60"/>
        <v>0</v>
      </c>
      <c r="BU39" s="387">
        <f t="shared" si="61"/>
        <v>280.797192</v>
      </c>
      <c r="BV39" s="387">
        <f t="shared" si="62"/>
        <v>121.75487999999999</v>
      </c>
      <c r="BW39" s="387">
        <f t="shared" si="63"/>
        <v>0</v>
      </c>
      <c r="BX39" s="387">
        <f t="shared" si="34"/>
        <v>10706.566104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-248.58287999999999</v>
      </c>
      <c r="CG39" s="387">
        <f t="shared" si="68"/>
        <v>0</v>
      </c>
      <c r="CH39" s="387">
        <f t="shared" si="69"/>
        <v>-15.219360000000018</v>
      </c>
      <c r="CI39" s="387">
        <f t="shared" si="70"/>
        <v>0</v>
      </c>
      <c r="CJ39" s="387">
        <f t="shared" si="39"/>
        <v>-263.80223999999998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0550-01</v>
      </c>
    </row>
    <row r="40" spans="1:92" ht="15.75" thickBot="1" x14ac:dyDescent="0.3">
      <c r="A40" s="376" t="s">
        <v>161</v>
      </c>
      <c r="B40" s="376" t="s">
        <v>162</v>
      </c>
      <c r="C40" s="376" t="s">
        <v>370</v>
      </c>
      <c r="D40" s="376" t="s">
        <v>371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372</v>
      </c>
      <c r="L40" s="376" t="s">
        <v>287</v>
      </c>
      <c r="M40" s="376" t="s">
        <v>178</v>
      </c>
      <c r="N40" s="376" t="s">
        <v>194</v>
      </c>
      <c r="O40" s="379">
        <v>1</v>
      </c>
      <c r="P40" s="385">
        <v>1</v>
      </c>
      <c r="Q40" s="385">
        <v>1</v>
      </c>
      <c r="R40" s="380">
        <v>80</v>
      </c>
      <c r="S40" s="385">
        <v>1</v>
      </c>
      <c r="T40" s="380">
        <v>67097.67</v>
      </c>
      <c r="U40" s="380">
        <v>0</v>
      </c>
      <c r="V40" s="380">
        <v>25469.84</v>
      </c>
      <c r="W40" s="380">
        <v>70803.199999999997</v>
      </c>
      <c r="X40" s="380">
        <v>26961.15</v>
      </c>
      <c r="Y40" s="380">
        <v>70803.199999999997</v>
      </c>
      <c r="Z40" s="380">
        <v>26592.98</v>
      </c>
      <c r="AA40" s="376" t="s">
        <v>373</v>
      </c>
      <c r="AB40" s="376" t="s">
        <v>374</v>
      </c>
      <c r="AC40" s="376" t="s">
        <v>375</v>
      </c>
      <c r="AD40" s="376" t="s">
        <v>376</v>
      </c>
      <c r="AE40" s="376" t="s">
        <v>372</v>
      </c>
      <c r="AF40" s="376" t="s">
        <v>322</v>
      </c>
      <c r="AG40" s="376" t="s">
        <v>185</v>
      </c>
      <c r="AH40" s="381">
        <v>34.04</v>
      </c>
      <c r="AI40" s="379">
        <v>35941</v>
      </c>
      <c r="AJ40" s="376" t="s">
        <v>186</v>
      </c>
      <c r="AK40" s="376" t="s">
        <v>187</v>
      </c>
      <c r="AL40" s="376" t="s">
        <v>173</v>
      </c>
      <c r="AM40" s="376" t="s">
        <v>188</v>
      </c>
      <c r="AN40" s="376" t="s">
        <v>68</v>
      </c>
      <c r="AO40" s="379">
        <v>80</v>
      </c>
      <c r="AP40" s="385">
        <v>1</v>
      </c>
      <c r="AQ40" s="385">
        <v>1</v>
      </c>
      <c r="AR40" s="384" t="s">
        <v>189</v>
      </c>
      <c r="AS40" s="387">
        <f t="shared" si="27"/>
        <v>1</v>
      </c>
      <c r="AT40">
        <f t="shared" si="28"/>
        <v>1</v>
      </c>
      <c r="AU40" s="387">
        <f>IF(AT40=0,"",IF(AND(AT40=1,M40="F",SUMIF(C2:C74,C40,AS2:AS74)&lt;=1),SUMIF(C2:C74,C40,AS2:AS74),IF(AND(AT40=1,M40="F",SUMIF(C2:C74,C40,AS2:AS74)&gt;1),1,"")))</f>
        <v>1</v>
      </c>
      <c r="AV40" s="387" t="str">
        <f>IF(AT40=0,"",IF(AND(AT40=3,M40="F",SUMIF(C2:C74,C40,AS2:AS74)&lt;=1),SUMIF(C2:C74,C40,AS2:AS74),IF(AND(AT40=3,M40="F",SUMIF(C2:C74,C40,AS2:AS74)&gt;1),1,"")))</f>
        <v/>
      </c>
      <c r="AW40" s="387">
        <f>SUMIF(C2:C74,C40,O2:O74)</f>
        <v>1</v>
      </c>
      <c r="AX40" s="387">
        <f>IF(AND(M40="F",AS40&lt;&gt;0),SUMIF(C2:C74,C40,W2:W74),0)</f>
        <v>70803.199999999997</v>
      </c>
      <c r="AY40" s="387">
        <f t="shared" si="29"/>
        <v>70803.199999999997</v>
      </c>
      <c r="AZ40" s="387" t="str">
        <f t="shared" si="30"/>
        <v/>
      </c>
      <c r="BA40" s="387">
        <f t="shared" si="31"/>
        <v>0</v>
      </c>
      <c r="BB40" s="387">
        <f t="shared" si="44"/>
        <v>11650</v>
      </c>
      <c r="BC40" s="387">
        <f t="shared" si="45"/>
        <v>0</v>
      </c>
      <c r="BD40" s="387">
        <f t="shared" si="46"/>
        <v>4389.7983999999997</v>
      </c>
      <c r="BE40" s="387">
        <f t="shared" si="47"/>
        <v>1026.6464000000001</v>
      </c>
      <c r="BF40" s="387">
        <f t="shared" si="48"/>
        <v>8453.9020799999998</v>
      </c>
      <c r="BG40" s="387">
        <f t="shared" si="49"/>
        <v>510.49107199999997</v>
      </c>
      <c r="BH40" s="387">
        <f t="shared" si="50"/>
        <v>346.93567999999999</v>
      </c>
      <c r="BI40" s="387">
        <f t="shared" si="51"/>
        <v>391.895712</v>
      </c>
      <c r="BJ40" s="387">
        <f t="shared" si="52"/>
        <v>191.16864000000001</v>
      </c>
      <c r="BK40" s="387">
        <f t="shared" si="53"/>
        <v>0</v>
      </c>
      <c r="BL40" s="387">
        <f t="shared" si="32"/>
        <v>15310.837984</v>
      </c>
      <c r="BM40" s="387">
        <f t="shared" si="33"/>
        <v>0</v>
      </c>
      <c r="BN40" s="387">
        <f t="shared" si="54"/>
        <v>11650</v>
      </c>
      <c r="BO40" s="387">
        <f t="shared" si="55"/>
        <v>0</v>
      </c>
      <c r="BP40" s="387">
        <f t="shared" si="56"/>
        <v>4389.7983999999997</v>
      </c>
      <c r="BQ40" s="387">
        <f t="shared" si="57"/>
        <v>1026.6464000000001</v>
      </c>
      <c r="BR40" s="387">
        <f t="shared" si="58"/>
        <v>8453.9020799999998</v>
      </c>
      <c r="BS40" s="387">
        <f t="shared" si="59"/>
        <v>510.49107199999997</v>
      </c>
      <c r="BT40" s="387">
        <f t="shared" si="60"/>
        <v>0</v>
      </c>
      <c r="BU40" s="387">
        <f t="shared" si="61"/>
        <v>391.895712</v>
      </c>
      <c r="BV40" s="387">
        <f t="shared" si="62"/>
        <v>169.92767999999998</v>
      </c>
      <c r="BW40" s="387">
        <f t="shared" si="63"/>
        <v>0</v>
      </c>
      <c r="BX40" s="387">
        <f t="shared" si="34"/>
        <v>14942.661344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-346.93567999999999</v>
      </c>
      <c r="CG40" s="387">
        <f t="shared" si="68"/>
        <v>0</v>
      </c>
      <c r="CH40" s="387">
        <f t="shared" si="69"/>
        <v>-21.240960000000022</v>
      </c>
      <c r="CI40" s="387">
        <f t="shared" si="70"/>
        <v>0</v>
      </c>
      <c r="CJ40" s="387">
        <f t="shared" si="39"/>
        <v>-368.17664000000002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0550-01</v>
      </c>
    </row>
    <row r="41" spans="1:92" ht="15.75" thickBot="1" x14ac:dyDescent="0.3">
      <c r="A41" s="376" t="s">
        <v>161</v>
      </c>
      <c r="B41" s="376" t="s">
        <v>162</v>
      </c>
      <c r="C41" s="376" t="s">
        <v>377</v>
      </c>
      <c r="D41" s="376" t="s">
        <v>378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379</v>
      </c>
      <c r="L41" s="376" t="s">
        <v>380</v>
      </c>
      <c r="M41" s="376" t="s">
        <v>178</v>
      </c>
      <c r="N41" s="376" t="s">
        <v>194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33348.89</v>
      </c>
      <c r="U41" s="380">
        <v>0</v>
      </c>
      <c r="V41" s="380">
        <v>18641.18</v>
      </c>
      <c r="W41" s="380">
        <v>34424</v>
      </c>
      <c r="X41" s="380">
        <v>19094.14</v>
      </c>
      <c r="Y41" s="380">
        <v>34424</v>
      </c>
      <c r="Z41" s="380">
        <v>18915.14</v>
      </c>
      <c r="AA41" s="376" t="s">
        <v>381</v>
      </c>
      <c r="AB41" s="376" t="s">
        <v>382</v>
      </c>
      <c r="AC41" s="376" t="s">
        <v>383</v>
      </c>
      <c r="AD41" s="376" t="s">
        <v>287</v>
      </c>
      <c r="AE41" s="376" t="s">
        <v>379</v>
      </c>
      <c r="AF41" s="376" t="s">
        <v>384</v>
      </c>
      <c r="AG41" s="376" t="s">
        <v>185</v>
      </c>
      <c r="AH41" s="381">
        <v>16.55</v>
      </c>
      <c r="AI41" s="381">
        <v>38512.9</v>
      </c>
      <c r="AJ41" s="376" t="s">
        <v>186</v>
      </c>
      <c r="AK41" s="376" t="s">
        <v>187</v>
      </c>
      <c r="AL41" s="376" t="s">
        <v>173</v>
      </c>
      <c r="AM41" s="376" t="s">
        <v>188</v>
      </c>
      <c r="AN41" s="376" t="s">
        <v>68</v>
      </c>
      <c r="AO41" s="379">
        <v>80</v>
      </c>
      <c r="AP41" s="385">
        <v>1</v>
      </c>
      <c r="AQ41" s="385">
        <v>1</v>
      </c>
      <c r="AR41" s="384" t="s">
        <v>189</v>
      </c>
      <c r="AS41" s="387">
        <f t="shared" si="27"/>
        <v>1</v>
      </c>
      <c r="AT41">
        <f t="shared" si="28"/>
        <v>1</v>
      </c>
      <c r="AU41" s="387">
        <f>IF(AT41=0,"",IF(AND(AT41=1,M41="F",SUMIF(C2:C74,C41,AS2:AS74)&lt;=1),SUMIF(C2:C74,C41,AS2:AS74),IF(AND(AT41=1,M41="F",SUMIF(C2:C74,C41,AS2:AS74)&gt;1),1,"")))</f>
        <v>1</v>
      </c>
      <c r="AV41" s="387" t="str">
        <f>IF(AT41=0,"",IF(AND(AT41=3,M41="F",SUMIF(C2:C74,C41,AS2:AS74)&lt;=1),SUMIF(C2:C74,C41,AS2:AS74),IF(AND(AT41=3,M41="F",SUMIF(C2:C74,C41,AS2:AS74)&gt;1),1,"")))</f>
        <v/>
      </c>
      <c r="AW41" s="387">
        <f>SUMIF(C2:C74,C41,O2:O74)</f>
        <v>1</v>
      </c>
      <c r="AX41" s="387">
        <f>IF(AND(M41="F",AS41&lt;&gt;0),SUMIF(C2:C74,C41,W2:W74),0)</f>
        <v>34424</v>
      </c>
      <c r="AY41" s="387">
        <f t="shared" si="29"/>
        <v>34424</v>
      </c>
      <c r="AZ41" s="387" t="str">
        <f t="shared" si="30"/>
        <v/>
      </c>
      <c r="BA41" s="387">
        <f t="shared" si="31"/>
        <v>0</v>
      </c>
      <c r="BB41" s="387">
        <f t="shared" si="44"/>
        <v>11650</v>
      </c>
      <c r="BC41" s="387">
        <f t="shared" si="45"/>
        <v>0</v>
      </c>
      <c r="BD41" s="387">
        <f t="shared" si="46"/>
        <v>2134.288</v>
      </c>
      <c r="BE41" s="387">
        <f t="shared" si="47"/>
        <v>499.14800000000002</v>
      </c>
      <c r="BF41" s="387">
        <f t="shared" si="48"/>
        <v>4110.2255999999998</v>
      </c>
      <c r="BG41" s="387">
        <f t="shared" si="49"/>
        <v>248.19704000000002</v>
      </c>
      <c r="BH41" s="387">
        <f t="shared" si="50"/>
        <v>168.67759999999998</v>
      </c>
      <c r="BI41" s="387">
        <f t="shared" si="51"/>
        <v>190.53684000000001</v>
      </c>
      <c r="BJ41" s="387">
        <f t="shared" si="52"/>
        <v>92.944800000000001</v>
      </c>
      <c r="BK41" s="387">
        <f t="shared" si="53"/>
        <v>0</v>
      </c>
      <c r="BL41" s="387">
        <f t="shared" si="32"/>
        <v>7444.0178799999994</v>
      </c>
      <c r="BM41" s="387">
        <f t="shared" si="33"/>
        <v>0</v>
      </c>
      <c r="BN41" s="387">
        <f t="shared" si="54"/>
        <v>11650</v>
      </c>
      <c r="BO41" s="387">
        <f t="shared" si="55"/>
        <v>0</v>
      </c>
      <c r="BP41" s="387">
        <f t="shared" si="56"/>
        <v>2134.288</v>
      </c>
      <c r="BQ41" s="387">
        <f t="shared" si="57"/>
        <v>499.14800000000002</v>
      </c>
      <c r="BR41" s="387">
        <f t="shared" si="58"/>
        <v>4110.2255999999998</v>
      </c>
      <c r="BS41" s="387">
        <f t="shared" si="59"/>
        <v>248.19704000000002</v>
      </c>
      <c r="BT41" s="387">
        <f t="shared" si="60"/>
        <v>0</v>
      </c>
      <c r="BU41" s="387">
        <f t="shared" si="61"/>
        <v>190.53684000000001</v>
      </c>
      <c r="BV41" s="387">
        <f t="shared" si="62"/>
        <v>82.617599999999996</v>
      </c>
      <c r="BW41" s="387">
        <f t="shared" si="63"/>
        <v>0</v>
      </c>
      <c r="BX41" s="387">
        <f t="shared" si="34"/>
        <v>7265.0130799999988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-168.67759999999998</v>
      </c>
      <c r="CG41" s="387">
        <f t="shared" si="68"/>
        <v>0</v>
      </c>
      <c r="CH41" s="387">
        <f t="shared" si="69"/>
        <v>-10.327200000000012</v>
      </c>
      <c r="CI41" s="387">
        <f t="shared" si="70"/>
        <v>0</v>
      </c>
      <c r="CJ41" s="387">
        <f t="shared" si="39"/>
        <v>-179.00479999999999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0550-01</v>
      </c>
    </row>
    <row r="42" spans="1:92" ht="15.75" thickBot="1" x14ac:dyDescent="0.3">
      <c r="A42" s="376" t="s">
        <v>161</v>
      </c>
      <c r="B42" s="376" t="s">
        <v>162</v>
      </c>
      <c r="C42" s="376" t="s">
        <v>385</v>
      </c>
      <c r="D42" s="376" t="s">
        <v>386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387</v>
      </c>
      <c r="L42" s="376" t="s">
        <v>234</v>
      </c>
      <c r="M42" s="376" t="s">
        <v>178</v>
      </c>
      <c r="N42" s="376" t="s">
        <v>194</v>
      </c>
      <c r="O42" s="379">
        <v>1</v>
      </c>
      <c r="P42" s="385">
        <v>1</v>
      </c>
      <c r="Q42" s="385">
        <v>1</v>
      </c>
      <c r="R42" s="380">
        <v>80</v>
      </c>
      <c r="S42" s="385">
        <v>1</v>
      </c>
      <c r="T42" s="380">
        <v>42390.41</v>
      </c>
      <c r="U42" s="380">
        <v>0</v>
      </c>
      <c r="V42" s="380">
        <v>20310.09</v>
      </c>
      <c r="W42" s="380">
        <v>44137.599999999999</v>
      </c>
      <c r="X42" s="380">
        <v>21194.73</v>
      </c>
      <c r="Y42" s="380">
        <v>44137.599999999999</v>
      </c>
      <c r="Z42" s="380">
        <v>20965.22</v>
      </c>
      <c r="AA42" s="376" t="s">
        <v>388</v>
      </c>
      <c r="AB42" s="376" t="s">
        <v>389</v>
      </c>
      <c r="AC42" s="376" t="s">
        <v>390</v>
      </c>
      <c r="AD42" s="376" t="s">
        <v>391</v>
      </c>
      <c r="AE42" s="376" t="s">
        <v>387</v>
      </c>
      <c r="AF42" s="376" t="s">
        <v>245</v>
      </c>
      <c r="AG42" s="376" t="s">
        <v>185</v>
      </c>
      <c r="AH42" s="381">
        <v>21.22</v>
      </c>
      <c r="AI42" s="381">
        <v>41874.300000000003</v>
      </c>
      <c r="AJ42" s="376" t="s">
        <v>186</v>
      </c>
      <c r="AK42" s="376" t="s">
        <v>187</v>
      </c>
      <c r="AL42" s="376" t="s">
        <v>173</v>
      </c>
      <c r="AM42" s="376" t="s">
        <v>188</v>
      </c>
      <c r="AN42" s="376" t="s">
        <v>68</v>
      </c>
      <c r="AO42" s="379">
        <v>80</v>
      </c>
      <c r="AP42" s="385">
        <v>1</v>
      </c>
      <c r="AQ42" s="385">
        <v>1</v>
      </c>
      <c r="AR42" s="384" t="s">
        <v>189</v>
      </c>
      <c r="AS42" s="387">
        <f t="shared" si="27"/>
        <v>1</v>
      </c>
      <c r="AT42">
        <f t="shared" si="28"/>
        <v>1</v>
      </c>
      <c r="AU42" s="387">
        <f>IF(AT42=0,"",IF(AND(AT42=1,M42="F",SUMIF(C2:C74,C42,AS2:AS74)&lt;=1),SUMIF(C2:C74,C42,AS2:AS74),IF(AND(AT42=1,M42="F",SUMIF(C2:C74,C42,AS2:AS74)&gt;1),1,"")))</f>
        <v>1</v>
      </c>
      <c r="AV42" s="387" t="str">
        <f>IF(AT42=0,"",IF(AND(AT42=3,M42="F",SUMIF(C2:C74,C42,AS2:AS74)&lt;=1),SUMIF(C2:C74,C42,AS2:AS74),IF(AND(AT42=3,M42="F",SUMIF(C2:C74,C42,AS2:AS74)&gt;1),1,"")))</f>
        <v/>
      </c>
      <c r="AW42" s="387">
        <f>SUMIF(C2:C74,C42,O2:O74)</f>
        <v>1</v>
      </c>
      <c r="AX42" s="387">
        <f>IF(AND(M42="F",AS42&lt;&gt;0),SUMIF(C2:C74,C42,W2:W74),0)</f>
        <v>44137.599999999999</v>
      </c>
      <c r="AY42" s="387">
        <f t="shared" si="29"/>
        <v>44137.599999999999</v>
      </c>
      <c r="AZ42" s="387" t="str">
        <f t="shared" si="30"/>
        <v/>
      </c>
      <c r="BA42" s="387">
        <f t="shared" si="31"/>
        <v>0</v>
      </c>
      <c r="BB42" s="387">
        <f t="shared" si="44"/>
        <v>11650</v>
      </c>
      <c r="BC42" s="387">
        <f t="shared" si="45"/>
        <v>0</v>
      </c>
      <c r="BD42" s="387">
        <f t="shared" si="46"/>
        <v>2736.5311999999999</v>
      </c>
      <c r="BE42" s="387">
        <f t="shared" si="47"/>
        <v>639.99520000000007</v>
      </c>
      <c r="BF42" s="387">
        <f t="shared" si="48"/>
        <v>5270.0294400000002</v>
      </c>
      <c r="BG42" s="387">
        <f t="shared" si="49"/>
        <v>318.23209600000001</v>
      </c>
      <c r="BH42" s="387">
        <f t="shared" si="50"/>
        <v>216.27423999999999</v>
      </c>
      <c r="BI42" s="387">
        <f t="shared" si="51"/>
        <v>244.301616</v>
      </c>
      <c r="BJ42" s="387">
        <f t="shared" si="52"/>
        <v>119.17152</v>
      </c>
      <c r="BK42" s="387">
        <f t="shared" si="53"/>
        <v>0</v>
      </c>
      <c r="BL42" s="387">
        <f t="shared" si="32"/>
        <v>9544.5353120000018</v>
      </c>
      <c r="BM42" s="387">
        <f t="shared" si="33"/>
        <v>0</v>
      </c>
      <c r="BN42" s="387">
        <f t="shared" si="54"/>
        <v>11650</v>
      </c>
      <c r="BO42" s="387">
        <f t="shared" si="55"/>
        <v>0</v>
      </c>
      <c r="BP42" s="387">
        <f t="shared" si="56"/>
        <v>2736.5311999999999</v>
      </c>
      <c r="BQ42" s="387">
        <f t="shared" si="57"/>
        <v>639.99520000000007</v>
      </c>
      <c r="BR42" s="387">
        <f t="shared" si="58"/>
        <v>5270.0294400000002</v>
      </c>
      <c r="BS42" s="387">
        <f t="shared" si="59"/>
        <v>318.23209600000001</v>
      </c>
      <c r="BT42" s="387">
        <f t="shared" si="60"/>
        <v>0</v>
      </c>
      <c r="BU42" s="387">
        <f t="shared" si="61"/>
        <v>244.301616</v>
      </c>
      <c r="BV42" s="387">
        <f t="shared" si="62"/>
        <v>105.93023999999998</v>
      </c>
      <c r="BW42" s="387">
        <f t="shared" si="63"/>
        <v>0</v>
      </c>
      <c r="BX42" s="387">
        <f t="shared" si="34"/>
        <v>9315.019792000001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-216.27423999999999</v>
      </c>
      <c r="CG42" s="387">
        <f t="shared" si="68"/>
        <v>0</v>
      </c>
      <c r="CH42" s="387">
        <f t="shared" si="69"/>
        <v>-13.241280000000016</v>
      </c>
      <c r="CI42" s="387">
        <f t="shared" si="70"/>
        <v>0</v>
      </c>
      <c r="CJ42" s="387">
        <f t="shared" si="39"/>
        <v>-229.51552000000001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0550-01</v>
      </c>
    </row>
    <row r="43" spans="1:92" ht="15.75" thickBot="1" x14ac:dyDescent="0.3">
      <c r="A43" s="376" t="s">
        <v>161</v>
      </c>
      <c r="B43" s="376" t="s">
        <v>162</v>
      </c>
      <c r="C43" s="376" t="s">
        <v>392</v>
      </c>
      <c r="D43" s="376" t="s">
        <v>393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394</v>
      </c>
      <c r="L43" s="376" t="s">
        <v>170</v>
      </c>
      <c r="M43" s="376" t="s">
        <v>178</v>
      </c>
      <c r="N43" s="376" t="s">
        <v>179</v>
      </c>
      <c r="O43" s="379">
        <v>1</v>
      </c>
      <c r="P43" s="385">
        <v>1</v>
      </c>
      <c r="Q43" s="385">
        <v>1</v>
      </c>
      <c r="R43" s="380">
        <v>80</v>
      </c>
      <c r="S43" s="385">
        <v>1</v>
      </c>
      <c r="T43" s="380">
        <v>143236</v>
      </c>
      <c r="U43" s="380">
        <v>0</v>
      </c>
      <c r="V43" s="380">
        <v>40611.57</v>
      </c>
      <c r="W43" s="380">
        <v>136884.79999999999</v>
      </c>
      <c r="X43" s="380">
        <v>40492.949999999997</v>
      </c>
      <c r="Y43" s="380">
        <v>136884.79999999999</v>
      </c>
      <c r="Z43" s="380">
        <v>39781.160000000003</v>
      </c>
      <c r="AA43" s="376" t="s">
        <v>395</v>
      </c>
      <c r="AB43" s="376" t="s">
        <v>396</v>
      </c>
      <c r="AC43" s="376" t="s">
        <v>320</v>
      </c>
      <c r="AD43" s="376" t="s">
        <v>397</v>
      </c>
      <c r="AE43" s="376" t="s">
        <v>394</v>
      </c>
      <c r="AF43" s="376" t="s">
        <v>398</v>
      </c>
      <c r="AG43" s="376" t="s">
        <v>185</v>
      </c>
      <c r="AH43" s="381">
        <v>65.81</v>
      </c>
      <c r="AI43" s="379">
        <v>11360</v>
      </c>
      <c r="AJ43" s="376" t="s">
        <v>186</v>
      </c>
      <c r="AK43" s="376" t="s">
        <v>187</v>
      </c>
      <c r="AL43" s="376" t="s">
        <v>173</v>
      </c>
      <c r="AM43" s="376" t="s">
        <v>188</v>
      </c>
      <c r="AN43" s="376" t="s">
        <v>68</v>
      </c>
      <c r="AO43" s="379">
        <v>80</v>
      </c>
      <c r="AP43" s="385">
        <v>1</v>
      </c>
      <c r="AQ43" s="385">
        <v>1</v>
      </c>
      <c r="AR43" s="384" t="s">
        <v>189</v>
      </c>
      <c r="AS43" s="387">
        <f t="shared" si="27"/>
        <v>1</v>
      </c>
      <c r="AT43">
        <f t="shared" si="28"/>
        <v>1</v>
      </c>
      <c r="AU43" s="387">
        <f>IF(AT43=0,"",IF(AND(AT43=1,M43="F",SUMIF(C2:C74,C43,AS2:AS74)&lt;=1),SUMIF(C2:C74,C43,AS2:AS74),IF(AND(AT43=1,M43="F",SUMIF(C2:C74,C43,AS2:AS74)&gt;1),1,"")))</f>
        <v>1</v>
      </c>
      <c r="AV43" s="387" t="str">
        <f>IF(AT43=0,"",IF(AND(AT43=3,M43="F",SUMIF(C2:C74,C43,AS2:AS74)&lt;=1),SUMIF(C2:C74,C43,AS2:AS74),IF(AND(AT43=3,M43="F",SUMIF(C2:C74,C43,AS2:AS74)&gt;1),1,"")))</f>
        <v/>
      </c>
      <c r="AW43" s="387">
        <f>SUMIF(C2:C74,C43,O2:O74)</f>
        <v>1</v>
      </c>
      <c r="AX43" s="387">
        <f>IF(AND(M43="F",AS43&lt;&gt;0),SUMIF(C2:C74,C43,W2:W74),0)</f>
        <v>136884.79999999999</v>
      </c>
      <c r="AY43" s="387">
        <f t="shared" si="29"/>
        <v>136884.79999999999</v>
      </c>
      <c r="AZ43" s="387" t="str">
        <f t="shared" si="30"/>
        <v/>
      </c>
      <c r="BA43" s="387">
        <f t="shared" si="31"/>
        <v>0</v>
      </c>
      <c r="BB43" s="387">
        <f t="shared" si="44"/>
        <v>11650</v>
      </c>
      <c r="BC43" s="387">
        <f t="shared" si="45"/>
        <v>0</v>
      </c>
      <c r="BD43" s="387">
        <f t="shared" si="46"/>
        <v>8486.8575999999994</v>
      </c>
      <c r="BE43" s="387">
        <f t="shared" si="47"/>
        <v>1984.8296</v>
      </c>
      <c r="BF43" s="387">
        <f t="shared" si="48"/>
        <v>16344.045119999999</v>
      </c>
      <c r="BG43" s="387">
        <f t="shared" si="49"/>
        <v>986.93940799999996</v>
      </c>
      <c r="BH43" s="387">
        <f t="shared" si="50"/>
        <v>670.73551999999995</v>
      </c>
      <c r="BI43" s="387">
        <f t="shared" si="51"/>
        <v>0</v>
      </c>
      <c r="BJ43" s="387">
        <f t="shared" si="52"/>
        <v>369.58895999999999</v>
      </c>
      <c r="BK43" s="387">
        <f t="shared" si="53"/>
        <v>0</v>
      </c>
      <c r="BL43" s="387">
        <f t="shared" si="32"/>
        <v>28842.996207999997</v>
      </c>
      <c r="BM43" s="387">
        <f t="shared" si="33"/>
        <v>0</v>
      </c>
      <c r="BN43" s="387">
        <f t="shared" si="54"/>
        <v>11650</v>
      </c>
      <c r="BO43" s="387">
        <f t="shared" si="55"/>
        <v>0</v>
      </c>
      <c r="BP43" s="387">
        <f t="shared" si="56"/>
        <v>8486.8575999999994</v>
      </c>
      <c r="BQ43" s="387">
        <f t="shared" si="57"/>
        <v>1984.8296</v>
      </c>
      <c r="BR43" s="387">
        <f t="shared" si="58"/>
        <v>16344.045119999999</v>
      </c>
      <c r="BS43" s="387">
        <f t="shared" si="59"/>
        <v>986.93940799999996</v>
      </c>
      <c r="BT43" s="387">
        <f t="shared" si="60"/>
        <v>0</v>
      </c>
      <c r="BU43" s="387">
        <f t="shared" si="61"/>
        <v>0</v>
      </c>
      <c r="BV43" s="387">
        <f t="shared" si="62"/>
        <v>328.52351999999996</v>
      </c>
      <c r="BW43" s="387">
        <f t="shared" si="63"/>
        <v>0</v>
      </c>
      <c r="BX43" s="387">
        <f t="shared" si="34"/>
        <v>28131.195247999996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-670.73551999999995</v>
      </c>
      <c r="CG43" s="387">
        <f t="shared" si="68"/>
        <v>0</v>
      </c>
      <c r="CH43" s="387">
        <f t="shared" si="69"/>
        <v>-41.065440000000045</v>
      </c>
      <c r="CI43" s="387">
        <f t="shared" si="70"/>
        <v>0</v>
      </c>
      <c r="CJ43" s="387">
        <f t="shared" si="39"/>
        <v>-711.80096000000003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0550-01</v>
      </c>
    </row>
    <row r="44" spans="1:92" ht="15.75" thickBot="1" x14ac:dyDescent="0.3">
      <c r="A44" s="376" t="s">
        <v>161</v>
      </c>
      <c r="B44" s="376" t="s">
        <v>162</v>
      </c>
      <c r="C44" s="376" t="s">
        <v>399</v>
      </c>
      <c r="D44" s="376" t="s">
        <v>239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240</v>
      </c>
      <c r="L44" s="376" t="s">
        <v>234</v>
      </c>
      <c r="M44" s="376" t="s">
        <v>178</v>
      </c>
      <c r="N44" s="376" t="s">
        <v>194</v>
      </c>
      <c r="O44" s="379">
        <v>1</v>
      </c>
      <c r="P44" s="385">
        <v>1</v>
      </c>
      <c r="Q44" s="385">
        <v>1</v>
      </c>
      <c r="R44" s="380">
        <v>80</v>
      </c>
      <c r="S44" s="385">
        <v>1</v>
      </c>
      <c r="T44" s="380">
        <v>38254.400000000001</v>
      </c>
      <c r="U44" s="380">
        <v>96.99</v>
      </c>
      <c r="V44" s="380">
        <v>19466.2</v>
      </c>
      <c r="W44" s="380">
        <v>40539.199999999997</v>
      </c>
      <c r="X44" s="380">
        <v>20416.57</v>
      </c>
      <c r="Y44" s="380">
        <v>40539.199999999997</v>
      </c>
      <c r="Z44" s="380">
        <v>20205.77</v>
      </c>
      <c r="AA44" s="376" t="s">
        <v>400</v>
      </c>
      <c r="AB44" s="376" t="s">
        <v>401</v>
      </c>
      <c r="AC44" s="376" t="s">
        <v>402</v>
      </c>
      <c r="AD44" s="376" t="s">
        <v>311</v>
      </c>
      <c r="AE44" s="376" t="s">
        <v>240</v>
      </c>
      <c r="AF44" s="376" t="s">
        <v>245</v>
      </c>
      <c r="AG44" s="376" t="s">
        <v>185</v>
      </c>
      <c r="AH44" s="381">
        <v>19.489999999999998</v>
      </c>
      <c r="AI44" s="381">
        <v>14154.7</v>
      </c>
      <c r="AJ44" s="376" t="s">
        <v>186</v>
      </c>
      <c r="AK44" s="376" t="s">
        <v>187</v>
      </c>
      <c r="AL44" s="376" t="s">
        <v>173</v>
      </c>
      <c r="AM44" s="376" t="s">
        <v>188</v>
      </c>
      <c r="AN44" s="376" t="s">
        <v>68</v>
      </c>
      <c r="AO44" s="379">
        <v>80</v>
      </c>
      <c r="AP44" s="385">
        <v>1</v>
      </c>
      <c r="AQ44" s="385">
        <v>1</v>
      </c>
      <c r="AR44" s="384" t="s">
        <v>189</v>
      </c>
      <c r="AS44" s="387">
        <f t="shared" si="27"/>
        <v>1</v>
      </c>
      <c r="AT44">
        <f t="shared" si="28"/>
        <v>1</v>
      </c>
      <c r="AU44" s="387">
        <f>IF(AT44=0,"",IF(AND(AT44=1,M44="F",SUMIF(C2:C74,C44,AS2:AS74)&lt;=1),SUMIF(C2:C74,C44,AS2:AS74),IF(AND(AT44=1,M44="F",SUMIF(C2:C74,C44,AS2:AS74)&gt;1),1,"")))</f>
        <v>1</v>
      </c>
      <c r="AV44" s="387" t="str">
        <f>IF(AT44=0,"",IF(AND(AT44=3,M44="F",SUMIF(C2:C74,C44,AS2:AS74)&lt;=1),SUMIF(C2:C74,C44,AS2:AS74),IF(AND(AT44=3,M44="F",SUMIF(C2:C74,C44,AS2:AS74)&gt;1),1,"")))</f>
        <v/>
      </c>
      <c r="AW44" s="387">
        <f>SUMIF(C2:C74,C44,O2:O74)</f>
        <v>1</v>
      </c>
      <c r="AX44" s="387">
        <f>IF(AND(M44="F",AS44&lt;&gt;0),SUMIF(C2:C74,C44,W2:W74),0)</f>
        <v>40539.199999999997</v>
      </c>
      <c r="AY44" s="387">
        <f t="shared" si="29"/>
        <v>40539.199999999997</v>
      </c>
      <c r="AZ44" s="387" t="str">
        <f t="shared" si="30"/>
        <v/>
      </c>
      <c r="BA44" s="387">
        <f t="shared" si="31"/>
        <v>0</v>
      </c>
      <c r="BB44" s="387">
        <f t="shared" si="44"/>
        <v>11650</v>
      </c>
      <c r="BC44" s="387">
        <f t="shared" si="45"/>
        <v>0</v>
      </c>
      <c r="BD44" s="387">
        <f t="shared" si="46"/>
        <v>2513.4303999999997</v>
      </c>
      <c r="BE44" s="387">
        <f t="shared" si="47"/>
        <v>587.8184</v>
      </c>
      <c r="BF44" s="387">
        <f t="shared" si="48"/>
        <v>4840.3804799999998</v>
      </c>
      <c r="BG44" s="387">
        <f t="shared" si="49"/>
        <v>292.28763199999997</v>
      </c>
      <c r="BH44" s="387">
        <f t="shared" si="50"/>
        <v>198.64207999999999</v>
      </c>
      <c r="BI44" s="387">
        <f t="shared" si="51"/>
        <v>224.38447199999999</v>
      </c>
      <c r="BJ44" s="387">
        <f t="shared" si="52"/>
        <v>109.45583999999999</v>
      </c>
      <c r="BK44" s="387">
        <f t="shared" si="53"/>
        <v>0</v>
      </c>
      <c r="BL44" s="387">
        <f t="shared" si="32"/>
        <v>8766.3993039999987</v>
      </c>
      <c r="BM44" s="387">
        <f t="shared" si="33"/>
        <v>0</v>
      </c>
      <c r="BN44" s="387">
        <f t="shared" si="54"/>
        <v>11650</v>
      </c>
      <c r="BO44" s="387">
        <f t="shared" si="55"/>
        <v>0</v>
      </c>
      <c r="BP44" s="387">
        <f t="shared" si="56"/>
        <v>2513.4303999999997</v>
      </c>
      <c r="BQ44" s="387">
        <f t="shared" si="57"/>
        <v>587.8184</v>
      </c>
      <c r="BR44" s="387">
        <f t="shared" si="58"/>
        <v>4840.3804799999998</v>
      </c>
      <c r="BS44" s="387">
        <f t="shared" si="59"/>
        <v>292.28763199999997</v>
      </c>
      <c r="BT44" s="387">
        <f t="shared" si="60"/>
        <v>0</v>
      </c>
      <c r="BU44" s="387">
        <f t="shared" si="61"/>
        <v>224.38447199999999</v>
      </c>
      <c r="BV44" s="387">
        <f t="shared" si="62"/>
        <v>97.29407999999998</v>
      </c>
      <c r="BW44" s="387">
        <f t="shared" si="63"/>
        <v>0</v>
      </c>
      <c r="BX44" s="387">
        <f t="shared" si="34"/>
        <v>8555.5954639999982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-198.64207999999999</v>
      </c>
      <c r="CG44" s="387">
        <f t="shared" si="68"/>
        <v>0</v>
      </c>
      <c r="CH44" s="387">
        <f t="shared" si="69"/>
        <v>-12.161760000000013</v>
      </c>
      <c r="CI44" s="387">
        <f t="shared" si="70"/>
        <v>0</v>
      </c>
      <c r="CJ44" s="387">
        <f t="shared" si="39"/>
        <v>-210.80384000000001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0550-01</v>
      </c>
    </row>
    <row r="45" spans="1:92" ht="15.75" thickBot="1" x14ac:dyDescent="0.3">
      <c r="A45" s="376" t="s">
        <v>161</v>
      </c>
      <c r="B45" s="376" t="s">
        <v>162</v>
      </c>
      <c r="C45" s="376" t="s">
        <v>403</v>
      </c>
      <c r="D45" s="376" t="s">
        <v>275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276</v>
      </c>
      <c r="L45" s="376" t="s">
        <v>185</v>
      </c>
      <c r="M45" s="376" t="s">
        <v>178</v>
      </c>
      <c r="N45" s="376" t="s">
        <v>194</v>
      </c>
      <c r="O45" s="379">
        <v>1</v>
      </c>
      <c r="P45" s="385">
        <v>1</v>
      </c>
      <c r="Q45" s="385">
        <v>1</v>
      </c>
      <c r="R45" s="380">
        <v>80</v>
      </c>
      <c r="S45" s="385">
        <v>1</v>
      </c>
      <c r="T45" s="380">
        <v>28179.24</v>
      </c>
      <c r="U45" s="380">
        <v>0</v>
      </c>
      <c r="V45" s="380">
        <v>17345.11</v>
      </c>
      <c r="W45" s="380">
        <v>30118.400000000001</v>
      </c>
      <c r="X45" s="380">
        <v>18163.07</v>
      </c>
      <c r="Y45" s="380">
        <v>30118.400000000001</v>
      </c>
      <c r="Z45" s="380">
        <v>18006.46</v>
      </c>
      <c r="AA45" s="376" t="s">
        <v>404</v>
      </c>
      <c r="AB45" s="376" t="s">
        <v>405</v>
      </c>
      <c r="AC45" s="376" t="s">
        <v>406</v>
      </c>
      <c r="AD45" s="376" t="s">
        <v>234</v>
      </c>
      <c r="AE45" s="376" t="s">
        <v>276</v>
      </c>
      <c r="AF45" s="376" t="s">
        <v>266</v>
      </c>
      <c r="AG45" s="376" t="s">
        <v>185</v>
      </c>
      <c r="AH45" s="381">
        <v>14.48</v>
      </c>
      <c r="AI45" s="381">
        <v>56059.5</v>
      </c>
      <c r="AJ45" s="376" t="s">
        <v>186</v>
      </c>
      <c r="AK45" s="376" t="s">
        <v>187</v>
      </c>
      <c r="AL45" s="376" t="s">
        <v>173</v>
      </c>
      <c r="AM45" s="376" t="s">
        <v>188</v>
      </c>
      <c r="AN45" s="376" t="s">
        <v>68</v>
      </c>
      <c r="AO45" s="379">
        <v>80</v>
      </c>
      <c r="AP45" s="385">
        <v>1</v>
      </c>
      <c r="AQ45" s="385">
        <v>1</v>
      </c>
      <c r="AR45" s="384" t="s">
        <v>189</v>
      </c>
      <c r="AS45" s="387">
        <f t="shared" si="27"/>
        <v>1</v>
      </c>
      <c r="AT45">
        <f t="shared" si="28"/>
        <v>1</v>
      </c>
      <c r="AU45" s="387">
        <f>IF(AT45=0,"",IF(AND(AT45=1,M45="F",SUMIF(C2:C74,C45,AS2:AS74)&lt;=1),SUMIF(C2:C74,C45,AS2:AS74),IF(AND(AT45=1,M45="F",SUMIF(C2:C74,C45,AS2:AS74)&gt;1),1,"")))</f>
        <v>1</v>
      </c>
      <c r="AV45" s="387" t="str">
        <f>IF(AT45=0,"",IF(AND(AT45=3,M45="F",SUMIF(C2:C74,C45,AS2:AS74)&lt;=1),SUMIF(C2:C74,C45,AS2:AS74),IF(AND(AT45=3,M45="F",SUMIF(C2:C74,C45,AS2:AS74)&gt;1),1,"")))</f>
        <v/>
      </c>
      <c r="AW45" s="387">
        <f>SUMIF(C2:C74,C45,O2:O74)</f>
        <v>1</v>
      </c>
      <c r="AX45" s="387">
        <f>IF(AND(M45="F",AS45&lt;&gt;0),SUMIF(C2:C74,C45,W2:W74),0)</f>
        <v>30118.400000000001</v>
      </c>
      <c r="AY45" s="387">
        <f t="shared" si="29"/>
        <v>30118.400000000001</v>
      </c>
      <c r="AZ45" s="387" t="str">
        <f t="shared" si="30"/>
        <v/>
      </c>
      <c r="BA45" s="387">
        <f t="shared" si="31"/>
        <v>0</v>
      </c>
      <c r="BB45" s="387">
        <f t="shared" si="44"/>
        <v>11650</v>
      </c>
      <c r="BC45" s="387">
        <f t="shared" si="45"/>
        <v>0</v>
      </c>
      <c r="BD45" s="387">
        <f t="shared" si="46"/>
        <v>1867.3408000000002</v>
      </c>
      <c r="BE45" s="387">
        <f t="shared" si="47"/>
        <v>436.71680000000003</v>
      </c>
      <c r="BF45" s="387">
        <f t="shared" si="48"/>
        <v>3596.1369600000003</v>
      </c>
      <c r="BG45" s="387">
        <f t="shared" si="49"/>
        <v>217.15366400000002</v>
      </c>
      <c r="BH45" s="387">
        <f t="shared" si="50"/>
        <v>147.58016000000001</v>
      </c>
      <c r="BI45" s="387">
        <f t="shared" si="51"/>
        <v>166.705344</v>
      </c>
      <c r="BJ45" s="387">
        <f t="shared" si="52"/>
        <v>81.319680000000005</v>
      </c>
      <c r="BK45" s="387">
        <f t="shared" si="53"/>
        <v>0</v>
      </c>
      <c r="BL45" s="387">
        <f t="shared" si="32"/>
        <v>6512.9534080000003</v>
      </c>
      <c r="BM45" s="387">
        <f t="shared" si="33"/>
        <v>0</v>
      </c>
      <c r="BN45" s="387">
        <f t="shared" si="54"/>
        <v>11650</v>
      </c>
      <c r="BO45" s="387">
        <f t="shared" si="55"/>
        <v>0</v>
      </c>
      <c r="BP45" s="387">
        <f t="shared" si="56"/>
        <v>1867.3408000000002</v>
      </c>
      <c r="BQ45" s="387">
        <f t="shared" si="57"/>
        <v>436.71680000000003</v>
      </c>
      <c r="BR45" s="387">
        <f t="shared" si="58"/>
        <v>3596.1369600000003</v>
      </c>
      <c r="BS45" s="387">
        <f t="shared" si="59"/>
        <v>217.15366400000002</v>
      </c>
      <c r="BT45" s="387">
        <f t="shared" si="60"/>
        <v>0</v>
      </c>
      <c r="BU45" s="387">
        <f t="shared" si="61"/>
        <v>166.705344</v>
      </c>
      <c r="BV45" s="387">
        <f t="shared" si="62"/>
        <v>72.28416</v>
      </c>
      <c r="BW45" s="387">
        <f t="shared" si="63"/>
        <v>0</v>
      </c>
      <c r="BX45" s="387">
        <f t="shared" si="34"/>
        <v>6356.3377280000004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-147.58016000000001</v>
      </c>
      <c r="CG45" s="387">
        <f t="shared" si="68"/>
        <v>0</v>
      </c>
      <c r="CH45" s="387">
        <f t="shared" si="69"/>
        <v>-9.0355200000000107</v>
      </c>
      <c r="CI45" s="387">
        <f t="shared" si="70"/>
        <v>0</v>
      </c>
      <c r="CJ45" s="387">
        <f t="shared" si="39"/>
        <v>-156.61568000000003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0550-01</v>
      </c>
    </row>
    <row r="46" spans="1:92" ht="15.75" thickBot="1" x14ac:dyDescent="0.3">
      <c r="A46" s="376" t="s">
        <v>161</v>
      </c>
      <c r="B46" s="376" t="s">
        <v>162</v>
      </c>
      <c r="C46" s="376" t="s">
        <v>407</v>
      </c>
      <c r="D46" s="376" t="s">
        <v>239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240</v>
      </c>
      <c r="L46" s="376" t="s">
        <v>234</v>
      </c>
      <c r="M46" s="376" t="s">
        <v>178</v>
      </c>
      <c r="N46" s="376" t="s">
        <v>194</v>
      </c>
      <c r="O46" s="379">
        <v>1</v>
      </c>
      <c r="P46" s="385">
        <v>1</v>
      </c>
      <c r="Q46" s="385">
        <v>1</v>
      </c>
      <c r="R46" s="380">
        <v>80</v>
      </c>
      <c r="S46" s="385">
        <v>1</v>
      </c>
      <c r="T46" s="380">
        <v>8024.4</v>
      </c>
      <c r="U46" s="380">
        <v>0</v>
      </c>
      <c r="V46" s="380">
        <v>5012.43</v>
      </c>
      <c r="W46" s="380">
        <v>38480</v>
      </c>
      <c r="X46" s="380">
        <v>19971.28</v>
      </c>
      <c r="Y46" s="380">
        <v>38480</v>
      </c>
      <c r="Z46" s="380">
        <v>19771.189999999999</v>
      </c>
      <c r="AA46" s="376" t="s">
        <v>408</v>
      </c>
      <c r="AB46" s="376" t="s">
        <v>409</v>
      </c>
      <c r="AC46" s="376" t="s">
        <v>291</v>
      </c>
      <c r="AD46" s="376" t="s">
        <v>410</v>
      </c>
      <c r="AE46" s="376" t="s">
        <v>240</v>
      </c>
      <c r="AF46" s="376" t="s">
        <v>245</v>
      </c>
      <c r="AG46" s="376" t="s">
        <v>185</v>
      </c>
      <c r="AH46" s="381">
        <v>18.5</v>
      </c>
      <c r="AI46" s="379">
        <v>568</v>
      </c>
      <c r="AJ46" s="376" t="s">
        <v>186</v>
      </c>
      <c r="AK46" s="376" t="s">
        <v>187</v>
      </c>
      <c r="AL46" s="376" t="s">
        <v>173</v>
      </c>
      <c r="AM46" s="376" t="s">
        <v>188</v>
      </c>
      <c r="AN46" s="376" t="s">
        <v>68</v>
      </c>
      <c r="AO46" s="379">
        <v>80</v>
      </c>
      <c r="AP46" s="385">
        <v>1</v>
      </c>
      <c r="AQ46" s="385">
        <v>1</v>
      </c>
      <c r="AR46" s="384" t="s">
        <v>189</v>
      </c>
      <c r="AS46" s="387">
        <f t="shared" si="27"/>
        <v>1</v>
      </c>
      <c r="AT46">
        <f t="shared" si="28"/>
        <v>1</v>
      </c>
      <c r="AU46" s="387">
        <f>IF(AT46=0,"",IF(AND(AT46=1,M46="F",SUMIF(C2:C74,C46,AS2:AS74)&lt;=1),SUMIF(C2:C74,C46,AS2:AS74),IF(AND(AT46=1,M46="F",SUMIF(C2:C74,C46,AS2:AS74)&gt;1),1,"")))</f>
        <v>1</v>
      </c>
      <c r="AV46" s="387" t="str">
        <f>IF(AT46=0,"",IF(AND(AT46=3,M46="F",SUMIF(C2:C74,C46,AS2:AS74)&lt;=1),SUMIF(C2:C74,C46,AS2:AS74),IF(AND(AT46=3,M46="F",SUMIF(C2:C74,C46,AS2:AS74)&gt;1),1,"")))</f>
        <v/>
      </c>
      <c r="AW46" s="387">
        <f>SUMIF(C2:C74,C46,O2:O74)</f>
        <v>1</v>
      </c>
      <c r="AX46" s="387">
        <f>IF(AND(M46="F",AS46&lt;&gt;0),SUMIF(C2:C74,C46,W2:W74),0)</f>
        <v>38480</v>
      </c>
      <c r="AY46" s="387">
        <f t="shared" si="29"/>
        <v>38480</v>
      </c>
      <c r="AZ46" s="387" t="str">
        <f t="shared" si="30"/>
        <v/>
      </c>
      <c r="BA46" s="387">
        <f t="shared" si="31"/>
        <v>0</v>
      </c>
      <c r="BB46" s="387">
        <f t="shared" si="44"/>
        <v>11650</v>
      </c>
      <c r="BC46" s="387">
        <f t="shared" si="45"/>
        <v>0</v>
      </c>
      <c r="BD46" s="387">
        <f t="shared" si="46"/>
        <v>2385.7599999999998</v>
      </c>
      <c r="BE46" s="387">
        <f t="shared" si="47"/>
        <v>557.96</v>
      </c>
      <c r="BF46" s="387">
        <f t="shared" si="48"/>
        <v>4594.5120000000006</v>
      </c>
      <c r="BG46" s="387">
        <f t="shared" si="49"/>
        <v>277.44080000000002</v>
      </c>
      <c r="BH46" s="387">
        <f t="shared" si="50"/>
        <v>188.55199999999999</v>
      </c>
      <c r="BI46" s="387">
        <f t="shared" si="51"/>
        <v>212.98679999999999</v>
      </c>
      <c r="BJ46" s="387">
        <f t="shared" si="52"/>
        <v>103.896</v>
      </c>
      <c r="BK46" s="387">
        <f t="shared" si="53"/>
        <v>0</v>
      </c>
      <c r="BL46" s="387">
        <f t="shared" si="32"/>
        <v>8321.1076000000012</v>
      </c>
      <c r="BM46" s="387">
        <f t="shared" si="33"/>
        <v>0</v>
      </c>
      <c r="BN46" s="387">
        <f t="shared" si="54"/>
        <v>11650</v>
      </c>
      <c r="BO46" s="387">
        <f t="shared" si="55"/>
        <v>0</v>
      </c>
      <c r="BP46" s="387">
        <f t="shared" si="56"/>
        <v>2385.7599999999998</v>
      </c>
      <c r="BQ46" s="387">
        <f t="shared" si="57"/>
        <v>557.96</v>
      </c>
      <c r="BR46" s="387">
        <f t="shared" si="58"/>
        <v>4594.5120000000006</v>
      </c>
      <c r="BS46" s="387">
        <f t="shared" si="59"/>
        <v>277.44080000000002</v>
      </c>
      <c r="BT46" s="387">
        <f t="shared" si="60"/>
        <v>0</v>
      </c>
      <c r="BU46" s="387">
        <f t="shared" si="61"/>
        <v>212.98679999999999</v>
      </c>
      <c r="BV46" s="387">
        <f t="shared" si="62"/>
        <v>92.35199999999999</v>
      </c>
      <c r="BW46" s="387">
        <f t="shared" si="63"/>
        <v>0</v>
      </c>
      <c r="BX46" s="387">
        <f t="shared" si="34"/>
        <v>8121.0115999999998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-188.55199999999999</v>
      </c>
      <c r="CG46" s="387">
        <f t="shared" si="68"/>
        <v>0</v>
      </c>
      <c r="CH46" s="387">
        <f t="shared" si="69"/>
        <v>-11.544000000000013</v>
      </c>
      <c r="CI46" s="387">
        <f t="shared" si="70"/>
        <v>0</v>
      </c>
      <c r="CJ46" s="387">
        <f t="shared" si="39"/>
        <v>-200.096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0550-01</v>
      </c>
    </row>
    <row r="47" spans="1:92" ht="15.75" thickBot="1" x14ac:dyDescent="0.3">
      <c r="A47" s="376" t="s">
        <v>161</v>
      </c>
      <c r="B47" s="376" t="s">
        <v>162</v>
      </c>
      <c r="C47" s="376" t="s">
        <v>411</v>
      </c>
      <c r="D47" s="376" t="s">
        <v>261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262</v>
      </c>
      <c r="L47" s="376" t="s">
        <v>185</v>
      </c>
      <c r="M47" s="376" t="s">
        <v>178</v>
      </c>
      <c r="N47" s="376" t="s">
        <v>194</v>
      </c>
      <c r="O47" s="379">
        <v>1</v>
      </c>
      <c r="P47" s="385">
        <v>1</v>
      </c>
      <c r="Q47" s="385">
        <v>1</v>
      </c>
      <c r="R47" s="380">
        <v>80</v>
      </c>
      <c r="S47" s="385">
        <v>1</v>
      </c>
      <c r="T47" s="380">
        <v>28000.02</v>
      </c>
      <c r="U47" s="380">
        <v>0</v>
      </c>
      <c r="V47" s="380">
        <v>17383.560000000001</v>
      </c>
      <c r="W47" s="380">
        <v>29307.200000000001</v>
      </c>
      <c r="X47" s="380">
        <v>17987.64</v>
      </c>
      <c r="Y47" s="380">
        <v>29307.200000000001</v>
      </c>
      <c r="Z47" s="380">
        <v>17835.25</v>
      </c>
      <c r="AA47" s="376" t="s">
        <v>412</v>
      </c>
      <c r="AB47" s="376" t="s">
        <v>413</v>
      </c>
      <c r="AC47" s="376" t="s">
        <v>414</v>
      </c>
      <c r="AD47" s="376" t="s">
        <v>217</v>
      </c>
      <c r="AE47" s="376" t="s">
        <v>262</v>
      </c>
      <c r="AF47" s="376" t="s">
        <v>266</v>
      </c>
      <c r="AG47" s="376" t="s">
        <v>185</v>
      </c>
      <c r="AH47" s="381">
        <v>14.09</v>
      </c>
      <c r="AI47" s="381">
        <v>3121.2</v>
      </c>
      <c r="AJ47" s="376" t="s">
        <v>186</v>
      </c>
      <c r="AK47" s="376" t="s">
        <v>187</v>
      </c>
      <c r="AL47" s="376" t="s">
        <v>173</v>
      </c>
      <c r="AM47" s="376" t="s">
        <v>188</v>
      </c>
      <c r="AN47" s="376" t="s">
        <v>68</v>
      </c>
      <c r="AO47" s="379">
        <v>80</v>
      </c>
      <c r="AP47" s="385">
        <v>1</v>
      </c>
      <c r="AQ47" s="385">
        <v>1</v>
      </c>
      <c r="AR47" s="384" t="s">
        <v>189</v>
      </c>
      <c r="AS47" s="387">
        <f t="shared" si="27"/>
        <v>1</v>
      </c>
      <c r="AT47">
        <f t="shared" si="28"/>
        <v>1</v>
      </c>
      <c r="AU47" s="387">
        <f>IF(AT47=0,"",IF(AND(AT47=1,M47="F",SUMIF(C2:C74,C47,AS2:AS74)&lt;=1),SUMIF(C2:C74,C47,AS2:AS74),IF(AND(AT47=1,M47="F",SUMIF(C2:C74,C47,AS2:AS74)&gt;1),1,"")))</f>
        <v>1</v>
      </c>
      <c r="AV47" s="387" t="str">
        <f>IF(AT47=0,"",IF(AND(AT47=3,M47="F",SUMIF(C2:C74,C47,AS2:AS74)&lt;=1),SUMIF(C2:C74,C47,AS2:AS74),IF(AND(AT47=3,M47="F",SUMIF(C2:C74,C47,AS2:AS74)&gt;1),1,"")))</f>
        <v/>
      </c>
      <c r="AW47" s="387">
        <f>SUMIF(C2:C74,C47,O2:O74)</f>
        <v>1</v>
      </c>
      <c r="AX47" s="387">
        <f>IF(AND(M47="F",AS47&lt;&gt;0),SUMIF(C2:C74,C47,W2:W74),0)</f>
        <v>29307.200000000001</v>
      </c>
      <c r="AY47" s="387">
        <f t="shared" si="29"/>
        <v>29307.200000000001</v>
      </c>
      <c r="AZ47" s="387" t="str">
        <f t="shared" si="30"/>
        <v/>
      </c>
      <c r="BA47" s="387">
        <f t="shared" si="31"/>
        <v>0</v>
      </c>
      <c r="BB47" s="387">
        <f t="shared" si="44"/>
        <v>11650</v>
      </c>
      <c r="BC47" s="387">
        <f t="shared" si="45"/>
        <v>0</v>
      </c>
      <c r="BD47" s="387">
        <f t="shared" si="46"/>
        <v>1817.0463999999999</v>
      </c>
      <c r="BE47" s="387">
        <f t="shared" si="47"/>
        <v>424.95440000000002</v>
      </c>
      <c r="BF47" s="387">
        <f t="shared" si="48"/>
        <v>3499.2796800000001</v>
      </c>
      <c r="BG47" s="387">
        <f t="shared" si="49"/>
        <v>211.304912</v>
      </c>
      <c r="BH47" s="387">
        <f t="shared" si="50"/>
        <v>143.60527999999999</v>
      </c>
      <c r="BI47" s="387">
        <f t="shared" si="51"/>
        <v>162.215352</v>
      </c>
      <c r="BJ47" s="387">
        <f t="shared" si="52"/>
        <v>79.129440000000002</v>
      </c>
      <c r="BK47" s="387">
        <f t="shared" si="53"/>
        <v>0</v>
      </c>
      <c r="BL47" s="387">
        <f t="shared" si="32"/>
        <v>6337.5354639999987</v>
      </c>
      <c r="BM47" s="387">
        <f t="shared" si="33"/>
        <v>0</v>
      </c>
      <c r="BN47" s="387">
        <f t="shared" si="54"/>
        <v>11650</v>
      </c>
      <c r="BO47" s="387">
        <f t="shared" si="55"/>
        <v>0</v>
      </c>
      <c r="BP47" s="387">
        <f t="shared" si="56"/>
        <v>1817.0463999999999</v>
      </c>
      <c r="BQ47" s="387">
        <f t="shared" si="57"/>
        <v>424.95440000000002</v>
      </c>
      <c r="BR47" s="387">
        <f t="shared" si="58"/>
        <v>3499.2796800000001</v>
      </c>
      <c r="BS47" s="387">
        <f t="shared" si="59"/>
        <v>211.304912</v>
      </c>
      <c r="BT47" s="387">
        <f t="shared" si="60"/>
        <v>0</v>
      </c>
      <c r="BU47" s="387">
        <f t="shared" si="61"/>
        <v>162.215352</v>
      </c>
      <c r="BV47" s="387">
        <f t="shared" si="62"/>
        <v>70.337279999999993</v>
      </c>
      <c r="BW47" s="387">
        <f t="shared" si="63"/>
        <v>0</v>
      </c>
      <c r="BX47" s="387">
        <f t="shared" si="34"/>
        <v>6185.1380239999989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-143.60527999999999</v>
      </c>
      <c r="CG47" s="387">
        <f t="shared" si="68"/>
        <v>0</v>
      </c>
      <c r="CH47" s="387">
        <f t="shared" si="69"/>
        <v>-8.7921600000000097</v>
      </c>
      <c r="CI47" s="387">
        <f t="shared" si="70"/>
        <v>0</v>
      </c>
      <c r="CJ47" s="387">
        <f t="shared" si="39"/>
        <v>-152.39744000000002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0550-01</v>
      </c>
    </row>
    <row r="48" spans="1:92" ht="15.75" thickBot="1" x14ac:dyDescent="0.3">
      <c r="A48" s="376" t="s">
        <v>161</v>
      </c>
      <c r="B48" s="376" t="s">
        <v>162</v>
      </c>
      <c r="C48" s="376" t="s">
        <v>415</v>
      </c>
      <c r="D48" s="376" t="s">
        <v>364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365</v>
      </c>
      <c r="L48" s="376" t="s">
        <v>193</v>
      </c>
      <c r="M48" s="376" t="s">
        <v>178</v>
      </c>
      <c r="N48" s="376" t="s">
        <v>194</v>
      </c>
      <c r="O48" s="379">
        <v>1</v>
      </c>
      <c r="P48" s="385">
        <v>1</v>
      </c>
      <c r="Q48" s="385">
        <v>1</v>
      </c>
      <c r="R48" s="380">
        <v>80</v>
      </c>
      <c r="S48" s="385">
        <v>1</v>
      </c>
      <c r="T48" s="380">
        <v>54580.800000000003</v>
      </c>
      <c r="U48" s="380">
        <v>0</v>
      </c>
      <c r="V48" s="380">
        <v>22953.01</v>
      </c>
      <c r="W48" s="380">
        <v>57595.199999999997</v>
      </c>
      <c r="X48" s="380">
        <v>24104.93</v>
      </c>
      <c r="Y48" s="380">
        <v>57595.199999999997</v>
      </c>
      <c r="Z48" s="380">
        <v>23805.439999999999</v>
      </c>
      <c r="AA48" s="376" t="s">
        <v>416</v>
      </c>
      <c r="AB48" s="376" t="s">
        <v>417</v>
      </c>
      <c r="AC48" s="376" t="s">
        <v>418</v>
      </c>
      <c r="AD48" s="376" t="s">
        <v>419</v>
      </c>
      <c r="AE48" s="376" t="s">
        <v>365</v>
      </c>
      <c r="AF48" s="376" t="s">
        <v>199</v>
      </c>
      <c r="AG48" s="376" t="s">
        <v>185</v>
      </c>
      <c r="AH48" s="381">
        <v>27.69</v>
      </c>
      <c r="AI48" s="381">
        <v>18568.7</v>
      </c>
      <c r="AJ48" s="376" t="s">
        <v>186</v>
      </c>
      <c r="AK48" s="376" t="s">
        <v>187</v>
      </c>
      <c r="AL48" s="376" t="s">
        <v>173</v>
      </c>
      <c r="AM48" s="376" t="s">
        <v>188</v>
      </c>
      <c r="AN48" s="376" t="s">
        <v>68</v>
      </c>
      <c r="AO48" s="379">
        <v>80</v>
      </c>
      <c r="AP48" s="385">
        <v>1</v>
      </c>
      <c r="AQ48" s="385">
        <v>1</v>
      </c>
      <c r="AR48" s="384" t="s">
        <v>189</v>
      </c>
      <c r="AS48" s="387">
        <f t="shared" si="27"/>
        <v>1</v>
      </c>
      <c r="AT48">
        <f t="shared" si="28"/>
        <v>1</v>
      </c>
      <c r="AU48" s="387">
        <f>IF(AT48=0,"",IF(AND(AT48=1,M48="F",SUMIF(C2:C74,C48,AS2:AS74)&lt;=1),SUMIF(C2:C74,C48,AS2:AS74),IF(AND(AT48=1,M48="F",SUMIF(C2:C74,C48,AS2:AS74)&gt;1),1,"")))</f>
        <v>1</v>
      </c>
      <c r="AV48" s="387" t="str">
        <f>IF(AT48=0,"",IF(AND(AT48=3,M48="F",SUMIF(C2:C74,C48,AS2:AS74)&lt;=1),SUMIF(C2:C74,C48,AS2:AS74),IF(AND(AT48=3,M48="F",SUMIF(C2:C74,C48,AS2:AS74)&gt;1),1,"")))</f>
        <v/>
      </c>
      <c r="AW48" s="387">
        <f>SUMIF(C2:C74,C48,O2:O74)</f>
        <v>1</v>
      </c>
      <c r="AX48" s="387">
        <f>IF(AND(M48="F",AS48&lt;&gt;0),SUMIF(C2:C74,C48,W2:W74),0)</f>
        <v>57595.199999999997</v>
      </c>
      <c r="AY48" s="387">
        <f t="shared" si="29"/>
        <v>57595.199999999997</v>
      </c>
      <c r="AZ48" s="387" t="str">
        <f t="shared" si="30"/>
        <v/>
      </c>
      <c r="BA48" s="387">
        <f t="shared" si="31"/>
        <v>0</v>
      </c>
      <c r="BB48" s="387">
        <f t="shared" si="44"/>
        <v>11650</v>
      </c>
      <c r="BC48" s="387">
        <f t="shared" si="45"/>
        <v>0</v>
      </c>
      <c r="BD48" s="387">
        <f t="shared" si="46"/>
        <v>3570.9023999999999</v>
      </c>
      <c r="BE48" s="387">
        <f t="shared" si="47"/>
        <v>835.13040000000001</v>
      </c>
      <c r="BF48" s="387">
        <f t="shared" si="48"/>
        <v>6876.8668799999996</v>
      </c>
      <c r="BG48" s="387">
        <f t="shared" si="49"/>
        <v>415.261392</v>
      </c>
      <c r="BH48" s="387">
        <f t="shared" si="50"/>
        <v>282.21647999999999</v>
      </c>
      <c r="BI48" s="387">
        <f t="shared" si="51"/>
        <v>318.78943199999998</v>
      </c>
      <c r="BJ48" s="387">
        <f t="shared" si="52"/>
        <v>155.50703999999999</v>
      </c>
      <c r="BK48" s="387">
        <f t="shared" si="53"/>
        <v>0</v>
      </c>
      <c r="BL48" s="387">
        <f t="shared" si="32"/>
        <v>12454.674023999998</v>
      </c>
      <c r="BM48" s="387">
        <f t="shared" si="33"/>
        <v>0</v>
      </c>
      <c r="BN48" s="387">
        <f t="shared" si="54"/>
        <v>11650</v>
      </c>
      <c r="BO48" s="387">
        <f t="shared" si="55"/>
        <v>0</v>
      </c>
      <c r="BP48" s="387">
        <f t="shared" si="56"/>
        <v>3570.9023999999999</v>
      </c>
      <c r="BQ48" s="387">
        <f t="shared" si="57"/>
        <v>835.13040000000001</v>
      </c>
      <c r="BR48" s="387">
        <f t="shared" si="58"/>
        <v>6876.8668799999996</v>
      </c>
      <c r="BS48" s="387">
        <f t="shared" si="59"/>
        <v>415.261392</v>
      </c>
      <c r="BT48" s="387">
        <f t="shared" si="60"/>
        <v>0</v>
      </c>
      <c r="BU48" s="387">
        <f t="shared" si="61"/>
        <v>318.78943199999998</v>
      </c>
      <c r="BV48" s="387">
        <f t="shared" si="62"/>
        <v>138.22847999999999</v>
      </c>
      <c r="BW48" s="387">
        <f t="shared" si="63"/>
        <v>0</v>
      </c>
      <c r="BX48" s="387">
        <f t="shared" si="34"/>
        <v>12155.178983999998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-282.21647999999999</v>
      </c>
      <c r="CG48" s="387">
        <f t="shared" si="68"/>
        <v>0</v>
      </c>
      <c r="CH48" s="387">
        <f t="shared" si="69"/>
        <v>-17.27856000000002</v>
      </c>
      <c r="CI48" s="387">
        <f t="shared" si="70"/>
        <v>0</v>
      </c>
      <c r="CJ48" s="387">
        <f t="shared" si="39"/>
        <v>-299.49504000000002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0550-01</v>
      </c>
    </row>
    <row r="49" spans="1:92" ht="15.75" thickBot="1" x14ac:dyDescent="0.3">
      <c r="A49" s="376" t="s">
        <v>161</v>
      </c>
      <c r="B49" s="376" t="s">
        <v>162</v>
      </c>
      <c r="C49" s="376" t="s">
        <v>420</v>
      </c>
      <c r="D49" s="376" t="s">
        <v>212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421</v>
      </c>
      <c r="L49" s="376" t="s">
        <v>287</v>
      </c>
      <c r="M49" s="376" t="s">
        <v>178</v>
      </c>
      <c r="N49" s="376" t="s">
        <v>194</v>
      </c>
      <c r="O49" s="379">
        <v>1</v>
      </c>
      <c r="P49" s="385">
        <v>1</v>
      </c>
      <c r="Q49" s="385">
        <v>1</v>
      </c>
      <c r="R49" s="380">
        <v>80</v>
      </c>
      <c r="S49" s="385">
        <v>1</v>
      </c>
      <c r="T49" s="380">
        <v>67103.11</v>
      </c>
      <c r="U49" s="380">
        <v>0</v>
      </c>
      <c r="V49" s="380">
        <v>25537.8</v>
      </c>
      <c r="W49" s="380">
        <v>67620.800000000003</v>
      </c>
      <c r="X49" s="380">
        <v>26272.959999999999</v>
      </c>
      <c r="Y49" s="380">
        <v>67620.800000000003</v>
      </c>
      <c r="Z49" s="380">
        <v>25921.33</v>
      </c>
      <c r="AA49" s="376" t="s">
        <v>422</v>
      </c>
      <c r="AB49" s="376" t="s">
        <v>423</v>
      </c>
      <c r="AC49" s="376" t="s">
        <v>424</v>
      </c>
      <c r="AD49" s="376" t="s">
        <v>425</v>
      </c>
      <c r="AE49" s="376" t="s">
        <v>421</v>
      </c>
      <c r="AF49" s="376" t="s">
        <v>322</v>
      </c>
      <c r="AG49" s="376" t="s">
        <v>185</v>
      </c>
      <c r="AH49" s="381">
        <v>32.51</v>
      </c>
      <c r="AI49" s="379">
        <v>53012</v>
      </c>
      <c r="AJ49" s="376" t="s">
        <v>186</v>
      </c>
      <c r="AK49" s="376" t="s">
        <v>187</v>
      </c>
      <c r="AL49" s="376" t="s">
        <v>173</v>
      </c>
      <c r="AM49" s="376" t="s">
        <v>188</v>
      </c>
      <c r="AN49" s="376" t="s">
        <v>68</v>
      </c>
      <c r="AO49" s="379">
        <v>80</v>
      </c>
      <c r="AP49" s="385">
        <v>1</v>
      </c>
      <c r="AQ49" s="385">
        <v>1</v>
      </c>
      <c r="AR49" s="384" t="s">
        <v>189</v>
      </c>
      <c r="AS49" s="387">
        <f t="shared" si="27"/>
        <v>1</v>
      </c>
      <c r="AT49">
        <f t="shared" si="28"/>
        <v>1</v>
      </c>
      <c r="AU49" s="387">
        <f>IF(AT49=0,"",IF(AND(AT49=1,M49="F",SUMIF(C2:C74,C49,AS2:AS74)&lt;=1),SUMIF(C2:C74,C49,AS2:AS74),IF(AND(AT49=1,M49="F",SUMIF(C2:C74,C49,AS2:AS74)&gt;1),1,"")))</f>
        <v>1</v>
      </c>
      <c r="AV49" s="387" t="str">
        <f>IF(AT49=0,"",IF(AND(AT49=3,M49="F",SUMIF(C2:C74,C49,AS2:AS74)&lt;=1),SUMIF(C2:C74,C49,AS2:AS74),IF(AND(AT49=3,M49="F",SUMIF(C2:C74,C49,AS2:AS74)&gt;1),1,"")))</f>
        <v/>
      </c>
      <c r="AW49" s="387">
        <f>SUMIF(C2:C74,C49,O2:O74)</f>
        <v>1</v>
      </c>
      <c r="AX49" s="387">
        <f>IF(AND(M49="F",AS49&lt;&gt;0),SUMIF(C2:C74,C49,W2:W74),0)</f>
        <v>67620.800000000003</v>
      </c>
      <c r="AY49" s="387">
        <f t="shared" si="29"/>
        <v>67620.800000000003</v>
      </c>
      <c r="AZ49" s="387" t="str">
        <f t="shared" si="30"/>
        <v/>
      </c>
      <c r="BA49" s="387">
        <f t="shared" si="31"/>
        <v>0</v>
      </c>
      <c r="BB49" s="387">
        <f t="shared" si="44"/>
        <v>11650</v>
      </c>
      <c r="BC49" s="387">
        <f t="shared" si="45"/>
        <v>0</v>
      </c>
      <c r="BD49" s="387">
        <f t="shared" si="46"/>
        <v>4192.4895999999999</v>
      </c>
      <c r="BE49" s="387">
        <f t="shared" si="47"/>
        <v>980.50160000000005</v>
      </c>
      <c r="BF49" s="387">
        <f t="shared" si="48"/>
        <v>8073.9235200000012</v>
      </c>
      <c r="BG49" s="387">
        <f t="shared" si="49"/>
        <v>487.54596800000002</v>
      </c>
      <c r="BH49" s="387">
        <f t="shared" si="50"/>
        <v>331.34192000000002</v>
      </c>
      <c r="BI49" s="387">
        <f t="shared" si="51"/>
        <v>374.28112800000002</v>
      </c>
      <c r="BJ49" s="387">
        <f t="shared" si="52"/>
        <v>182.57616000000002</v>
      </c>
      <c r="BK49" s="387">
        <f t="shared" si="53"/>
        <v>0</v>
      </c>
      <c r="BL49" s="387">
        <f t="shared" si="32"/>
        <v>14622.659896000003</v>
      </c>
      <c r="BM49" s="387">
        <f t="shared" si="33"/>
        <v>0</v>
      </c>
      <c r="BN49" s="387">
        <f t="shared" si="54"/>
        <v>11650</v>
      </c>
      <c r="BO49" s="387">
        <f t="shared" si="55"/>
        <v>0</v>
      </c>
      <c r="BP49" s="387">
        <f t="shared" si="56"/>
        <v>4192.4895999999999</v>
      </c>
      <c r="BQ49" s="387">
        <f t="shared" si="57"/>
        <v>980.50160000000005</v>
      </c>
      <c r="BR49" s="387">
        <f t="shared" si="58"/>
        <v>8073.9235200000012</v>
      </c>
      <c r="BS49" s="387">
        <f t="shared" si="59"/>
        <v>487.54596800000002</v>
      </c>
      <c r="BT49" s="387">
        <f t="shared" si="60"/>
        <v>0</v>
      </c>
      <c r="BU49" s="387">
        <f t="shared" si="61"/>
        <v>374.28112800000002</v>
      </c>
      <c r="BV49" s="387">
        <f t="shared" si="62"/>
        <v>162.28992</v>
      </c>
      <c r="BW49" s="387">
        <f t="shared" si="63"/>
        <v>0</v>
      </c>
      <c r="BX49" s="387">
        <f t="shared" si="34"/>
        <v>14271.031736000001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-331.34192000000002</v>
      </c>
      <c r="CG49" s="387">
        <f t="shared" si="68"/>
        <v>0</v>
      </c>
      <c r="CH49" s="387">
        <f t="shared" si="69"/>
        <v>-20.286240000000024</v>
      </c>
      <c r="CI49" s="387">
        <f t="shared" si="70"/>
        <v>0</v>
      </c>
      <c r="CJ49" s="387">
        <f t="shared" si="39"/>
        <v>-351.62816000000004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0550-01</v>
      </c>
    </row>
    <row r="50" spans="1:92" ht="15.75" thickBot="1" x14ac:dyDescent="0.3">
      <c r="A50" s="376" t="s">
        <v>161</v>
      </c>
      <c r="B50" s="376" t="s">
        <v>162</v>
      </c>
      <c r="C50" s="376" t="s">
        <v>426</v>
      </c>
      <c r="D50" s="376" t="s">
        <v>427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428</v>
      </c>
      <c r="L50" s="376" t="s">
        <v>287</v>
      </c>
      <c r="M50" s="376" t="s">
        <v>178</v>
      </c>
      <c r="N50" s="376" t="s">
        <v>194</v>
      </c>
      <c r="O50" s="379">
        <v>1</v>
      </c>
      <c r="P50" s="385">
        <v>1</v>
      </c>
      <c r="Q50" s="385">
        <v>1</v>
      </c>
      <c r="R50" s="380">
        <v>80</v>
      </c>
      <c r="S50" s="385">
        <v>1</v>
      </c>
      <c r="T50" s="380">
        <v>64158.42</v>
      </c>
      <c r="U50" s="380">
        <v>0</v>
      </c>
      <c r="V50" s="380">
        <v>24959.62</v>
      </c>
      <c r="W50" s="380">
        <v>68286.399999999994</v>
      </c>
      <c r="X50" s="380">
        <v>26416.9</v>
      </c>
      <c r="Y50" s="380">
        <v>68286.399999999994</v>
      </c>
      <c r="Z50" s="380">
        <v>26061.81</v>
      </c>
      <c r="AA50" s="376" t="s">
        <v>429</v>
      </c>
      <c r="AB50" s="376" t="s">
        <v>430</v>
      </c>
      <c r="AC50" s="376" t="s">
        <v>431</v>
      </c>
      <c r="AD50" s="376" t="s">
        <v>432</v>
      </c>
      <c r="AE50" s="376" t="s">
        <v>428</v>
      </c>
      <c r="AF50" s="376" t="s">
        <v>322</v>
      </c>
      <c r="AG50" s="376" t="s">
        <v>185</v>
      </c>
      <c r="AH50" s="381">
        <v>32.83</v>
      </c>
      <c r="AI50" s="379">
        <v>12123</v>
      </c>
      <c r="AJ50" s="376" t="s">
        <v>186</v>
      </c>
      <c r="AK50" s="376" t="s">
        <v>187</v>
      </c>
      <c r="AL50" s="376" t="s">
        <v>173</v>
      </c>
      <c r="AM50" s="376" t="s">
        <v>188</v>
      </c>
      <c r="AN50" s="376" t="s">
        <v>68</v>
      </c>
      <c r="AO50" s="379">
        <v>80</v>
      </c>
      <c r="AP50" s="385">
        <v>1</v>
      </c>
      <c r="AQ50" s="385">
        <v>1</v>
      </c>
      <c r="AR50" s="384" t="s">
        <v>189</v>
      </c>
      <c r="AS50" s="387">
        <f t="shared" si="27"/>
        <v>1</v>
      </c>
      <c r="AT50">
        <f t="shared" si="28"/>
        <v>1</v>
      </c>
      <c r="AU50" s="387">
        <f>IF(AT50=0,"",IF(AND(AT50=1,M50="F",SUMIF(C2:C74,C50,AS2:AS74)&lt;=1),SUMIF(C2:C74,C50,AS2:AS74),IF(AND(AT50=1,M50="F",SUMIF(C2:C74,C50,AS2:AS74)&gt;1),1,"")))</f>
        <v>1</v>
      </c>
      <c r="AV50" s="387" t="str">
        <f>IF(AT50=0,"",IF(AND(AT50=3,M50="F",SUMIF(C2:C74,C50,AS2:AS74)&lt;=1),SUMIF(C2:C74,C50,AS2:AS74),IF(AND(AT50=3,M50="F",SUMIF(C2:C74,C50,AS2:AS74)&gt;1),1,"")))</f>
        <v/>
      </c>
      <c r="AW50" s="387">
        <f>SUMIF(C2:C74,C50,O2:O74)</f>
        <v>1</v>
      </c>
      <c r="AX50" s="387">
        <f>IF(AND(M50="F",AS50&lt;&gt;0),SUMIF(C2:C74,C50,W2:W74),0)</f>
        <v>68286.399999999994</v>
      </c>
      <c r="AY50" s="387">
        <f t="shared" si="29"/>
        <v>68286.399999999994</v>
      </c>
      <c r="AZ50" s="387" t="str">
        <f t="shared" si="30"/>
        <v/>
      </c>
      <c r="BA50" s="387">
        <f t="shared" si="31"/>
        <v>0</v>
      </c>
      <c r="BB50" s="387">
        <f t="shared" si="44"/>
        <v>11650</v>
      </c>
      <c r="BC50" s="387">
        <f t="shared" si="45"/>
        <v>0</v>
      </c>
      <c r="BD50" s="387">
        <f t="shared" si="46"/>
        <v>4233.7567999999992</v>
      </c>
      <c r="BE50" s="387">
        <f t="shared" si="47"/>
        <v>990.15279999999996</v>
      </c>
      <c r="BF50" s="387">
        <f t="shared" si="48"/>
        <v>8153.3961599999993</v>
      </c>
      <c r="BG50" s="387">
        <f t="shared" si="49"/>
        <v>492.344944</v>
      </c>
      <c r="BH50" s="387">
        <f t="shared" si="50"/>
        <v>334.60335999999995</v>
      </c>
      <c r="BI50" s="387">
        <f t="shared" si="51"/>
        <v>377.96522399999998</v>
      </c>
      <c r="BJ50" s="387">
        <f t="shared" si="52"/>
        <v>184.37327999999999</v>
      </c>
      <c r="BK50" s="387">
        <f t="shared" si="53"/>
        <v>0</v>
      </c>
      <c r="BL50" s="387">
        <f t="shared" si="32"/>
        <v>14766.592567999998</v>
      </c>
      <c r="BM50" s="387">
        <f t="shared" si="33"/>
        <v>0</v>
      </c>
      <c r="BN50" s="387">
        <f t="shared" si="54"/>
        <v>11650</v>
      </c>
      <c r="BO50" s="387">
        <f t="shared" si="55"/>
        <v>0</v>
      </c>
      <c r="BP50" s="387">
        <f t="shared" si="56"/>
        <v>4233.7567999999992</v>
      </c>
      <c r="BQ50" s="387">
        <f t="shared" si="57"/>
        <v>990.15279999999996</v>
      </c>
      <c r="BR50" s="387">
        <f t="shared" si="58"/>
        <v>8153.3961599999993</v>
      </c>
      <c r="BS50" s="387">
        <f t="shared" si="59"/>
        <v>492.344944</v>
      </c>
      <c r="BT50" s="387">
        <f t="shared" si="60"/>
        <v>0</v>
      </c>
      <c r="BU50" s="387">
        <f t="shared" si="61"/>
        <v>377.96522399999998</v>
      </c>
      <c r="BV50" s="387">
        <f t="shared" si="62"/>
        <v>163.88735999999997</v>
      </c>
      <c r="BW50" s="387">
        <f t="shared" si="63"/>
        <v>0</v>
      </c>
      <c r="BX50" s="387">
        <f t="shared" si="34"/>
        <v>14411.503288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-334.60335999999995</v>
      </c>
      <c r="CG50" s="387">
        <f t="shared" si="68"/>
        <v>0</v>
      </c>
      <c r="CH50" s="387">
        <f t="shared" si="69"/>
        <v>-20.485920000000021</v>
      </c>
      <c r="CI50" s="387">
        <f t="shared" si="70"/>
        <v>0</v>
      </c>
      <c r="CJ50" s="387">
        <f t="shared" si="39"/>
        <v>-355.08927999999997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0550-01</v>
      </c>
    </row>
    <row r="51" spans="1:92" ht="15.75" thickBot="1" x14ac:dyDescent="0.3">
      <c r="A51" s="376" t="s">
        <v>161</v>
      </c>
      <c r="B51" s="376" t="s">
        <v>162</v>
      </c>
      <c r="C51" s="376" t="s">
        <v>433</v>
      </c>
      <c r="D51" s="376" t="s">
        <v>269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270</v>
      </c>
      <c r="L51" s="376" t="s">
        <v>185</v>
      </c>
      <c r="M51" s="376" t="s">
        <v>178</v>
      </c>
      <c r="N51" s="376" t="s">
        <v>194</v>
      </c>
      <c r="O51" s="379">
        <v>1</v>
      </c>
      <c r="P51" s="385">
        <v>1</v>
      </c>
      <c r="Q51" s="385">
        <v>1</v>
      </c>
      <c r="R51" s="380">
        <v>80</v>
      </c>
      <c r="S51" s="385">
        <v>1</v>
      </c>
      <c r="T51" s="380">
        <v>28241.599999999999</v>
      </c>
      <c r="U51" s="380">
        <v>10.8</v>
      </c>
      <c r="V51" s="380">
        <v>17493.3</v>
      </c>
      <c r="W51" s="380">
        <v>30180.799999999999</v>
      </c>
      <c r="X51" s="380">
        <v>18176.560000000001</v>
      </c>
      <c r="Y51" s="380">
        <v>30180.799999999999</v>
      </c>
      <c r="Z51" s="380">
        <v>18019.63</v>
      </c>
      <c r="AA51" s="376" t="s">
        <v>434</v>
      </c>
      <c r="AB51" s="376" t="s">
        <v>435</v>
      </c>
      <c r="AC51" s="376" t="s">
        <v>436</v>
      </c>
      <c r="AD51" s="376" t="s">
        <v>425</v>
      </c>
      <c r="AE51" s="376" t="s">
        <v>270</v>
      </c>
      <c r="AF51" s="376" t="s">
        <v>266</v>
      </c>
      <c r="AG51" s="376" t="s">
        <v>185</v>
      </c>
      <c r="AH51" s="381">
        <v>14.51</v>
      </c>
      <c r="AI51" s="381">
        <v>4208.5</v>
      </c>
      <c r="AJ51" s="376" t="s">
        <v>186</v>
      </c>
      <c r="AK51" s="376" t="s">
        <v>187</v>
      </c>
      <c r="AL51" s="376" t="s">
        <v>173</v>
      </c>
      <c r="AM51" s="376" t="s">
        <v>188</v>
      </c>
      <c r="AN51" s="376" t="s">
        <v>68</v>
      </c>
      <c r="AO51" s="379">
        <v>80</v>
      </c>
      <c r="AP51" s="385">
        <v>1</v>
      </c>
      <c r="AQ51" s="385">
        <v>1</v>
      </c>
      <c r="AR51" s="384" t="s">
        <v>189</v>
      </c>
      <c r="AS51" s="387">
        <f t="shared" si="27"/>
        <v>1</v>
      </c>
      <c r="AT51">
        <f t="shared" si="28"/>
        <v>1</v>
      </c>
      <c r="AU51" s="387">
        <f>IF(AT51=0,"",IF(AND(AT51=1,M51="F",SUMIF(C2:C74,C51,AS2:AS74)&lt;=1),SUMIF(C2:C74,C51,AS2:AS74),IF(AND(AT51=1,M51="F",SUMIF(C2:C74,C51,AS2:AS74)&gt;1),1,"")))</f>
        <v>1</v>
      </c>
      <c r="AV51" s="387" t="str">
        <f>IF(AT51=0,"",IF(AND(AT51=3,M51="F",SUMIF(C2:C74,C51,AS2:AS74)&lt;=1),SUMIF(C2:C74,C51,AS2:AS74),IF(AND(AT51=3,M51="F",SUMIF(C2:C74,C51,AS2:AS74)&gt;1),1,"")))</f>
        <v/>
      </c>
      <c r="AW51" s="387">
        <f>SUMIF(C2:C74,C51,O2:O74)</f>
        <v>1</v>
      </c>
      <c r="AX51" s="387">
        <f>IF(AND(M51="F",AS51&lt;&gt;0),SUMIF(C2:C74,C51,W2:W74),0)</f>
        <v>30180.799999999999</v>
      </c>
      <c r="AY51" s="387">
        <f t="shared" si="29"/>
        <v>30180.799999999999</v>
      </c>
      <c r="AZ51" s="387" t="str">
        <f t="shared" si="30"/>
        <v/>
      </c>
      <c r="BA51" s="387">
        <f t="shared" si="31"/>
        <v>0</v>
      </c>
      <c r="BB51" s="387">
        <f t="shared" si="44"/>
        <v>11650</v>
      </c>
      <c r="BC51" s="387">
        <f t="shared" si="45"/>
        <v>0</v>
      </c>
      <c r="BD51" s="387">
        <f t="shared" si="46"/>
        <v>1871.2095999999999</v>
      </c>
      <c r="BE51" s="387">
        <f t="shared" si="47"/>
        <v>437.6216</v>
      </c>
      <c r="BF51" s="387">
        <f t="shared" si="48"/>
        <v>3603.58752</v>
      </c>
      <c r="BG51" s="387">
        <f t="shared" si="49"/>
        <v>217.603568</v>
      </c>
      <c r="BH51" s="387">
        <f t="shared" si="50"/>
        <v>147.88592</v>
      </c>
      <c r="BI51" s="387">
        <f t="shared" si="51"/>
        <v>167.05072799999999</v>
      </c>
      <c r="BJ51" s="387">
        <f t="shared" si="52"/>
        <v>81.488160000000008</v>
      </c>
      <c r="BK51" s="387">
        <f t="shared" si="53"/>
        <v>0</v>
      </c>
      <c r="BL51" s="387">
        <f t="shared" si="32"/>
        <v>6526.4470959999999</v>
      </c>
      <c r="BM51" s="387">
        <f t="shared" si="33"/>
        <v>0</v>
      </c>
      <c r="BN51" s="387">
        <f t="shared" si="54"/>
        <v>11650</v>
      </c>
      <c r="BO51" s="387">
        <f t="shared" si="55"/>
        <v>0</v>
      </c>
      <c r="BP51" s="387">
        <f t="shared" si="56"/>
        <v>1871.2095999999999</v>
      </c>
      <c r="BQ51" s="387">
        <f t="shared" si="57"/>
        <v>437.6216</v>
      </c>
      <c r="BR51" s="387">
        <f t="shared" si="58"/>
        <v>3603.58752</v>
      </c>
      <c r="BS51" s="387">
        <f t="shared" si="59"/>
        <v>217.603568</v>
      </c>
      <c r="BT51" s="387">
        <f t="shared" si="60"/>
        <v>0</v>
      </c>
      <c r="BU51" s="387">
        <f t="shared" si="61"/>
        <v>167.05072799999999</v>
      </c>
      <c r="BV51" s="387">
        <f t="shared" si="62"/>
        <v>72.433919999999986</v>
      </c>
      <c r="BW51" s="387">
        <f t="shared" si="63"/>
        <v>0</v>
      </c>
      <c r="BX51" s="387">
        <f t="shared" si="34"/>
        <v>6369.5069360000007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-147.88592</v>
      </c>
      <c r="CG51" s="387">
        <f t="shared" si="68"/>
        <v>0</v>
      </c>
      <c r="CH51" s="387">
        <f t="shared" si="69"/>
        <v>-9.0542400000000107</v>
      </c>
      <c r="CI51" s="387">
        <f t="shared" si="70"/>
        <v>0</v>
      </c>
      <c r="CJ51" s="387">
        <f t="shared" si="39"/>
        <v>-156.94016000000002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0550-01</v>
      </c>
    </row>
    <row r="52" spans="1:92" ht="15.75" thickBot="1" x14ac:dyDescent="0.3">
      <c r="A52" s="376" t="s">
        <v>161</v>
      </c>
      <c r="B52" s="376" t="s">
        <v>162</v>
      </c>
      <c r="C52" s="376" t="s">
        <v>437</v>
      </c>
      <c r="D52" s="376" t="s">
        <v>191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317</v>
      </c>
      <c r="L52" s="376" t="s">
        <v>287</v>
      </c>
      <c r="M52" s="376" t="s">
        <v>178</v>
      </c>
      <c r="N52" s="376" t="s">
        <v>194</v>
      </c>
      <c r="O52" s="379">
        <v>1</v>
      </c>
      <c r="P52" s="385">
        <v>1</v>
      </c>
      <c r="Q52" s="385">
        <v>1</v>
      </c>
      <c r="R52" s="380">
        <v>80</v>
      </c>
      <c r="S52" s="385">
        <v>1</v>
      </c>
      <c r="T52" s="380">
        <v>66763.210000000006</v>
      </c>
      <c r="U52" s="380">
        <v>0</v>
      </c>
      <c r="V52" s="380">
        <v>25630.57</v>
      </c>
      <c r="W52" s="380">
        <v>70449.600000000006</v>
      </c>
      <c r="X52" s="380">
        <v>26884.7</v>
      </c>
      <c r="Y52" s="380">
        <v>70449.600000000006</v>
      </c>
      <c r="Z52" s="380">
        <v>26518.36</v>
      </c>
      <c r="AA52" s="376" t="s">
        <v>438</v>
      </c>
      <c r="AB52" s="376" t="s">
        <v>439</v>
      </c>
      <c r="AC52" s="376" t="s">
        <v>440</v>
      </c>
      <c r="AD52" s="376" t="s">
        <v>441</v>
      </c>
      <c r="AE52" s="376" t="s">
        <v>317</v>
      </c>
      <c r="AF52" s="376" t="s">
        <v>322</v>
      </c>
      <c r="AG52" s="376" t="s">
        <v>185</v>
      </c>
      <c r="AH52" s="381">
        <v>33.869999999999997</v>
      </c>
      <c r="AI52" s="381">
        <v>9720.5</v>
      </c>
      <c r="AJ52" s="376" t="s">
        <v>186</v>
      </c>
      <c r="AK52" s="376" t="s">
        <v>187</v>
      </c>
      <c r="AL52" s="376" t="s">
        <v>173</v>
      </c>
      <c r="AM52" s="376" t="s">
        <v>188</v>
      </c>
      <c r="AN52" s="376" t="s">
        <v>68</v>
      </c>
      <c r="AO52" s="379">
        <v>80</v>
      </c>
      <c r="AP52" s="385">
        <v>1</v>
      </c>
      <c r="AQ52" s="385">
        <v>1</v>
      </c>
      <c r="AR52" s="384" t="s">
        <v>189</v>
      </c>
      <c r="AS52" s="387">
        <f t="shared" si="27"/>
        <v>1</v>
      </c>
      <c r="AT52">
        <f t="shared" si="28"/>
        <v>1</v>
      </c>
      <c r="AU52" s="387">
        <f>IF(AT52=0,"",IF(AND(AT52=1,M52="F",SUMIF(C2:C74,C52,AS2:AS74)&lt;=1),SUMIF(C2:C74,C52,AS2:AS74),IF(AND(AT52=1,M52="F",SUMIF(C2:C74,C52,AS2:AS74)&gt;1),1,"")))</f>
        <v>1</v>
      </c>
      <c r="AV52" s="387" t="str">
        <f>IF(AT52=0,"",IF(AND(AT52=3,M52="F",SUMIF(C2:C74,C52,AS2:AS74)&lt;=1),SUMIF(C2:C74,C52,AS2:AS74),IF(AND(AT52=3,M52="F",SUMIF(C2:C74,C52,AS2:AS74)&gt;1),1,"")))</f>
        <v/>
      </c>
      <c r="AW52" s="387">
        <f>SUMIF(C2:C74,C52,O2:O74)</f>
        <v>1</v>
      </c>
      <c r="AX52" s="387">
        <f>IF(AND(M52="F",AS52&lt;&gt;0),SUMIF(C2:C74,C52,W2:W74),0)</f>
        <v>70449.600000000006</v>
      </c>
      <c r="AY52" s="387">
        <f t="shared" si="29"/>
        <v>70449.600000000006</v>
      </c>
      <c r="AZ52" s="387" t="str">
        <f t="shared" si="30"/>
        <v/>
      </c>
      <c r="BA52" s="387">
        <f t="shared" si="31"/>
        <v>0</v>
      </c>
      <c r="BB52" s="387">
        <f t="shared" si="44"/>
        <v>11650</v>
      </c>
      <c r="BC52" s="387">
        <f t="shared" si="45"/>
        <v>0</v>
      </c>
      <c r="BD52" s="387">
        <f t="shared" si="46"/>
        <v>4367.8752000000004</v>
      </c>
      <c r="BE52" s="387">
        <f t="shared" si="47"/>
        <v>1021.5192000000002</v>
      </c>
      <c r="BF52" s="387">
        <f t="shared" si="48"/>
        <v>8411.6822400000019</v>
      </c>
      <c r="BG52" s="387">
        <f t="shared" si="49"/>
        <v>507.94161600000007</v>
      </c>
      <c r="BH52" s="387">
        <f t="shared" si="50"/>
        <v>345.20304000000004</v>
      </c>
      <c r="BI52" s="387">
        <f t="shared" si="51"/>
        <v>389.93853600000006</v>
      </c>
      <c r="BJ52" s="387">
        <f t="shared" si="52"/>
        <v>190.21392000000003</v>
      </c>
      <c r="BK52" s="387">
        <f t="shared" si="53"/>
        <v>0</v>
      </c>
      <c r="BL52" s="387">
        <f t="shared" si="32"/>
        <v>15234.373752000003</v>
      </c>
      <c r="BM52" s="387">
        <f t="shared" si="33"/>
        <v>0</v>
      </c>
      <c r="BN52" s="387">
        <f t="shared" si="54"/>
        <v>11650</v>
      </c>
      <c r="BO52" s="387">
        <f t="shared" si="55"/>
        <v>0</v>
      </c>
      <c r="BP52" s="387">
        <f t="shared" si="56"/>
        <v>4367.8752000000004</v>
      </c>
      <c r="BQ52" s="387">
        <f t="shared" si="57"/>
        <v>1021.5192000000002</v>
      </c>
      <c r="BR52" s="387">
        <f t="shared" si="58"/>
        <v>8411.6822400000019</v>
      </c>
      <c r="BS52" s="387">
        <f t="shared" si="59"/>
        <v>507.94161600000007</v>
      </c>
      <c r="BT52" s="387">
        <f t="shared" si="60"/>
        <v>0</v>
      </c>
      <c r="BU52" s="387">
        <f t="shared" si="61"/>
        <v>389.93853600000006</v>
      </c>
      <c r="BV52" s="387">
        <f t="shared" si="62"/>
        <v>169.07903999999999</v>
      </c>
      <c r="BW52" s="387">
        <f t="shared" si="63"/>
        <v>0</v>
      </c>
      <c r="BX52" s="387">
        <f t="shared" si="34"/>
        <v>14868.035832000003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-345.20304000000004</v>
      </c>
      <c r="CG52" s="387">
        <f t="shared" si="68"/>
        <v>0</v>
      </c>
      <c r="CH52" s="387">
        <f t="shared" si="69"/>
        <v>-21.134880000000027</v>
      </c>
      <c r="CI52" s="387">
        <f t="shared" si="70"/>
        <v>0</v>
      </c>
      <c r="CJ52" s="387">
        <f t="shared" si="39"/>
        <v>-366.33792000000005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0550-01</v>
      </c>
    </row>
    <row r="53" spans="1:92" ht="15.75" thickBot="1" x14ac:dyDescent="0.3">
      <c r="A53" s="376" t="s">
        <v>161</v>
      </c>
      <c r="B53" s="376" t="s">
        <v>162</v>
      </c>
      <c r="C53" s="376" t="s">
        <v>442</v>
      </c>
      <c r="D53" s="376" t="s">
        <v>443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444</v>
      </c>
      <c r="L53" s="376" t="s">
        <v>287</v>
      </c>
      <c r="M53" s="376" t="s">
        <v>178</v>
      </c>
      <c r="N53" s="376" t="s">
        <v>194</v>
      </c>
      <c r="O53" s="379">
        <v>1</v>
      </c>
      <c r="P53" s="385">
        <v>1</v>
      </c>
      <c r="Q53" s="385">
        <v>1</v>
      </c>
      <c r="R53" s="380">
        <v>80</v>
      </c>
      <c r="S53" s="385">
        <v>1</v>
      </c>
      <c r="T53" s="380">
        <v>68435.320000000007</v>
      </c>
      <c r="U53" s="380">
        <v>0</v>
      </c>
      <c r="V53" s="380">
        <v>25840.62</v>
      </c>
      <c r="W53" s="380">
        <v>72217.600000000006</v>
      </c>
      <c r="X53" s="380">
        <v>27267.02</v>
      </c>
      <c r="Y53" s="380">
        <v>72217.600000000006</v>
      </c>
      <c r="Z53" s="380">
        <v>26891.5</v>
      </c>
      <c r="AA53" s="376" t="s">
        <v>445</v>
      </c>
      <c r="AB53" s="376" t="s">
        <v>446</v>
      </c>
      <c r="AC53" s="376" t="s">
        <v>414</v>
      </c>
      <c r="AD53" s="376" t="s">
        <v>447</v>
      </c>
      <c r="AE53" s="376" t="s">
        <v>444</v>
      </c>
      <c r="AF53" s="376" t="s">
        <v>322</v>
      </c>
      <c r="AG53" s="376" t="s">
        <v>185</v>
      </c>
      <c r="AH53" s="381">
        <v>34.72</v>
      </c>
      <c r="AI53" s="381">
        <v>42746.2</v>
      </c>
      <c r="AJ53" s="376" t="s">
        <v>186</v>
      </c>
      <c r="AK53" s="376" t="s">
        <v>187</v>
      </c>
      <c r="AL53" s="376" t="s">
        <v>173</v>
      </c>
      <c r="AM53" s="376" t="s">
        <v>188</v>
      </c>
      <c r="AN53" s="376" t="s">
        <v>68</v>
      </c>
      <c r="AO53" s="379">
        <v>80</v>
      </c>
      <c r="AP53" s="385">
        <v>1</v>
      </c>
      <c r="AQ53" s="385">
        <v>1</v>
      </c>
      <c r="AR53" s="384" t="s">
        <v>189</v>
      </c>
      <c r="AS53" s="387">
        <f t="shared" si="27"/>
        <v>1</v>
      </c>
      <c r="AT53">
        <f t="shared" si="28"/>
        <v>1</v>
      </c>
      <c r="AU53" s="387">
        <f>IF(AT53=0,"",IF(AND(AT53=1,M53="F",SUMIF(C2:C74,C53,AS2:AS74)&lt;=1),SUMIF(C2:C74,C53,AS2:AS74),IF(AND(AT53=1,M53="F",SUMIF(C2:C74,C53,AS2:AS74)&gt;1),1,"")))</f>
        <v>1</v>
      </c>
      <c r="AV53" s="387" t="str">
        <f>IF(AT53=0,"",IF(AND(AT53=3,M53="F",SUMIF(C2:C74,C53,AS2:AS74)&lt;=1),SUMIF(C2:C74,C53,AS2:AS74),IF(AND(AT53=3,M53="F",SUMIF(C2:C74,C53,AS2:AS74)&gt;1),1,"")))</f>
        <v/>
      </c>
      <c r="AW53" s="387">
        <f>SUMIF(C2:C74,C53,O2:O74)</f>
        <v>1</v>
      </c>
      <c r="AX53" s="387">
        <f>IF(AND(M53="F",AS53&lt;&gt;0),SUMIF(C2:C74,C53,W2:W74),0)</f>
        <v>72217.600000000006</v>
      </c>
      <c r="AY53" s="387">
        <f t="shared" si="29"/>
        <v>72217.600000000006</v>
      </c>
      <c r="AZ53" s="387" t="str">
        <f t="shared" si="30"/>
        <v/>
      </c>
      <c r="BA53" s="387">
        <f t="shared" si="31"/>
        <v>0</v>
      </c>
      <c r="BB53" s="387">
        <f t="shared" si="44"/>
        <v>11650</v>
      </c>
      <c r="BC53" s="387">
        <f t="shared" si="45"/>
        <v>0</v>
      </c>
      <c r="BD53" s="387">
        <f t="shared" si="46"/>
        <v>4477.4912000000004</v>
      </c>
      <c r="BE53" s="387">
        <f t="shared" si="47"/>
        <v>1047.1552000000001</v>
      </c>
      <c r="BF53" s="387">
        <f t="shared" si="48"/>
        <v>8622.7814400000007</v>
      </c>
      <c r="BG53" s="387">
        <f t="shared" si="49"/>
        <v>520.68889600000011</v>
      </c>
      <c r="BH53" s="387">
        <f t="shared" si="50"/>
        <v>353.86624</v>
      </c>
      <c r="BI53" s="387">
        <f t="shared" si="51"/>
        <v>399.72441600000002</v>
      </c>
      <c r="BJ53" s="387">
        <f t="shared" si="52"/>
        <v>194.98752000000002</v>
      </c>
      <c r="BK53" s="387">
        <f t="shared" si="53"/>
        <v>0</v>
      </c>
      <c r="BL53" s="387">
        <f t="shared" si="32"/>
        <v>15616.694912000001</v>
      </c>
      <c r="BM53" s="387">
        <f t="shared" si="33"/>
        <v>0</v>
      </c>
      <c r="BN53" s="387">
        <f t="shared" si="54"/>
        <v>11650</v>
      </c>
      <c r="BO53" s="387">
        <f t="shared" si="55"/>
        <v>0</v>
      </c>
      <c r="BP53" s="387">
        <f t="shared" si="56"/>
        <v>4477.4912000000004</v>
      </c>
      <c r="BQ53" s="387">
        <f t="shared" si="57"/>
        <v>1047.1552000000001</v>
      </c>
      <c r="BR53" s="387">
        <f t="shared" si="58"/>
        <v>8622.7814400000007</v>
      </c>
      <c r="BS53" s="387">
        <f t="shared" si="59"/>
        <v>520.68889600000011</v>
      </c>
      <c r="BT53" s="387">
        <f t="shared" si="60"/>
        <v>0</v>
      </c>
      <c r="BU53" s="387">
        <f t="shared" si="61"/>
        <v>399.72441600000002</v>
      </c>
      <c r="BV53" s="387">
        <f t="shared" si="62"/>
        <v>173.32223999999999</v>
      </c>
      <c r="BW53" s="387">
        <f t="shared" si="63"/>
        <v>0</v>
      </c>
      <c r="BX53" s="387">
        <f t="shared" si="34"/>
        <v>15241.163392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-353.86624</v>
      </c>
      <c r="CG53" s="387">
        <f t="shared" si="68"/>
        <v>0</v>
      </c>
      <c r="CH53" s="387">
        <f t="shared" si="69"/>
        <v>-21.665280000000028</v>
      </c>
      <c r="CI53" s="387">
        <f t="shared" si="70"/>
        <v>0</v>
      </c>
      <c r="CJ53" s="387">
        <f t="shared" si="39"/>
        <v>-375.53152000000006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0550-01</v>
      </c>
    </row>
    <row r="54" spans="1:92" ht="15.75" thickBot="1" x14ac:dyDescent="0.3">
      <c r="A54" s="376" t="s">
        <v>161</v>
      </c>
      <c r="B54" s="376" t="s">
        <v>162</v>
      </c>
      <c r="C54" s="376" t="s">
        <v>448</v>
      </c>
      <c r="D54" s="376" t="s">
        <v>449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168</v>
      </c>
      <c r="K54" s="376" t="s">
        <v>450</v>
      </c>
      <c r="L54" s="376" t="s">
        <v>173</v>
      </c>
      <c r="M54" s="376" t="s">
        <v>178</v>
      </c>
      <c r="N54" s="376" t="s">
        <v>194</v>
      </c>
      <c r="O54" s="379">
        <v>1</v>
      </c>
      <c r="P54" s="385">
        <v>1</v>
      </c>
      <c r="Q54" s="385">
        <v>1</v>
      </c>
      <c r="R54" s="380">
        <v>80</v>
      </c>
      <c r="S54" s="385">
        <v>1</v>
      </c>
      <c r="T54" s="380">
        <v>73150.41</v>
      </c>
      <c r="U54" s="380">
        <v>0</v>
      </c>
      <c r="V54" s="380">
        <v>26730.95</v>
      </c>
      <c r="W54" s="380">
        <v>77854.399999999994</v>
      </c>
      <c r="X54" s="380">
        <v>28485.98</v>
      </c>
      <c r="Y54" s="380">
        <v>77854.399999999994</v>
      </c>
      <c r="Z54" s="380">
        <v>28081.15</v>
      </c>
      <c r="AA54" s="376" t="s">
        <v>451</v>
      </c>
      <c r="AB54" s="376" t="s">
        <v>452</v>
      </c>
      <c r="AC54" s="376" t="s">
        <v>453</v>
      </c>
      <c r="AD54" s="376" t="s">
        <v>234</v>
      </c>
      <c r="AE54" s="376" t="s">
        <v>450</v>
      </c>
      <c r="AF54" s="376" t="s">
        <v>454</v>
      </c>
      <c r="AG54" s="376" t="s">
        <v>185</v>
      </c>
      <c r="AH54" s="381">
        <v>37.43</v>
      </c>
      <c r="AI54" s="381">
        <v>25288.2</v>
      </c>
      <c r="AJ54" s="376" t="s">
        <v>186</v>
      </c>
      <c r="AK54" s="376" t="s">
        <v>187</v>
      </c>
      <c r="AL54" s="376" t="s">
        <v>173</v>
      </c>
      <c r="AM54" s="376" t="s">
        <v>188</v>
      </c>
      <c r="AN54" s="376" t="s">
        <v>68</v>
      </c>
      <c r="AO54" s="379">
        <v>80</v>
      </c>
      <c r="AP54" s="385">
        <v>1</v>
      </c>
      <c r="AQ54" s="385">
        <v>1</v>
      </c>
      <c r="AR54" s="384" t="s">
        <v>189</v>
      </c>
      <c r="AS54" s="387">
        <f t="shared" si="27"/>
        <v>1</v>
      </c>
      <c r="AT54">
        <f t="shared" si="28"/>
        <v>1</v>
      </c>
      <c r="AU54" s="387">
        <f>IF(AT54=0,"",IF(AND(AT54=1,M54="F",SUMIF(C2:C74,C54,AS2:AS74)&lt;=1),SUMIF(C2:C74,C54,AS2:AS74),IF(AND(AT54=1,M54="F",SUMIF(C2:C74,C54,AS2:AS74)&gt;1),1,"")))</f>
        <v>1</v>
      </c>
      <c r="AV54" s="387" t="str">
        <f>IF(AT54=0,"",IF(AND(AT54=3,M54="F",SUMIF(C2:C74,C54,AS2:AS74)&lt;=1),SUMIF(C2:C74,C54,AS2:AS74),IF(AND(AT54=3,M54="F",SUMIF(C2:C74,C54,AS2:AS74)&gt;1),1,"")))</f>
        <v/>
      </c>
      <c r="AW54" s="387">
        <f>SUMIF(C2:C74,C54,O2:O74)</f>
        <v>1</v>
      </c>
      <c r="AX54" s="387">
        <f>IF(AND(M54="F",AS54&lt;&gt;0),SUMIF(C2:C74,C54,W2:W74),0)</f>
        <v>77854.399999999994</v>
      </c>
      <c r="AY54" s="387">
        <f t="shared" si="29"/>
        <v>77854.399999999994</v>
      </c>
      <c r="AZ54" s="387" t="str">
        <f t="shared" si="30"/>
        <v/>
      </c>
      <c r="BA54" s="387">
        <f t="shared" si="31"/>
        <v>0</v>
      </c>
      <c r="BB54" s="387">
        <f t="shared" si="44"/>
        <v>11650</v>
      </c>
      <c r="BC54" s="387">
        <f t="shared" si="45"/>
        <v>0</v>
      </c>
      <c r="BD54" s="387">
        <f t="shared" si="46"/>
        <v>4826.9727999999996</v>
      </c>
      <c r="BE54" s="387">
        <f t="shared" si="47"/>
        <v>1128.8887999999999</v>
      </c>
      <c r="BF54" s="387">
        <f t="shared" si="48"/>
        <v>9295.8153600000005</v>
      </c>
      <c r="BG54" s="387">
        <f t="shared" si="49"/>
        <v>561.33022399999993</v>
      </c>
      <c r="BH54" s="387">
        <f t="shared" si="50"/>
        <v>381.48655999999994</v>
      </c>
      <c r="BI54" s="387">
        <f t="shared" si="51"/>
        <v>430.92410399999994</v>
      </c>
      <c r="BJ54" s="387">
        <f t="shared" si="52"/>
        <v>210.20687999999998</v>
      </c>
      <c r="BK54" s="387">
        <f t="shared" si="53"/>
        <v>0</v>
      </c>
      <c r="BL54" s="387">
        <f t="shared" si="32"/>
        <v>16835.624728000003</v>
      </c>
      <c r="BM54" s="387">
        <f t="shared" si="33"/>
        <v>0</v>
      </c>
      <c r="BN54" s="387">
        <f t="shared" si="54"/>
        <v>11650</v>
      </c>
      <c r="BO54" s="387">
        <f t="shared" si="55"/>
        <v>0</v>
      </c>
      <c r="BP54" s="387">
        <f t="shared" si="56"/>
        <v>4826.9727999999996</v>
      </c>
      <c r="BQ54" s="387">
        <f t="shared" si="57"/>
        <v>1128.8887999999999</v>
      </c>
      <c r="BR54" s="387">
        <f t="shared" si="58"/>
        <v>9295.8153600000005</v>
      </c>
      <c r="BS54" s="387">
        <f t="shared" si="59"/>
        <v>561.33022399999993</v>
      </c>
      <c r="BT54" s="387">
        <f t="shared" si="60"/>
        <v>0</v>
      </c>
      <c r="BU54" s="387">
        <f t="shared" si="61"/>
        <v>430.92410399999994</v>
      </c>
      <c r="BV54" s="387">
        <f t="shared" si="62"/>
        <v>186.85055999999997</v>
      </c>
      <c r="BW54" s="387">
        <f t="shared" si="63"/>
        <v>0</v>
      </c>
      <c r="BX54" s="387">
        <f t="shared" si="34"/>
        <v>16430.781847999999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-381.48655999999994</v>
      </c>
      <c r="CG54" s="387">
        <f t="shared" si="68"/>
        <v>0</v>
      </c>
      <c r="CH54" s="387">
        <f t="shared" si="69"/>
        <v>-23.356320000000025</v>
      </c>
      <c r="CI54" s="387">
        <f t="shared" si="70"/>
        <v>0</v>
      </c>
      <c r="CJ54" s="387">
        <f t="shared" si="39"/>
        <v>-404.84287999999998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0550-01</v>
      </c>
    </row>
    <row r="55" spans="1:92" ht="15.75" thickBot="1" x14ac:dyDescent="0.3">
      <c r="A55" s="376" t="s">
        <v>161</v>
      </c>
      <c r="B55" s="376" t="s">
        <v>162</v>
      </c>
      <c r="C55" s="376" t="s">
        <v>455</v>
      </c>
      <c r="D55" s="376" t="s">
        <v>261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168</v>
      </c>
      <c r="K55" s="376" t="s">
        <v>262</v>
      </c>
      <c r="L55" s="376" t="s">
        <v>185</v>
      </c>
      <c r="M55" s="376" t="s">
        <v>178</v>
      </c>
      <c r="N55" s="376" t="s">
        <v>194</v>
      </c>
      <c r="O55" s="379">
        <v>1</v>
      </c>
      <c r="P55" s="385">
        <v>1</v>
      </c>
      <c r="Q55" s="385">
        <v>1</v>
      </c>
      <c r="R55" s="380">
        <v>80</v>
      </c>
      <c r="S55" s="385">
        <v>1</v>
      </c>
      <c r="T55" s="380">
        <v>28054.400000000001</v>
      </c>
      <c r="U55" s="380">
        <v>0</v>
      </c>
      <c r="V55" s="380">
        <v>17428.71</v>
      </c>
      <c r="W55" s="380">
        <v>30014.400000000001</v>
      </c>
      <c r="X55" s="380">
        <v>18140.57</v>
      </c>
      <c r="Y55" s="380">
        <v>30014.400000000001</v>
      </c>
      <c r="Z55" s="380">
        <v>17984.5</v>
      </c>
      <c r="AA55" s="376" t="s">
        <v>456</v>
      </c>
      <c r="AB55" s="376" t="s">
        <v>457</v>
      </c>
      <c r="AC55" s="376" t="s">
        <v>458</v>
      </c>
      <c r="AD55" s="376" t="s">
        <v>321</v>
      </c>
      <c r="AE55" s="376" t="s">
        <v>262</v>
      </c>
      <c r="AF55" s="376" t="s">
        <v>266</v>
      </c>
      <c r="AG55" s="376" t="s">
        <v>185</v>
      </c>
      <c r="AH55" s="381">
        <v>14.43</v>
      </c>
      <c r="AI55" s="381">
        <v>4802.5</v>
      </c>
      <c r="AJ55" s="376" t="s">
        <v>186</v>
      </c>
      <c r="AK55" s="376" t="s">
        <v>187</v>
      </c>
      <c r="AL55" s="376" t="s">
        <v>173</v>
      </c>
      <c r="AM55" s="376" t="s">
        <v>188</v>
      </c>
      <c r="AN55" s="376" t="s">
        <v>68</v>
      </c>
      <c r="AO55" s="379">
        <v>80</v>
      </c>
      <c r="AP55" s="385">
        <v>1</v>
      </c>
      <c r="AQ55" s="385">
        <v>1</v>
      </c>
      <c r="AR55" s="384" t="s">
        <v>189</v>
      </c>
      <c r="AS55" s="387">
        <f t="shared" si="27"/>
        <v>1</v>
      </c>
      <c r="AT55">
        <f t="shared" si="28"/>
        <v>1</v>
      </c>
      <c r="AU55" s="387">
        <f>IF(AT55=0,"",IF(AND(AT55=1,M55="F",SUMIF(C2:C74,C55,AS2:AS74)&lt;=1),SUMIF(C2:C74,C55,AS2:AS74),IF(AND(AT55=1,M55="F",SUMIF(C2:C74,C55,AS2:AS74)&gt;1),1,"")))</f>
        <v>1</v>
      </c>
      <c r="AV55" s="387" t="str">
        <f>IF(AT55=0,"",IF(AND(AT55=3,M55="F",SUMIF(C2:C74,C55,AS2:AS74)&lt;=1),SUMIF(C2:C74,C55,AS2:AS74),IF(AND(AT55=3,M55="F",SUMIF(C2:C74,C55,AS2:AS74)&gt;1),1,"")))</f>
        <v/>
      </c>
      <c r="AW55" s="387">
        <f>SUMIF(C2:C74,C55,O2:O74)</f>
        <v>1</v>
      </c>
      <c r="AX55" s="387">
        <f>IF(AND(M55="F",AS55&lt;&gt;0),SUMIF(C2:C74,C55,W2:W74),0)</f>
        <v>30014.400000000001</v>
      </c>
      <c r="AY55" s="387">
        <f t="shared" si="29"/>
        <v>30014.400000000001</v>
      </c>
      <c r="AZ55" s="387" t="str">
        <f t="shared" si="30"/>
        <v/>
      </c>
      <c r="BA55" s="387">
        <f t="shared" si="31"/>
        <v>0</v>
      </c>
      <c r="BB55" s="387">
        <f t="shared" si="44"/>
        <v>11650</v>
      </c>
      <c r="BC55" s="387">
        <f t="shared" si="45"/>
        <v>0</v>
      </c>
      <c r="BD55" s="387">
        <f t="shared" si="46"/>
        <v>1860.8928000000001</v>
      </c>
      <c r="BE55" s="387">
        <f t="shared" si="47"/>
        <v>435.20880000000005</v>
      </c>
      <c r="BF55" s="387">
        <f t="shared" si="48"/>
        <v>3583.7193600000005</v>
      </c>
      <c r="BG55" s="387">
        <f t="shared" si="49"/>
        <v>216.40382400000001</v>
      </c>
      <c r="BH55" s="387">
        <f t="shared" si="50"/>
        <v>147.07056</v>
      </c>
      <c r="BI55" s="387">
        <f t="shared" si="51"/>
        <v>166.129704</v>
      </c>
      <c r="BJ55" s="387">
        <f t="shared" si="52"/>
        <v>81.038880000000006</v>
      </c>
      <c r="BK55" s="387">
        <f t="shared" si="53"/>
        <v>0</v>
      </c>
      <c r="BL55" s="387">
        <f t="shared" si="32"/>
        <v>6490.463928000001</v>
      </c>
      <c r="BM55" s="387">
        <f t="shared" si="33"/>
        <v>0</v>
      </c>
      <c r="BN55" s="387">
        <f t="shared" si="54"/>
        <v>11650</v>
      </c>
      <c r="BO55" s="387">
        <f t="shared" si="55"/>
        <v>0</v>
      </c>
      <c r="BP55" s="387">
        <f t="shared" si="56"/>
        <v>1860.8928000000001</v>
      </c>
      <c r="BQ55" s="387">
        <f t="shared" si="57"/>
        <v>435.20880000000005</v>
      </c>
      <c r="BR55" s="387">
        <f t="shared" si="58"/>
        <v>3583.7193600000005</v>
      </c>
      <c r="BS55" s="387">
        <f t="shared" si="59"/>
        <v>216.40382400000001</v>
      </c>
      <c r="BT55" s="387">
        <f t="shared" si="60"/>
        <v>0</v>
      </c>
      <c r="BU55" s="387">
        <f t="shared" si="61"/>
        <v>166.129704</v>
      </c>
      <c r="BV55" s="387">
        <f t="shared" si="62"/>
        <v>72.034559999999999</v>
      </c>
      <c r="BW55" s="387">
        <f t="shared" si="63"/>
        <v>0</v>
      </c>
      <c r="BX55" s="387">
        <f t="shared" si="34"/>
        <v>6334.3890480000009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-147.07056</v>
      </c>
      <c r="CG55" s="387">
        <f t="shared" si="68"/>
        <v>0</v>
      </c>
      <c r="CH55" s="387">
        <f t="shared" si="69"/>
        <v>-9.0043200000000105</v>
      </c>
      <c r="CI55" s="387">
        <f t="shared" si="70"/>
        <v>0</v>
      </c>
      <c r="CJ55" s="387">
        <f t="shared" si="39"/>
        <v>-156.07488000000001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0550-01</v>
      </c>
    </row>
    <row r="56" spans="1:92" ht="15.75" thickBot="1" x14ac:dyDescent="0.3">
      <c r="A56" s="376" t="s">
        <v>161</v>
      </c>
      <c r="B56" s="376" t="s">
        <v>162</v>
      </c>
      <c r="C56" s="376" t="s">
        <v>459</v>
      </c>
      <c r="D56" s="376" t="s">
        <v>460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461</v>
      </c>
      <c r="L56" s="376" t="s">
        <v>170</v>
      </c>
      <c r="M56" s="376" t="s">
        <v>178</v>
      </c>
      <c r="N56" s="376" t="s">
        <v>179</v>
      </c>
      <c r="O56" s="379">
        <v>1</v>
      </c>
      <c r="P56" s="385">
        <v>1</v>
      </c>
      <c r="Q56" s="385">
        <v>1</v>
      </c>
      <c r="R56" s="380">
        <v>80</v>
      </c>
      <c r="S56" s="385">
        <v>1</v>
      </c>
      <c r="T56" s="380">
        <v>175352.8</v>
      </c>
      <c r="U56" s="380">
        <v>0</v>
      </c>
      <c r="V56" s="380">
        <v>45183.45</v>
      </c>
      <c r="W56" s="380">
        <v>185452.79999999999</v>
      </c>
      <c r="X56" s="380">
        <v>47173.55</v>
      </c>
      <c r="Y56" s="380">
        <v>185452.79999999999</v>
      </c>
      <c r="Z56" s="380">
        <v>47117.91</v>
      </c>
      <c r="AA56" s="376" t="s">
        <v>462</v>
      </c>
      <c r="AB56" s="376" t="s">
        <v>463</v>
      </c>
      <c r="AC56" s="376" t="s">
        <v>464</v>
      </c>
      <c r="AD56" s="376" t="s">
        <v>465</v>
      </c>
      <c r="AE56" s="376" t="s">
        <v>461</v>
      </c>
      <c r="AF56" s="376" t="s">
        <v>398</v>
      </c>
      <c r="AG56" s="376" t="s">
        <v>185</v>
      </c>
      <c r="AH56" s="381">
        <v>89.16</v>
      </c>
      <c r="AI56" s="381">
        <v>64420.3</v>
      </c>
      <c r="AJ56" s="376" t="s">
        <v>186</v>
      </c>
      <c r="AK56" s="376" t="s">
        <v>187</v>
      </c>
      <c r="AL56" s="376" t="s">
        <v>173</v>
      </c>
      <c r="AM56" s="376" t="s">
        <v>173</v>
      </c>
      <c r="AN56" s="376" t="s">
        <v>68</v>
      </c>
      <c r="AO56" s="379">
        <v>80</v>
      </c>
      <c r="AP56" s="385">
        <v>1</v>
      </c>
      <c r="AQ56" s="385">
        <v>1</v>
      </c>
      <c r="AR56" s="384" t="s">
        <v>189</v>
      </c>
      <c r="AS56" s="387">
        <f t="shared" si="27"/>
        <v>1</v>
      </c>
      <c r="AT56">
        <f t="shared" si="28"/>
        <v>1</v>
      </c>
      <c r="AU56" s="387">
        <f>IF(AT56=0,"",IF(AND(AT56=1,M56="F",SUMIF(C2:C74,C56,AS2:AS74)&lt;=1),SUMIF(C2:C74,C56,AS2:AS74),IF(AND(AT56=1,M56="F",SUMIF(C2:C74,C56,AS2:AS74)&gt;1),1,"")))</f>
        <v>1</v>
      </c>
      <c r="AV56" s="387" t="str">
        <f>IF(AT56=0,"",IF(AND(AT56=3,M56="F",SUMIF(C2:C74,C56,AS2:AS74)&lt;=1),SUMIF(C2:C74,C56,AS2:AS74),IF(AND(AT56=3,M56="F",SUMIF(C2:C74,C56,AS2:AS74)&gt;1),1,"")))</f>
        <v/>
      </c>
      <c r="AW56" s="387">
        <f>SUMIF(C2:C74,C56,O2:O74)</f>
        <v>1</v>
      </c>
      <c r="AX56" s="387">
        <f>IF(AND(M56="F",AS56&lt;&gt;0),SUMIF(C2:C74,C56,W2:W74),0)</f>
        <v>185452.79999999999</v>
      </c>
      <c r="AY56" s="387">
        <f t="shared" si="29"/>
        <v>185452.79999999999</v>
      </c>
      <c r="AZ56" s="387" t="str">
        <f t="shared" si="30"/>
        <v/>
      </c>
      <c r="BA56" s="387">
        <f t="shared" si="31"/>
        <v>0</v>
      </c>
      <c r="BB56" s="387">
        <f t="shared" si="44"/>
        <v>11650</v>
      </c>
      <c r="BC56" s="387">
        <f t="shared" si="45"/>
        <v>0</v>
      </c>
      <c r="BD56" s="387">
        <f t="shared" si="46"/>
        <v>8537.4</v>
      </c>
      <c r="BE56" s="387">
        <f t="shared" si="47"/>
        <v>2689.0655999999999</v>
      </c>
      <c r="BF56" s="387">
        <f t="shared" si="48"/>
        <v>22143.064320000001</v>
      </c>
      <c r="BG56" s="387">
        <f t="shared" si="49"/>
        <v>1337.1146879999999</v>
      </c>
      <c r="BH56" s="387">
        <f t="shared" si="50"/>
        <v>0</v>
      </c>
      <c r="BI56" s="387">
        <f t="shared" si="51"/>
        <v>0</v>
      </c>
      <c r="BJ56" s="387">
        <f t="shared" si="52"/>
        <v>500.72255999999999</v>
      </c>
      <c r="BK56" s="387">
        <f t="shared" si="53"/>
        <v>0</v>
      </c>
      <c r="BL56" s="387">
        <f t="shared" si="32"/>
        <v>35207.367168000004</v>
      </c>
      <c r="BM56" s="387">
        <f t="shared" si="33"/>
        <v>0</v>
      </c>
      <c r="BN56" s="387">
        <f t="shared" si="54"/>
        <v>11650</v>
      </c>
      <c r="BO56" s="387">
        <f t="shared" si="55"/>
        <v>0</v>
      </c>
      <c r="BP56" s="387">
        <f t="shared" si="56"/>
        <v>8853.6</v>
      </c>
      <c r="BQ56" s="387">
        <f t="shared" si="57"/>
        <v>2689.0655999999999</v>
      </c>
      <c r="BR56" s="387">
        <f t="shared" si="58"/>
        <v>22143.064320000001</v>
      </c>
      <c r="BS56" s="387">
        <f t="shared" si="59"/>
        <v>1337.1146879999999</v>
      </c>
      <c r="BT56" s="387">
        <f t="shared" si="60"/>
        <v>0</v>
      </c>
      <c r="BU56" s="387">
        <f t="shared" si="61"/>
        <v>0</v>
      </c>
      <c r="BV56" s="387">
        <f t="shared" si="62"/>
        <v>445.08671999999996</v>
      </c>
      <c r="BW56" s="387">
        <f t="shared" si="63"/>
        <v>0</v>
      </c>
      <c r="BX56" s="387">
        <f t="shared" si="34"/>
        <v>35467.931327999999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316.20000000000073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-55.635840000000059</v>
      </c>
      <c r="CI56" s="387">
        <f t="shared" si="70"/>
        <v>0</v>
      </c>
      <c r="CJ56" s="387">
        <f t="shared" si="39"/>
        <v>260.5641600000007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0550-01</v>
      </c>
    </row>
    <row r="57" spans="1:92" ht="15.75" thickBot="1" x14ac:dyDescent="0.3">
      <c r="A57" s="376" t="s">
        <v>161</v>
      </c>
      <c r="B57" s="376" t="s">
        <v>162</v>
      </c>
      <c r="C57" s="376" t="s">
        <v>466</v>
      </c>
      <c r="D57" s="376" t="s">
        <v>275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276</v>
      </c>
      <c r="L57" s="376" t="s">
        <v>185</v>
      </c>
      <c r="M57" s="376" t="s">
        <v>178</v>
      </c>
      <c r="N57" s="376" t="s">
        <v>194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34978.400000000001</v>
      </c>
      <c r="U57" s="380">
        <v>0</v>
      </c>
      <c r="V57" s="380">
        <v>18970.14</v>
      </c>
      <c r="W57" s="380">
        <v>34860.800000000003</v>
      </c>
      <c r="X57" s="380">
        <v>19188.599999999999</v>
      </c>
      <c r="Y57" s="380">
        <v>34860.800000000003</v>
      </c>
      <c r="Z57" s="380">
        <v>19007.330000000002</v>
      </c>
      <c r="AA57" s="376" t="s">
        <v>467</v>
      </c>
      <c r="AB57" s="376" t="s">
        <v>468</v>
      </c>
      <c r="AC57" s="376" t="s">
        <v>469</v>
      </c>
      <c r="AD57" s="376" t="s">
        <v>234</v>
      </c>
      <c r="AE57" s="376" t="s">
        <v>276</v>
      </c>
      <c r="AF57" s="376" t="s">
        <v>266</v>
      </c>
      <c r="AG57" s="376" t="s">
        <v>185</v>
      </c>
      <c r="AH57" s="381">
        <v>16.760000000000002</v>
      </c>
      <c r="AI57" s="379">
        <v>17934</v>
      </c>
      <c r="AJ57" s="376" t="s">
        <v>186</v>
      </c>
      <c r="AK57" s="376" t="s">
        <v>187</v>
      </c>
      <c r="AL57" s="376" t="s">
        <v>173</v>
      </c>
      <c r="AM57" s="376" t="s">
        <v>188</v>
      </c>
      <c r="AN57" s="376" t="s">
        <v>68</v>
      </c>
      <c r="AO57" s="379">
        <v>80</v>
      </c>
      <c r="AP57" s="385">
        <v>1</v>
      </c>
      <c r="AQ57" s="385">
        <v>1</v>
      </c>
      <c r="AR57" s="384" t="s">
        <v>189</v>
      </c>
      <c r="AS57" s="387">
        <f t="shared" si="27"/>
        <v>1</v>
      </c>
      <c r="AT57">
        <f t="shared" si="28"/>
        <v>1</v>
      </c>
      <c r="AU57" s="387">
        <f>IF(AT57=0,"",IF(AND(AT57=1,M57="F",SUMIF(C2:C74,C57,AS2:AS74)&lt;=1),SUMIF(C2:C74,C57,AS2:AS74),IF(AND(AT57=1,M57="F",SUMIF(C2:C74,C57,AS2:AS74)&gt;1),1,"")))</f>
        <v>1</v>
      </c>
      <c r="AV57" s="387" t="str">
        <f>IF(AT57=0,"",IF(AND(AT57=3,M57="F",SUMIF(C2:C74,C57,AS2:AS74)&lt;=1),SUMIF(C2:C74,C57,AS2:AS74),IF(AND(AT57=3,M57="F",SUMIF(C2:C74,C57,AS2:AS74)&gt;1),1,"")))</f>
        <v/>
      </c>
      <c r="AW57" s="387">
        <f>SUMIF(C2:C74,C57,O2:O74)</f>
        <v>1</v>
      </c>
      <c r="AX57" s="387">
        <f>IF(AND(M57="F",AS57&lt;&gt;0),SUMIF(C2:C74,C57,W2:W74),0)</f>
        <v>34860.800000000003</v>
      </c>
      <c r="AY57" s="387">
        <f t="shared" si="29"/>
        <v>34860.800000000003</v>
      </c>
      <c r="AZ57" s="387" t="str">
        <f t="shared" si="30"/>
        <v/>
      </c>
      <c r="BA57" s="387">
        <f t="shared" si="31"/>
        <v>0</v>
      </c>
      <c r="BB57" s="387">
        <f t="shared" si="44"/>
        <v>11650</v>
      </c>
      <c r="BC57" s="387">
        <f t="shared" si="45"/>
        <v>0</v>
      </c>
      <c r="BD57" s="387">
        <f t="shared" si="46"/>
        <v>2161.3696</v>
      </c>
      <c r="BE57" s="387">
        <f t="shared" si="47"/>
        <v>505.48160000000007</v>
      </c>
      <c r="BF57" s="387">
        <f t="shared" si="48"/>
        <v>4162.3795200000004</v>
      </c>
      <c r="BG57" s="387">
        <f t="shared" si="49"/>
        <v>251.34636800000004</v>
      </c>
      <c r="BH57" s="387">
        <f t="shared" si="50"/>
        <v>170.81792000000002</v>
      </c>
      <c r="BI57" s="387">
        <f t="shared" si="51"/>
        <v>192.95452800000001</v>
      </c>
      <c r="BJ57" s="387">
        <f t="shared" si="52"/>
        <v>94.124160000000018</v>
      </c>
      <c r="BK57" s="387">
        <f t="shared" si="53"/>
        <v>0</v>
      </c>
      <c r="BL57" s="387">
        <f t="shared" si="32"/>
        <v>7538.4736960000018</v>
      </c>
      <c r="BM57" s="387">
        <f t="shared" si="33"/>
        <v>0</v>
      </c>
      <c r="BN57" s="387">
        <f t="shared" si="54"/>
        <v>11650</v>
      </c>
      <c r="BO57" s="387">
        <f t="shared" si="55"/>
        <v>0</v>
      </c>
      <c r="BP57" s="387">
        <f t="shared" si="56"/>
        <v>2161.3696</v>
      </c>
      <c r="BQ57" s="387">
        <f t="shared" si="57"/>
        <v>505.48160000000007</v>
      </c>
      <c r="BR57" s="387">
        <f t="shared" si="58"/>
        <v>4162.3795200000004</v>
      </c>
      <c r="BS57" s="387">
        <f t="shared" si="59"/>
        <v>251.34636800000004</v>
      </c>
      <c r="BT57" s="387">
        <f t="shared" si="60"/>
        <v>0</v>
      </c>
      <c r="BU57" s="387">
        <f t="shared" si="61"/>
        <v>192.95452800000001</v>
      </c>
      <c r="BV57" s="387">
        <f t="shared" si="62"/>
        <v>83.66592</v>
      </c>
      <c r="BW57" s="387">
        <f t="shared" si="63"/>
        <v>0</v>
      </c>
      <c r="BX57" s="387">
        <f t="shared" si="34"/>
        <v>7357.1975360000015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-170.81792000000002</v>
      </c>
      <c r="CG57" s="387">
        <f t="shared" si="68"/>
        <v>0</v>
      </c>
      <c r="CH57" s="387">
        <f t="shared" si="69"/>
        <v>-10.458240000000012</v>
      </c>
      <c r="CI57" s="387">
        <f t="shared" si="70"/>
        <v>0</v>
      </c>
      <c r="CJ57" s="387">
        <f t="shared" si="39"/>
        <v>-181.27616000000003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0550-01</v>
      </c>
    </row>
    <row r="58" spans="1:92" ht="15.75" thickBot="1" x14ac:dyDescent="0.3">
      <c r="A58" s="376" t="s">
        <v>161</v>
      </c>
      <c r="B58" s="376" t="s">
        <v>162</v>
      </c>
      <c r="C58" s="376" t="s">
        <v>470</v>
      </c>
      <c r="D58" s="376" t="s">
        <v>269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270</v>
      </c>
      <c r="L58" s="376" t="s">
        <v>185</v>
      </c>
      <c r="M58" s="376" t="s">
        <v>178</v>
      </c>
      <c r="N58" s="376" t="s">
        <v>194</v>
      </c>
      <c r="O58" s="379">
        <v>1</v>
      </c>
      <c r="P58" s="385">
        <v>1</v>
      </c>
      <c r="Q58" s="385">
        <v>1</v>
      </c>
      <c r="R58" s="380">
        <v>80</v>
      </c>
      <c r="S58" s="385">
        <v>1</v>
      </c>
      <c r="T58" s="380">
        <v>29147.29</v>
      </c>
      <c r="U58" s="380">
        <v>0</v>
      </c>
      <c r="V58" s="380">
        <v>17764.22</v>
      </c>
      <c r="W58" s="380">
        <v>30222.400000000001</v>
      </c>
      <c r="X58" s="380">
        <v>18185.560000000001</v>
      </c>
      <c r="Y58" s="380">
        <v>30222.400000000001</v>
      </c>
      <c r="Z58" s="380">
        <v>18028.41</v>
      </c>
      <c r="AA58" s="376" t="s">
        <v>471</v>
      </c>
      <c r="AB58" s="376" t="s">
        <v>472</v>
      </c>
      <c r="AC58" s="376" t="s">
        <v>473</v>
      </c>
      <c r="AD58" s="376" t="s">
        <v>206</v>
      </c>
      <c r="AE58" s="376" t="s">
        <v>270</v>
      </c>
      <c r="AF58" s="376" t="s">
        <v>266</v>
      </c>
      <c r="AG58" s="376" t="s">
        <v>185</v>
      </c>
      <c r="AH58" s="381">
        <v>14.53</v>
      </c>
      <c r="AI58" s="379">
        <v>29226</v>
      </c>
      <c r="AJ58" s="376" t="s">
        <v>186</v>
      </c>
      <c r="AK58" s="376" t="s">
        <v>187</v>
      </c>
      <c r="AL58" s="376" t="s">
        <v>173</v>
      </c>
      <c r="AM58" s="376" t="s">
        <v>188</v>
      </c>
      <c r="AN58" s="376" t="s">
        <v>68</v>
      </c>
      <c r="AO58" s="379">
        <v>80</v>
      </c>
      <c r="AP58" s="385">
        <v>1</v>
      </c>
      <c r="AQ58" s="385">
        <v>1</v>
      </c>
      <c r="AR58" s="384" t="s">
        <v>189</v>
      </c>
      <c r="AS58" s="387">
        <f t="shared" si="27"/>
        <v>1</v>
      </c>
      <c r="AT58">
        <f t="shared" si="28"/>
        <v>1</v>
      </c>
      <c r="AU58" s="387">
        <f>IF(AT58=0,"",IF(AND(AT58=1,M58="F",SUMIF(C2:C74,C58,AS2:AS74)&lt;=1),SUMIF(C2:C74,C58,AS2:AS74),IF(AND(AT58=1,M58="F",SUMIF(C2:C74,C58,AS2:AS74)&gt;1),1,"")))</f>
        <v>1</v>
      </c>
      <c r="AV58" s="387" t="str">
        <f>IF(AT58=0,"",IF(AND(AT58=3,M58="F",SUMIF(C2:C74,C58,AS2:AS74)&lt;=1),SUMIF(C2:C74,C58,AS2:AS74),IF(AND(AT58=3,M58="F",SUMIF(C2:C74,C58,AS2:AS74)&gt;1),1,"")))</f>
        <v/>
      </c>
      <c r="AW58" s="387">
        <f>SUMIF(C2:C74,C58,O2:O74)</f>
        <v>1</v>
      </c>
      <c r="AX58" s="387">
        <f>IF(AND(M58="F",AS58&lt;&gt;0),SUMIF(C2:C74,C58,W2:W74),0)</f>
        <v>30222.400000000001</v>
      </c>
      <c r="AY58" s="387">
        <f t="shared" si="29"/>
        <v>30222.400000000001</v>
      </c>
      <c r="AZ58" s="387" t="str">
        <f t="shared" si="30"/>
        <v/>
      </c>
      <c r="BA58" s="387">
        <f t="shared" si="31"/>
        <v>0</v>
      </c>
      <c r="BB58" s="387">
        <f t="shared" si="44"/>
        <v>11650</v>
      </c>
      <c r="BC58" s="387">
        <f t="shared" si="45"/>
        <v>0</v>
      </c>
      <c r="BD58" s="387">
        <f t="shared" si="46"/>
        <v>1873.7888</v>
      </c>
      <c r="BE58" s="387">
        <f t="shared" si="47"/>
        <v>438.22480000000002</v>
      </c>
      <c r="BF58" s="387">
        <f t="shared" si="48"/>
        <v>3608.5545600000005</v>
      </c>
      <c r="BG58" s="387">
        <f t="shared" si="49"/>
        <v>217.90350400000003</v>
      </c>
      <c r="BH58" s="387">
        <f t="shared" si="50"/>
        <v>148.08976000000001</v>
      </c>
      <c r="BI58" s="387">
        <f t="shared" si="51"/>
        <v>167.28098400000002</v>
      </c>
      <c r="BJ58" s="387">
        <f t="shared" si="52"/>
        <v>81.600480000000005</v>
      </c>
      <c r="BK58" s="387">
        <f t="shared" si="53"/>
        <v>0</v>
      </c>
      <c r="BL58" s="387">
        <f t="shared" si="32"/>
        <v>6535.4428880000005</v>
      </c>
      <c r="BM58" s="387">
        <f t="shared" si="33"/>
        <v>0</v>
      </c>
      <c r="BN58" s="387">
        <f t="shared" si="54"/>
        <v>11650</v>
      </c>
      <c r="BO58" s="387">
        <f t="shared" si="55"/>
        <v>0</v>
      </c>
      <c r="BP58" s="387">
        <f t="shared" si="56"/>
        <v>1873.7888</v>
      </c>
      <c r="BQ58" s="387">
        <f t="shared" si="57"/>
        <v>438.22480000000002</v>
      </c>
      <c r="BR58" s="387">
        <f t="shared" si="58"/>
        <v>3608.5545600000005</v>
      </c>
      <c r="BS58" s="387">
        <f t="shared" si="59"/>
        <v>217.90350400000003</v>
      </c>
      <c r="BT58" s="387">
        <f t="shared" si="60"/>
        <v>0</v>
      </c>
      <c r="BU58" s="387">
        <f t="shared" si="61"/>
        <v>167.28098400000002</v>
      </c>
      <c r="BV58" s="387">
        <f t="shared" si="62"/>
        <v>72.533760000000001</v>
      </c>
      <c r="BW58" s="387">
        <f t="shared" si="63"/>
        <v>0</v>
      </c>
      <c r="BX58" s="387">
        <f t="shared" si="34"/>
        <v>6378.2864080000008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-148.08976000000001</v>
      </c>
      <c r="CG58" s="387">
        <f t="shared" si="68"/>
        <v>0</v>
      </c>
      <c r="CH58" s="387">
        <f t="shared" si="69"/>
        <v>-9.0667200000000108</v>
      </c>
      <c r="CI58" s="387">
        <f t="shared" si="70"/>
        <v>0</v>
      </c>
      <c r="CJ58" s="387">
        <f t="shared" si="39"/>
        <v>-157.15648000000002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0550-01</v>
      </c>
    </row>
    <row r="59" spans="1:92" ht="15.75" thickBot="1" x14ac:dyDescent="0.3">
      <c r="A59" s="376" t="s">
        <v>161</v>
      </c>
      <c r="B59" s="376" t="s">
        <v>162</v>
      </c>
      <c r="C59" s="376" t="s">
        <v>474</v>
      </c>
      <c r="D59" s="376" t="s">
        <v>247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248</v>
      </c>
      <c r="L59" s="376" t="s">
        <v>206</v>
      </c>
      <c r="M59" s="376" t="s">
        <v>178</v>
      </c>
      <c r="N59" s="376" t="s">
        <v>194</v>
      </c>
      <c r="O59" s="379">
        <v>1</v>
      </c>
      <c r="P59" s="385">
        <v>1</v>
      </c>
      <c r="Q59" s="385">
        <v>1</v>
      </c>
      <c r="R59" s="380">
        <v>80</v>
      </c>
      <c r="S59" s="385">
        <v>1</v>
      </c>
      <c r="T59" s="380">
        <v>36012.04</v>
      </c>
      <c r="U59" s="380">
        <v>0</v>
      </c>
      <c r="V59" s="380">
        <v>19185.919999999998</v>
      </c>
      <c r="W59" s="380">
        <v>36566.400000000001</v>
      </c>
      <c r="X59" s="380">
        <v>19557.439999999999</v>
      </c>
      <c r="Y59" s="380">
        <v>36566.400000000001</v>
      </c>
      <c r="Z59" s="380">
        <v>19367.3</v>
      </c>
      <c r="AA59" s="376" t="s">
        <v>475</v>
      </c>
      <c r="AB59" s="376" t="s">
        <v>476</v>
      </c>
      <c r="AC59" s="376" t="s">
        <v>477</v>
      </c>
      <c r="AD59" s="376" t="s">
        <v>217</v>
      </c>
      <c r="AE59" s="376" t="s">
        <v>248</v>
      </c>
      <c r="AF59" s="376" t="s">
        <v>210</v>
      </c>
      <c r="AG59" s="376" t="s">
        <v>185</v>
      </c>
      <c r="AH59" s="381">
        <v>17.579999999999998</v>
      </c>
      <c r="AI59" s="379">
        <v>8881</v>
      </c>
      <c r="AJ59" s="376" t="s">
        <v>186</v>
      </c>
      <c r="AK59" s="376" t="s">
        <v>187</v>
      </c>
      <c r="AL59" s="376" t="s">
        <v>173</v>
      </c>
      <c r="AM59" s="376" t="s">
        <v>188</v>
      </c>
      <c r="AN59" s="376" t="s">
        <v>68</v>
      </c>
      <c r="AO59" s="379">
        <v>80</v>
      </c>
      <c r="AP59" s="385">
        <v>1</v>
      </c>
      <c r="AQ59" s="385">
        <v>1</v>
      </c>
      <c r="AR59" s="384" t="s">
        <v>189</v>
      </c>
      <c r="AS59" s="387">
        <f t="shared" si="27"/>
        <v>1</v>
      </c>
      <c r="AT59">
        <f t="shared" si="28"/>
        <v>1</v>
      </c>
      <c r="AU59" s="387">
        <f>IF(AT59=0,"",IF(AND(AT59=1,M59="F",SUMIF(C2:C74,C59,AS2:AS74)&lt;=1),SUMIF(C2:C74,C59,AS2:AS74),IF(AND(AT59=1,M59="F",SUMIF(C2:C74,C59,AS2:AS74)&gt;1),1,"")))</f>
        <v>1</v>
      </c>
      <c r="AV59" s="387" t="str">
        <f>IF(AT59=0,"",IF(AND(AT59=3,M59="F",SUMIF(C2:C74,C59,AS2:AS74)&lt;=1),SUMIF(C2:C74,C59,AS2:AS74),IF(AND(AT59=3,M59="F",SUMIF(C2:C74,C59,AS2:AS74)&gt;1),1,"")))</f>
        <v/>
      </c>
      <c r="AW59" s="387">
        <f>SUMIF(C2:C74,C59,O2:O74)</f>
        <v>1</v>
      </c>
      <c r="AX59" s="387">
        <f>IF(AND(M59="F",AS59&lt;&gt;0),SUMIF(C2:C74,C59,W2:W74),0)</f>
        <v>36566.400000000001</v>
      </c>
      <c r="AY59" s="387">
        <f t="shared" si="29"/>
        <v>36566.400000000001</v>
      </c>
      <c r="AZ59" s="387" t="str">
        <f t="shared" si="30"/>
        <v/>
      </c>
      <c r="BA59" s="387">
        <f t="shared" si="31"/>
        <v>0</v>
      </c>
      <c r="BB59" s="387">
        <f t="shared" si="44"/>
        <v>11650</v>
      </c>
      <c r="BC59" s="387">
        <f t="shared" si="45"/>
        <v>0</v>
      </c>
      <c r="BD59" s="387">
        <f t="shared" si="46"/>
        <v>2267.1168000000002</v>
      </c>
      <c r="BE59" s="387">
        <f t="shared" si="47"/>
        <v>530.21280000000002</v>
      </c>
      <c r="BF59" s="387">
        <f t="shared" si="48"/>
        <v>4366.0281600000008</v>
      </c>
      <c r="BG59" s="387">
        <f t="shared" si="49"/>
        <v>263.64374400000003</v>
      </c>
      <c r="BH59" s="387">
        <f t="shared" si="50"/>
        <v>179.17536000000001</v>
      </c>
      <c r="BI59" s="387">
        <f t="shared" si="51"/>
        <v>202.39502400000001</v>
      </c>
      <c r="BJ59" s="387">
        <f t="shared" si="52"/>
        <v>98.729280000000003</v>
      </c>
      <c r="BK59" s="387">
        <f t="shared" si="53"/>
        <v>0</v>
      </c>
      <c r="BL59" s="387">
        <f t="shared" si="32"/>
        <v>7907.3011680000009</v>
      </c>
      <c r="BM59" s="387">
        <f t="shared" si="33"/>
        <v>0</v>
      </c>
      <c r="BN59" s="387">
        <f t="shared" si="54"/>
        <v>11650</v>
      </c>
      <c r="BO59" s="387">
        <f t="shared" si="55"/>
        <v>0</v>
      </c>
      <c r="BP59" s="387">
        <f t="shared" si="56"/>
        <v>2267.1168000000002</v>
      </c>
      <c r="BQ59" s="387">
        <f t="shared" si="57"/>
        <v>530.21280000000002</v>
      </c>
      <c r="BR59" s="387">
        <f t="shared" si="58"/>
        <v>4366.0281600000008</v>
      </c>
      <c r="BS59" s="387">
        <f t="shared" si="59"/>
        <v>263.64374400000003</v>
      </c>
      <c r="BT59" s="387">
        <f t="shared" si="60"/>
        <v>0</v>
      </c>
      <c r="BU59" s="387">
        <f t="shared" si="61"/>
        <v>202.39502400000001</v>
      </c>
      <c r="BV59" s="387">
        <f t="shared" si="62"/>
        <v>87.759360000000001</v>
      </c>
      <c r="BW59" s="387">
        <f t="shared" si="63"/>
        <v>0</v>
      </c>
      <c r="BX59" s="387">
        <f t="shared" si="34"/>
        <v>7717.1558880000011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0</v>
      </c>
      <c r="CE59" s="387">
        <f t="shared" si="66"/>
        <v>0</v>
      </c>
      <c r="CF59" s="387">
        <f t="shared" si="67"/>
        <v>-179.17536000000001</v>
      </c>
      <c r="CG59" s="387">
        <f t="shared" si="68"/>
        <v>0</v>
      </c>
      <c r="CH59" s="387">
        <f t="shared" si="69"/>
        <v>-10.969920000000013</v>
      </c>
      <c r="CI59" s="387">
        <f t="shared" si="70"/>
        <v>0</v>
      </c>
      <c r="CJ59" s="387">
        <f t="shared" si="39"/>
        <v>-190.14528000000001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0550-01</v>
      </c>
    </row>
    <row r="60" spans="1:92" ht="15.75" thickBot="1" x14ac:dyDescent="0.3">
      <c r="A60" s="376" t="s">
        <v>161</v>
      </c>
      <c r="B60" s="376" t="s">
        <v>162</v>
      </c>
      <c r="C60" s="376" t="s">
        <v>478</v>
      </c>
      <c r="D60" s="376" t="s">
        <v>479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480</v>
      </c>
      <c r="L60" s="376" t="s">
        <v>481</v>
      </c>
      <c r="M60" s="376" t="s">
        <v>178</v>
      </c>
      <c r="N60" s="376" t="s">
        <v>194</v>
      </c>
      <c r="O60" s="379">
        <v>1</v>
      </c>
      <c r="P60" s="385">
        <v>1</v>
      </c>
      <c r="Q60" s="385">
        <v>1</v>
      </c>
      <c r="R60" s="380">
        <v>80</v>
      </c>
      <c r="S60" s="385">
        <v>1</v>
      </c>
      <c r="T60" s="380">
        <v>117470.39999999999</v>
      </c>
      <c r="U60" s="380">
        <v>0</v>
      </c>
      <c r="V60" s="380">
        <v>36029.11</v>
      </c>
      <c r="W60" s="380">
        <v>120536</v>
      </c>
      <c r="X60" s="380">
        <v>37715.870000000003</v>
      </c>
      <c r="Y60" s="380">
        <v>120536</v>
      </c>
      <c r="Z60" s="380">
        <v>37089.089999999997</v>
      </c>
      <c r="AA60" s="376" t="s">
        <v>482</v>
      </c>
      <c r="AB60" s="376" t="s">
        <v>483</v>
      </c>
      <c r="AC60" s="376" t="s">
        <v>484</v>
      </c>
      <c r="AD60" s="376" t="s">
        <v>320</v>
      </c>
      <c r="AE60" s="376" t="s">
        <v>480</v>
      </c>
      <c r="AF60" s="376" t="s">
        <v>485</v>
      </c>
      <c r="AG60" s="376" t="s">
        <v>185</v>
      </c>
      <c r="AH60" s="381">
        <v>57.95</v>
      </c>
      <c r="AI60" s="379">
        <v>10920</v>
      </c>
      <c r="AJ60" s="376" t="s">
        <v>186</v>
      </c>
      <c r="AK60" s="376" t="s">
        <v>187</v>
      </c>
      <c r="AL60" s="376" t="s">
        <v>173</v>
      </c>
      <c r="AM60" s="376" t="s">
        <v>188</v>
      </c>
      <c r="AN60" s="376" t="s">
        <v>68</v>
      </c>
      <c r="AO60" s="379">
        <v>80</v>
      </c>
      <c r="AP60" s="385">
        <v>1</v>
      </c>
      <c r="AQ60" s="385">
        <v>1</v>
      </c>
      <c r="AR60" s="384" t="s">
        <v>189</v>
      </c>
      <c r="AS60" s="387">
        <f t="shared" si="27"/>
        <v>1</v>
      </c>
      <c r="AT60">
        <f t="shared" si="28"/>
        <v>1</v>
      </c>
      <c r="AU60" s="387">
        <f>IF(AT60=0,"",IF(AND(AT60=1,M60="F",SUMIF(C2:C74,C60,AS2:AS74)&lt;=1),SUMIF(C2:C74,C60,AS2:AS74),IF(AND(AT60=1,M60="F",SUMIF(C2:C74,C60,AS2:AS74)&gt;1),1,"")))</f>
        <v>1</v>
      </c>
      <c r="AV60" s="387" t="str">
        <f>IF(AT60=0,"",IF(AND(AT60=3,M60="F",SUMIF(C2:C74,C60,AS2:AS74)&lt;=1),SUMIF(C2:C74,C60,AS2:AS74),IF(AND(AT60=3,M60="F",SUMIF(C2:C74,C60,AS2:AS74)&gt;1),1,"")))</f>
        <v/>
      </c>
      <c r="AW60" s="387">
        <f>SUMIF(C2:C74,C60,O2:O74)</f>
        <v>1</v>
      </c>
      <c r="AX60" s="387">
        <f>IF(AND(M60="F",AS60&lt;&gt;0),SUMIF(C2:C74,C60,W2:W74),0)</f>
        <v>120536</v>
      </c>
      <c r="AY60" s="387">
        <f t="shared" si="29"/>
        <v>120536</v>
      </c>
      <c r="AZ60" s="387" t="str">
        <f t="shared" si="30"/>
        <v/>
      </c>
      <c r="BA60" s="387">
        <f t="shared" si="31"/>
        <v>0</v>
      </c>
      <c r="BB60" s="387">
        <f t="shared" si="44"/>
        <v>11650</v>
      </c>
      <c r="BC60" s="387">
        <f t="shared" si="45"/>
        <v>0</v>
      </c>
      <c r="BD60" s="387">
        <f t="shared" si="46"/>
        <v>7473.232</v>
      </c>
      <c r="BE60" s="387">
        <f t="shared" si="47"/>
        <v>1747.7720000000002</v>
      </c>
      <c r="BF60" s="387">
        <f t="shared" si="48"/>
        <v>14391.9984</v>
      </c>
      <c r="BG60" s="387">
        <f t="shared" si="49"/>
        <v>869.06456000000003</v>
      </c>
      <c r="BH60" s="387">
        <f t="shared" si="50"/>
        <v>590.62639999999999</v>
      </c>
      <c r="BI60" s="387">
        <f t="shared" si="51"/>
        <v>667.16675999999995</v>
      </c>
      <c r="BJ60" s="387">
        <f t="shared" si="52"/>
        <v>325.44720000000001</v>
      </c>
      <c r="BK60" s="387">
        <f t="shared" si="53"/>
        <v>0</v>
      </c>
      <c r="BL60" s="387">
        <f t="shared" si="32"/>
        <v>26065.30732</v>
      </c>
      <c r="BM60" s="387">
        <f t="shared" si="33"/>
        <v>0</v>
      </c>
      <c r="BN60" s="387">
        <f t="shared" si="54"/>
        <v>11650</v>
      </c>
      <c r="BO60" s="387">
        <f t="shared" si="55"/>
        <v>0</v>
      </c>
      <c r="BP60" s="387">
        <f t="shared" si="56"/>
        <v>7473.232</v>
      </c>
      <c r="BQ60" s="387">
        <f t="shared" si="57"/>
        <v>1747.7720000000002</v>
      </c>
      <c r="BR60" s="387">
        <f t="shared" si="58"/>
        <v>14391.9984</v>
      </c>
      <c r="BS60" s="387">
        <f t="shared" si="59"/>
        <v>869.06456000000003</v>
      </c>
      <c r="BT60" s="387">
        <f t="shared" si="60"/>
        <v>0</v>
      </c>
      <c r="BU60" s="387">
        <f t="shared" si="61"/>
        <v>667.16675999999995</v>
      </c>
      <c r="BV60" s="387">
        <f t="shared" si="62"/>
        <v>289.28639999999996</v>
      </c>
      <c r="BW60" s="387">
        <f t="shared" si="63"/>
        <v>0</v>
      </c>
      <c r="BX60" s="387">
        <f t="shared" si="34"/>
        <v>25438.520120000001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0</v>
      </c>
      <c r="CE60" s="387">
        <f t="shared" si="66"/>
        <v>0</v>
      </c>
      <c r="CF60" s="387">
        <f t="shared" si="67"/>
        <v>-590.62639999999999</v>
      </c>
      <c r="CG60" s="387">
        <f t="shared" si="68"/>
        <v>0</v>
      </c>
      <c r="CH60" s="387">
        <f t="shared" si="69"/>
        <v>-36.160800000000044</v>
      </c>
      <c r="CI60" s="387">
        <f t="shared" si="70"/>
        <v>0</v>
      </c>
      <c r="CJ60" s="387">
        <f t="shared" si="39"/>
        <v>-626.78719999999998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0550-01</v>
      </c>
    </row>
    <row r="61" spans="1:92" ht="15.75" thickBot="1" x14ac:dyDescent="0.3">
      <c r="A61" s="376" t="s">
        <v>161</v>
      </c>
      <c r="B61" s="376" t="s">
        <v>162</v>
      </c>
      <c r="C61" s="376" t="s">
        <v>486</v>
      </c>
      <c r="D61" s="376" t="s">
        <v>487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488</v>
      </c>
      <c r="L61" s="376" t="s">
        <v>287</v>
      </c>
      <c r="M61" s="376" t="s">
        <v>178</v>
      </c>
      <c r="N61" s="376" t="s">
        <v>194</v>
      </c>
      <c r="O61" s="379">
        <v>1</v>
      </c>
      <c r="P61" s="385">
        <v>1</v>
      </c>
      <c r="Q61" s="385">
        <v>1</v>
      </c>
      <c r="R61" s="380">
        <v>80</v>
      </c>
      <c r="S61" s="385">
        <v>1</v>
      </c>
      <c r="T61" s="380">
        <v>59600</v>
      </c>
      <c r="U61" s="380">
        <v>0</v>
      </c>
      <c r="V61" s="380">
        <v>23793.45</v>
      </c>
      <c r="W61" s="380">
        <v>63440</v>
      </c>
      <c r="X61" s="380">
        <v>25368.87</v>
      </c>
      <c r="Y61" s="380">
        <v>63440</v>
      </c>
      <c r="Z61" s="380">
        <v>25038.99</v>
      </c>
      <c r="AA61" s="376" t="s">
        <v>489</v>
      </c>
      <c r="AB61" s="376" t="s">
        <v>490</v>
      </c>
      <c r="AC61" s="376" t="s">
        <v>491</v>
      </c>
      <c r="AD61" s="376" t="s">
        <v>492</v>
      </c>
      <c r="AE61" s="376" t="s">
        <v>488</v>
      </c>
      <c r="AF61" s="376" t="s">
        <v>322</v>
      </c>
      <c r="AG61" s="376" t="s">
        <v>185</v>
      </c>
      <c r="AH61" s="381">
        <v>30.5</v>
      </c>
      <c r="AI61" s="381">
        <v>46426.400000000001</v>
      </c>
      <c r="AJ61" s="376" t="s">
        <v>186</v>
      </c>
      <c r="AK61" s="376" t="s">
        <v>187</v>
      </c>
      <c r="AL61" s="376" t="s">
        <v>173</v>
      </c>
      <c r="AM61" s="376" t="s">
        <v>188</v>
      </c>
      <c r="AN61" s="376" t="s">
        <v>68</v>
      </c>
      <c r="AO61" s="379">
        <v>80</v>
      </c>
      <c r="AP61" s="385">
        <v>1</v>
      </c>
      <c r="AQ61" s="385">
        <v>1</v>
      </c>
      <c r="AR61" s="384" t="s">
        <v>189</v>
      </c>
      <c r="AS61" s="387">
        <f t="shared" si="27"/>
        <v>1</v>
      </c>
      <c r="AT61">
        <f t="shared" si="28"/>
        <v>1</v>
      </c>
      <c r="AU61" s="387">
        <f>IF(AT61=0,"",IF(AND(AT61=1,M61="F",SUMIF(C2:C74,C61,AS2:AS74)&lt;=1),SUMIF(C2:C74,C61,AS2:AS74),IF(AND(AT61=1,M61="F",SUMIF(C2:C74,C61,AS2:AS74)&gt;1),1,"")))</f>
        <v>1</v>
      </c>
      <c r="AV61" s="387" t="str">
        <f>IF(AT61=0,"",IF(AND(AT61=3,M61="F",SUMIF(C2:C74,C61,AS2:AS74)&lt;=1),SUMIF(C2:C74,C61,AS2:AS74),IF(AND(AT61=3,M61="F",SUMIF(C2:C74,C61,AS2:AS74)&gt;1),1,"")))</f>
        <v/>
      </c>
      <c r="AW61" s="387">
        <f>SUMIF(C2:C74,C61,O2:O74)</f>
        <v>1</v>
      </c>
      <c r="AX61" s="387">
        <f>IF(AND(M61="F",AS61&lt;&gt;0),SUMIF(C2:C74,C61,W2:W74),0)</f>
        <v>63440</v>
      </c>
      <c r="AY61" s="387">
        <f t="shared" si="29"/>
        <v>63440</v>
      </c>
      <c r="AZ61" s="387" t="str">
        <f t="shared" si="30"/>
        <v/>
      </c>
      <c r="BA61" s="387">
        <f t="shared" si="31"/>
        <v>0</v>
      </c>
      <c r="BB61" s="387">
        <f t="shared" si="44"/>
        <v>11650</v>
      </c>
      <c r="BC61" s="387">
        <f t="shared" si="45"/>
        <v>0</v>
      </c>
      <c r="BD61" s="387">
        <f t="shared" si="46"/>
        <v>3933.2799999999997</v>
      </c>
      <c r="BE61" s="387">
        <f t="shared" si="47"/>
        <v>919.88</v>
      </c>
      <c r="BF61" s="387">
        <f t="shared" si="48"/>
        <v>7574.7360000000008</v>
      </c>
      <c r="BG61" s="387">
        <f t="shared" si="49"/>
        <v>457.4024</v>
      </c>
      <c r="BH61" s="387">
        <f t="shared" si="50"/>
        <v>310.85599999999999</v>
      </c>
      <c r="BI61" s="387">
        <f t="shared" si="51"/>
        <v>351.1404</v>
      </c>
      <c r="BJ61" s="387">
        <f t="shared" si="52"/>
        <v>171.28800000000001</v>
      </c>
      <c r="BK61" s="387">
        <f t="shared" si="53"/>
        <v>0</v>
      </c>
      <c r="BL61" s="387">
        <f t="shared" si="32"/>
        <v>13718.582800000002</v>
      </c>
      <c r="BM61" s="387">
        <f t="shared" si="33"/>
        <v>0</v>
      </c>
      <c r="BN61" s="387">
        <f t="shared" si="54"/>
        <v>11650</v>
      </c>
      <c r="BO61" s="387">
        <f t="shared" si="55"/>
        <v>0</v>
      </c>
      <c r="BP61" s="387">
        <f t="shared" si="56"/>
        <v>3933.2799999999997</v>
      </c>
      <c r="BQ61" s="387">
        <f t="shared" si="57"/>
        <v>919.88</v>
      </c>
      <c r="BR61" s="387">
        <f t="shared" si="58"/>
        <v>7574.7360000000008</v>
      </c>
      <c r="BS61" s="387">
        <f t="shared" si="59"/>
        <v>457.4024</v>
      </c>
      <c r="BT61" s="387">
        <f t="shared" si="60"/>
        <v>0</v>
      </c>
      <c r="BU61" s="387">
        <f t="shared" si="61"/>
        <v>351.1404</v>
      </c>
      <c r="BV61" s="387">
        <f t="shared" si="62"/>
        <v>152.256</v>
      </c>
      <c r="BW61" s="387">
        <f t="shared" si="63"/>
        <v>0</v>
      </c>
      <c r="BX61" s="387">
        <f t="shared" si="34"/>
        <v>13388.694800000001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-310.85599999999999</v>
      </c>
      <c r="CG61" s="387">
        <f t="shared" si="68"/>
        <v>0</v>
      </c>
      <c r="CH61" s="387">
        <f t="shared" si="69"/>
        <v>-19.032000000000021</v>
      </c>
      <c r="CI61" s="387">
        <f t="shared" si="70"/>
        <v>0</v>
      </c>
      <c r="CJ61" s="387">
        <f t="shared" si="39"/>
        <v>-329.88800000000003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0550-01</v>
      </c>
    </row>
    <row r="62" spans="1:92" ht="15.75" thickBot="1" x14ac:dyDescent="0.3">
      <c r="A62" s="376" t="s">
        <v>161</v>
      </c>
      <c r="B62" s="376" t="s">
        <v>162</v>
      </c>
      <c r="C62" s="376" t="s">
        <v>493</v>
      </c>
      <c r="D62" s="376" t="s">
        <v>239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240</v>
      </c>
      <c r="L62" s="376" t="s">
        <v>234</v>
      </c>
      <c r="M62" s="376" t="s">
        <v>178</v>
      </c>
      <c r="N62" s="376" t="s">
        <v>179</v>
      </c>
      <c r="O62" s="379">
        <v>1</v>
      </c>
      <c r="P62" s="385">
        <v>1</v>
      </c>
      <c r="Q62" s="385">
        <v>1</v>
      </c>
      <c r="R62" s="380">
        <v>80</v>
      </c>
      <c r="S62" s="385">
        <v>1</v>
      </c>
      <c r="T62" s="380">
        <v>0</v>
      </c>
      <c r="U62" s="380">
        <v>0</v>
      </c>
      <c r="V62" s="380">
        <v>0</v>
      </c>
      <c r="W62" s="380">
        <v>38480</v>
      </c>
      <c r="X62" s="380">
        <v>19758.11</v>
      </c>
      <c r="Y62" s="380">
        <v>38480</v>
      </c>
      <c r="Z62" s="380">
        <v>19558.02</v>
      </c>
      <c r="AA62" s="376" t="s">
        <v>494</v>
      </c>
      <c r="AB62" s="376" t="s">
        <v>495</v>
      </c>
      <c r="AC62" s="376" t="s">
        <v>496</v>
      </c>
      <c r="AD62" s="376" t="s">
        <v>497</v>
      </c>
      <c r="AE62" s="376" t="s">
        <v>240</v>
      </c>
      <c r="AF62" s="376" t="s">
        <v>245</v>
      </c>
      <c r="AG62" s="376" t="s">
        <v>185</v>
      </c>
      <c r="AH62" s="381">
        <v>18.5</v>
      </c>
      <c r="AI62" s="381">
        <v>11433.1</v>
      </c>
      <c r="AJ62" s="376" t="s">
        <v>186</v>
      </c>
      <c r="AK62" s="376" t="s">
        <v>187</v>
      </c>
      <c r="AL62" s="376" t="s">
        <v>173</v>
      </c>
      <c r="AM62" s="376" t="s">
        <v>188</v>
      </c>
      <c r="AN62" s="376" t="s">
        <v>68</v>
      </c>
      <c r="AO62" s="379">
        <v>80</v>
      </c>
      <c r="AP62" s="385">
        <v>1</v>
      </c>
      <c r="AQ62" s="385">
        <v>1</v>
      </c>
      <c r="AR62" s="384" t="s">
        <v>189</v>
      </c>
      <c r="AS62" s="387">
        <f t="shared" si="27"/>
        <v>1</v>
      </c>
      <c r="AT62">
        <f t="shared" si="28"/>
        <v>1</v>
      </c>
      <c r="AU62" s="387">
        <f>IF(AT62=0,"",IF(AND(AT62=1,M62="F",SUMIF(C2:C74,C62,AS2:AS74)&lt;=1),SUMIF(C2:C74,C62,AS2:AS74),IF(AND(AT62=1,M62="F",SUMIF(C2:C74,C62,AS2:AS74)&gt;1),1,"")))</f>
        <v>1</v>
      </c>
      <c r="AV62" s="387" t="str">
        <f>IF(AT62=0,"",IF(AND(AT62=3,M62="F",SUMIF(C2:C74,C62,AS2:AS74)&lt;=1),SUMIF(C2:C74,C62,AS2:AS74),IF(AND(AT62=3,M62="F",SUMIF(C2:C74,C62,AS2:AS74)&gt;1),1,"")))</f>
        <v/>
      </c>
      <c r="AW62" s="387">
        <f>SUMIF(C2:C74,C62,O2:O74)</f>
        <v>1</v>
      </c>
      <c r="AX62" s="387">
        <f>IF(AND(M62="F",AS62&lt;&gt;0),SUMIF(C2:C74,C62,W2:W74),0)</f>
        <v>38480</v>
      </c>
      <c r="AY62" s="387">
        <f t="shared" si="29"/>
        <v>38480</v>
      </c>
      <c r="AZ62" s="387" t="str">
        <f t="shared" si="30"/>
        <v/>
      </c>
      <c r="BA62" s="387">
        <f t="shared" si="31"/>
        <v>0</v>
      </c>
      <c r="BB62" s="387">
        <f t="shared" si="44"/>
        <v>11650</v>
      </c>
      <c r="BC62" s="387">
        <f t="shared" si="45"/>
        <v>0</v>
      </c>
      <c r="BD62" s="387">
        <f t="shared" si="46"/>
        <v>2385.7599999999998</v>
      </c>
      <c r="BE62" s="387">
        <f t="shared" si="47"/>
        <v>557.96</v>
      </c>
      <c r="BF62" s="387">
        <f t="shared" si="48"/>
        <v>4594.5120000000006</v>
      </c>
      <c r="BG62" s="387">
        <f t="shared" si="49"/>
        <v>277.44080000000002</v>
      </c>
      <c r="BH62" s="387">
        <f t="shared" si="50"/>
        <v>188.55199999999999</v>
      </c>
      <c r="BI62" s="387">
        <f t="shared" si="51"/>
        <v>0</v>
      </c>
      <c r="BJ62" s="387">
        <f t="shared" si="52"/>
        <v>103.896</v>
      </c>
      <c r="BK62" s="387">
        <f t="shared" si="53"/>
        <v>0</v>
      </c>
      <c r="BL62" s="387">
        <f t="shared" si="32"/>
        <v>8108.1207999999997</v>
      </c>
      <c r="BM62" s="387">
        <f t="shared" si="33"/>
        <v>0</v>
      </c>
      <c r="BN62" s="387">
        <f t="shared" si="54"/>
        <v>11650</v>
      </c>
      <c r="BO62" s="387">
        <f t="shared" si="55"/>
        <v>0</v>
      </c>
      <c r="BP62" s="387">
        <f t="shared" si="56"/>
        <v>2385.7599999999998</v>
      </c>
      <c r="BQ62" s="387">
        <f t="shared" si="57"/>
        <v>557.96</v>
      </c>
      <c r="BR62" s="387">
        <f t="shared" si="58"/>
        <v>4594.5120000000006</v>
      </c>
      <c r="BS62" s="387">
        <f t="shared" si="59"/>
        <v>277.44080000000002</v>
      </c>
      <c r="BT62" s="387">
        <f t="shared" si="60"/>
        <v>0</v>
      </c>
      <c r="BU62" s="387">
        <f t="shared" si="61"/>
        <v>0</v>
      </c>
      <c r="BV62" s="387">
        <f t="shared" si="62"/>
        <v>92.35199999999999</v>
      </c>
      <c r="BW62" s="387">
        <f t="shared" si="63"/>
        <v>0</v>
      </c>
      <c r="BX62" s="387">
        <f t="shared" si="34"/>
        <v>7908.0248000000001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-188.55199999999999</v>
      </c>
      <c r="CG62" s="387">
        <f t="shared" si="68"/>
        <v>0</v>
      </c>
      <c r="CH62" s="387">
        <f t="shared" si="69"/>
        <v>-11.544000000000013</v>
      </c>
      <c r="CI62" s="387">
        <f t="shared" si="70"/>
        <v>0</v>
      </c>
      <c r="CJ62" s="387">
        <f t="shared" si="39"/>
        <v>-200.096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0550-01</v>
      </c>
    </row>
    <row r="63" spans="1:92" ht="15.75" thickBot="1" x14ac:dyDescent="0.3">
      <c r="A63" s="376" t="s">
        <v>161</v>
      </c>
      <c r="B63" s="376" t="s">
        <v>162</v>
      </c>
      <c r="C63" s="376" t="s">
        <v>498</v>
      </c>
      <c r="D63" s="376" t="s">
        <v>191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345</v>
      </c>
      <c r="L63" s="376" t="s">
        <v>177</v>
      </c>
      <c r="M63" s="376" t="s">
        <v>178</v>
      </c>
      <c r="N63" s="376" t="s">
        <v>194</v>
      </c>
      <c r="O63" s="379">
        <v>1</v>
      </c>
      <c r="P63" s="385">
        <v>1</v>
      </c>
      <c r="Q63" s="385">
        <v>1</v>
      </c>
      <c r="R63" s="380">
        <v>80</v>
      </c>
      <c r="S63" s="385">
        <v>1</v>
      </c>
      <c r="T63" s="380">
        <v>51514.05</v>
      </c>
      <c r="U63" s="380">
        <v>179.51</v>
      </c>
      <c r="V63" s="380">
        <v>22339.34</v>
      </c>
      <c r="W63" s="380">
        <v>55244.800000000003</v>
      </c>
      <c r="X63" s="380">
        <v>23596.639999999999</v>
      </c>
      <c r="Y63" s="380">
        <v>55244.800000000003</v>
      </c>
      <c r="Z63" s="380">
        <v>23309.37</v>
      </c>
      <c r="AA63" s="376" t="s">
        <v>499</v>
      </c>
      <c r="AB63" s="376" t="s">
        <v>424</v>
      </c>
      <c r="AC63" s="376" t="s">
        <v>500</v>
      </c>
      <c r="AD63" s="376" t="s">
        <v>501</v>
      </c>
      <c r="AE63" s="376" t="s">
        <v>345</v>
      </c>
      <c r="AF63" s="376" t="s">
        <v>184</v>
      </c>
      <c r="AG63" s="376" t="s">
        <v>185</v>
      </c>
      <c r="AH63" s="381">
        <v>26.56</v>
      </c>
      <c r="AI63" s="381">
        <v>9641.6</v>
      </c>
      <c r="AJ63" s="376" t="s">
        <v>186</v>
      </c>
      <c r="AK63" s="376" t="s">
        <v>187</v>
      </c>
      <c r="AL63" s="376" t="s">
        <v>173</v>
      </c>
      <c r="AM63" s="376" t="s">
        <v>188</v>
      </c>
      <c r="AN63" s="376" t="s">
        <v>68</v>
      </c>
      <c r="AO63" s="379">
        <v>80</v>
      </c>
      <c r="AP63" s="385">
        <v>1</v>
      </c>
      <c r="AQ63" s="385">
        <v>1</v>
      </c>
      <c r="AR63" s="384" t="s">
        <v>189</v>
      </c>
      <c r="AS63" s="387">
        <f t="shared" si="27"/>
        <v>1</v>
      </c>
      <c r="AT63">
        <f t="shared" si="28"/>
        <v>1</v>
      </c>
      <c r="AU63" s="387">
        <f>IF(AT63=0,"",IF(AND(AT63=1,M63="F",SUMIF(C2:C74,C63,AS2:AS74)&lt;=1),SUMIF(C2:C74,C63,AS2:AS74),IF(AND(AT63=1,M63="F",SUMIF(C2:C74,C63,AS2:AS74)&gt;1),1,"")))</f>
        <v>1</v>
      </c>
      <c r="AV63" s="387" t="str">
        <f>IF(AT63=0,"",IF(AND(AT63=3,M63="F",SUMIF(C2:C74,C63,AS2:AS74)&lt;=1),SUMIF(C2:C74,C63,AS2:AS74),IF(AND(AT63=3,M63="F",SUMIF(C2:C74,C63,AS2:AS74)&gt;1),1,"")))</f>
        <v/>
      </c>
      <c r="AW63" s="387">
        <f>SUMIF(C2:C74,C63,O2:O74)</f>
        <v>1</v>
      </c>
      <c r="AX63" s="387">
        <f>IF(AND(M63="F",AS63&lt;&gt;0),SUMIF(C2:C74,C63,W2:W74),0)</f>
        <v>55244.800000000003</v>
      </c>
      <c r="AY63" s="387">
        <f t="shared" si="29"/>
        <v>55244.800000000003</v>
      </c>
      <c r="AZ63" s="387" t="str">
        <f t="shared" si="30"/>
        <v/>
      </c>
      <c r="BA63" s="387">
        <f t="shared" si="31"/>
        <v>0</v>
      </c>
      <c r="BB63" s="387">
        <f t="shared" si="44"/>
        <v>11650</v>
      </c>
      <c r="BC63" s="387">
        <f t="shared" si="45"/>
        <v>0</v>
      </c>
      <c r="BD63" s="387">
        <f t="shared" si="46"/>
        <v>3425.1776</v>
      </c>
      <c r="BE63" s="387">
        <f t="shared" si="47"/>
        <v>801.04960000000005</v>
      </c>
      <c r="BF63" s="387">
        <f t="shared" si="48"/>
        <v>6596.2291200000009</v>
      </c>
      <c r="BG63" s="387">
        <f t="shared" si="49"/>
        <v>398.31500800000003</v>
      </c>
      <c r="BH63" s="387">
        <f t="shared" si="50"/>
        <v>270.69952000000001</v>
      </c>
      <c r="BI63" s="387">
        <f t="shared" si="51"/>
        <v>305.779968</v>
      </c>
      <c r="BJ63" s="387">
        <f t="shared" si="52"/>
        <v>149.16096000000002</v>
      </c>
      <c r="BK63" s="387">
        <f t="shared" si="53"/>
        <v>0</v>
      </c>
      <c r="BL63" s="387">
        <f t="shared" si="32"/>
        <v>11946.411776000001</v>
      </c>
      <c r="BM63" s="387">
        <f t="shared" si="33"/>
        <v>0</v>
      </c>
      <c r="BN63" s="387">
        <f t="shared" si="54"/>
        <v>11650</v>
      </c>
      <c r="BO63" s="387">
        <f t="shared" si="55"/>
        <v>0</v>
      </c>
      <c r="BP63" s="387">
        <f t="shared" si="56"/>
        <v>3425.1776</v>
      </c>
      <c r="BQ63" s="387">
        <f t="shared" si="57"/>
        <v>801.04960000000005</v>
      </c>
      <c r="BR63" s="387">
        <f t="shared" si="58"/>
        <v>6596.2291200000009</v>
      </c>
      <c r="BS63" s="387">
        <f t="shared" si="59"/>
        <v>398.31500800000003</v>
      </c>
      <c r="BT63" s="387">
        <f t="shared" si="60"/>
        <v>0</v>
      </c>
      <c r="BU63" s="387">
        <f t="shared" si="61"/>
        <v>305.779968</v>
      </c>
      <c r="BV63" s="387">
        <f t="shared" si="62"/>
        <v>132.58751999999998</v>
      </c>
      <c r="BW63" s="387">
        <f t="shared" si="63"/>
        <v>0</v>
      </c>
      <c r="BX63" s="387">
        <f t="shared" si="34"/>
        <v>11659.138816000001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-270.69952000000001</v>
      </c>
      <c r="CG63" s="387">
        <f t="shared" si="68"/>
        <v>0</v>
      </c>
      <c r="CH63" s="387">
        <f t="shared" si="69"/>
        <v>-16.573440000000019</v>
      </c>
      <c r="CI63" s="387">
        <f t="shared" si="70"/>
        <v>0</v>
      </c>
      <c r="CJ63" s="387">
        <f t="shared" si="39"/>
        <v>-287.27296000000001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0550-01</v>
      </c>
    </row>
    <row r="64" spans="1:92" ht="15.75" thickBot="1" x14ac:dyDescent="0.3">
      <c r="A64" s="376" t="s">
        <v>161</v>
      </c>
      <c r="B64" s="376" t="s">
        <v>162</v>
      </c>
      <c r="C64" s="376" t="s">
        <v>502</v>
      </c>
      <c r="D64" s="376" t="s">
        <v>503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504</v>
      </c>
      <c r="L64" s="376" t="s">
        <v>177</v>
      </c>
      <c r="M64" s="376" t="s">
        <v>178</v>
      </c>
      <c r="N64" s="376" t="s">
        <v>194</v>
      </c>
      <c r="O64" s="379">
        <v>1</v>
      </c>
      <c r="P64" s="385">
        <v>1</v>
      </c>
      <c r="Q64" s="385">
        <v>1</v>
      </c>
      <c r="R64" s="380">
        <v>80</v>
      </c>
      <c r="S64" s="385">
        <v>1</v>
      </c>
      <c r="T64" s="380">
        <v>51462.43</v>
      </c>
      <c r="U64" s="380">
        <v>0</v>
      </c>
      <c r="V64" s="380">
        <v>22516.74</v>
      </c>
      <c r="W64" s="380">
        <v>55244.800000000003</v>
      </c>
      <c r="X64" s="380">
        <v>23596.639999999999</v>
      </c>
      <c r="Y64" s="380">
        <v>55244.800000000003</v>
      </c>
      <c r="Z64" s="380">
        <v>23309.37</v>
      </c>
      <c r="AA64" s="376" t="s">
        <v>505</v>
      </c>
      <c r="AB64" s="376" t="s">
        <v>506</v>
      </c>
      <c r="AC64" s="376" t="s">
        <v>507</v>
      </c>
      <c r="AD64" s="376" t="s">
        <v>244</v>
      </c>
      <c r="AE64" s="376" t="s">
        <v>504</v>
      </c>
      <c r="AF64" s="376" t="s">
        <v>184</v>
      </c>
      <c r="AG64" s="376" t="s">
        <v>185</v>
      </c>
      <c r="AH64" s="381">
        <v>26.56</v>
      </c>
      <c r="AI64" s="381">
        <v>11092.1</v>
      </c>
      <c r="AJ64" s="376" t="s">
        <v>186</v>
      </c>
      <c r="AK64" s="376" t="s">
        <v>187</v>
      </c>
      <c r="AL64" s="376" t="s">
        <v>173</v>
      </c>
      <c r="AM64" s="376" t="s">
        <v>188</v>
      </c>
      <c r="AN64" s="376" t="s">
        <v>68</v>
      </c>
      <c r="AO64" s="379">
        <v>80</v>
      </c>
      <c r="AP64" s="385">
        <v>1</v>
      </c>
      <c r="AQ64" s="385">
        <v>1</v>
      </c>
      <c r="AR64" s="384" t="s">
        <v>189</v>
      </c>
      <c r="AS64" s="387">
        <f t="shared" si="27"/>
        <v>1</v>
      </c>
      <c r="AT64">
        <f t="shared" si="28"/>
        <v>1</v>
      </c>
      <c r="AU64" s="387">
        <f>IF(AT64=0,"",IF(AND(AT64=1,M64="F",SUMIF(C2:C74,C64,AS2:AS74)&lt;=1),SUMIF(C2:C74,C64,AS2:AS74),IF(AND(AT64=1,M64="F",SUMIF(C2:C74,C64,AS2:AS74)&gt;1),1,"")))</f>
        <v>1</v>
      </c>
      <c r="AV64" s="387" t="str">
        <f>IF(AT64=0,"",IF(AND(AT64=3,M64="F",SUMIF(C2:C74,C64,AS2:AS74)&lt;=1),SUMIF(C2:C74,C64,AS2:AS74),IF(AND(AT64=3,M64="F",SUMIF(C2:C74,C64,AS2:AS74)&gt;1),1,"")))</f>
        <v/>
      </c>
      <c r="AW64" s="387">
        <f>SUMIF(C2:C74,C64,O2:O74)</f>
        <v>1</v>
      </c>
      <c r="AX64" s="387">
        <f>IF(AND(M64="F",AS64&lt;&gt;0),SUMIF(C2:C74,C64,W2:W74),0)</f>
        <v>55244.800000000003</v>
      </c>
      <c r="AY64" s="387">
        <f t="shared" si="29"/>
        <v>55244.800000000003</v>
      </c>
      <c r="AZ64" s="387" t="str">
        <f t="shared" si="30"/>
        <v/>
      </c>
      <c r="BA64" s="387">
        <f t="shared" si="31"/>
        <v>0</v>
      </c>
      <c r="BB64" s="387">
        <f t="shared" si="44"/>
        <v>11650</v>
      </c>
      <c r="BC64" s="387">
        <f t="shared" si="45"/>
        <v>0</v>
      </c>
      <c r="BD64" s="387">
        <f t="shared" si="46"/>
        <v>3425.1776</v>
      </c>
      <c r="BE64" s="387">
        <f t="shared" si="47"/>
        <v>801.04960000000005</v>
      </c>
      <c r="BF64" s="387">
        <f t="shared" si="48"/>
        <v>6596.2291200000009</v>
      </c>
      <c r="BG64" s="387">
        <f t="shared" si="49"/>
        <v>398.31500800000003</v>
      </c>
      <c r="BH64" s="387">
        <f t="shared" si="50"/>
        <v>270.69952000000001</v>
      </c>
      <c r="BI64" s="387">
        <f t="shared" si="51"/>
        <v>305.779968</v>
      </c>
      <c r="BJ64" s="387">
        <f t="shared" si="52"/>
        <v>149.16096000000002</v>
      </c>
      <c r="BK64" s="387">
        <f t="shared" si="53"/>
        <v>0</v>
      </c>
      <c r="BL64" s="387">
        <f t="shared" si="32"/>
        <v>11946.411776000001</v>
      </c>
      <c r="BM64" s="387">
        <f t="shared" si="33"/>
        <v>0</v>
      </c>
      <c r="BN64" s="387">
        <f t="shared" si="54"/>
        <v>11650</v>
      </c>
      <c r="BO64" s="387">
        <f t="shared" si="55"/>
        <v>0</v>
      </c>
      <c r="BP64" s="387">
        <f t="shared" si="56"/>
        <v>3425.1776</v>
      </c>
      <c r="BQ64" s="387">
        <f t="shared" si="57"/>
        <v>801.04960000000005</v>
      </c>
      <c r="BR64" s="387">
        <f t="shared" si="58"/>
        <v>6596.2291200000009</v>
      </c>
      <c r="BS64" s="387">
        <f t="shared" si="59"/>
        <v>398.31500800000003</v>
      </c>
      <c r="BT64" s="387">
        <f t="shared" si="60"/>
        <v>0</v>
      </c>
      <c r="BU64" s="387">
        <f t="shared" si="61"/>
        <v>305.779968</v>
      </c>
      <c r="BV64" s="387">
        <f t="shared" si="62"/>
        <v>132.58751999999998</v>
      </c>
      <c r="BW64" s="387">
        <f t="shared" si="63"/>
        <v>0</v>
      </c>
      <c r="BX64" s="387">
        <f t="shared" si="34"/>
        <v>11659.138816000001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-270.69952000000001</v>
      </c>
      <c r="CG64" s="387">
        <f t="shared" si="68"/>
        <v>0</v>
      </c>
      <c r="CH64" s="387">
        <f t="shared" si="69"/>
        <v>-16.573440000000019</v>
      </c>
      <c r="CI64" s="387">
        <f t="shared" si="70"/>
        <v>0</v>
      </c>
      <c r="CJ64" s="387">
        <f t="shared" si="39"/>
        <v>-287.27296000000001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0550-01</v>
      </c>
    </row>
    <row r="65" spans="1:92" ht="15.75" thickBot="1" x14ac:dyDescent="0.3">
      <c r="A65" s="376" t="s">
        <v>161</v>
      </c>
      <c r="B65" s="376" t="s">
        <v>162</v>
      </c>
      <c r="C65" s="376" t="s">
        <v>508</v>
      </c>
      <c r="D65" s="376" t="s">
        <v>509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510</v>
      </c>
      <c r="L65" s="376" t="s">
        <v>380</v>
      </c>
      <c r="M65" s="376" t="s">
        <v>178</v>
      </c>
      <c r="N65" s="376" t="s">
        <v>194</v>
      </c>
      <c r="O65" s="379">
        <v>1</v>
      </c>
      <c r="P65" s="385">
        <v>1</v>
      </c>
      <c r="Q65" s="385">
        <v>1</v>
      </c>
      <c r="R65" s="380">
        <v>80</v>
      </c>
      <c r="S65" s="385">
        <v>1</v>
      </c>
      <c r="T65" s="380">
        <v>28385.599999999999</v>
      </c>
      <c r="U65" s="380">
        <v>6.8</v>
      </c>
      <c r="V65" s="380">
        <v>17606.86</v>
      </c>
      <c r="W65" s="380">
        <v>29556.799999999999</v>
      </c>
      <c r="X65" s="380">
        <v>18041.63</v>
      </c>
      <c r="Y65" s="380">
        <v>29556.799999999999</v>
      </c>
      <c r="Z65" s="380">
        <v>17887.939999999999</v>
      </c>
      <c r="AA65" s="376" t="s">
        <v>511</v>
      </c>
      <c r="AB65" s="376" t="s">
        <v>512</v>
      </c>
      <c r="AC65" s="376" t="s">
        <v>513</v>
      </c>
      <c r="AD65" s="376" t="s">
        <v>311</v>
      </c>
      <c r="AE65" s="376" t="s">
        <v>510</v>
      </c>
      <c r="AF65" s="376" t="s">
        <v>384</v>
      </c>
      <c r="AG65" s="376" t="s">
        <v>185</v>
      </c>
      <c r="AH65" s="381">
        <v>14.21</v>
      </c>
      <c r="AI65" s="381">
        <v>14367.6</v>
      </c>
      <c r="AJ65" s="376" t="s">
        <v>186</v>
      </c>
      <c r="AK65" s="376" t="s">
        <v>187</v>
      </c>
      <c r="AL65" s="376" t="s">
        <v>173</v>
      </c>
      <c r="AM65" s="376" t="s">
        <v>188</v>
      </c>
      <c r="AN65" s="376" t="s">
        <v>68</v>
      </c>
      <c r="AO65" s="379">
        <v>80</v>
      </c>
      <c r="AP65" s="385">
        <v>1</v>
      </c>
      <c r="AQ65" s="385">
        <v>1</v>
      </c>
      <c r="AR65" s="384" t="s">
        <v>189</v>
      </c>
      <c r="AS65" s="387">
        <f t="shared" si="27"/>
        <v>1</v>
      </c>
      <c r="AT65">
        <f t="shared" si="28"/>
        <v>1</v>
      </c>
      <c r="AU65" s="387">
        <f>IF(AT65=0,"",IF(AND(AT65=1,M65="F",SUMIF(C2:C74,C65,AS2:AS74)&lt;=1),SUMIF(C2:C74,C65,AS2:AS74),IF(AND(AT65=1,M65="F",SUMIF(C2:C74,C65,AS2:AS74)&gt;1),1,"")))</f>
        <v>1</v>
      </c>
      <c r="AV65" s="387" t="str">
        <f>IF(AT65=0,"",IF(AND(AT65=3,M65="F",SUMIF(C2:C74,C65,AS2:AS74)&lt;=1),SUMIF(C2:C74,C65,AS2:AS74),IF(AND(AT65=3,M65="F",SUMIF(C2:C74,C65,AS2:AS74)&gt;1),1,"")))</f>
        <v/>
      </c>
      <c r="AW65" s="387">
        <f>SUMIF(C2:C74,C65,O2:O74)</f>
        <v>1</v>
      </c>
      <c r="AX65" s="387">
        <f>IF(AND(M65="F",AS65&lt;&gt;0),SUMIF(C2:C74,C65,W2:W74),0)</f>
        <v>29556.799999999999</v>
      </c>
      <c r="AY65" s="387">
        <f t="shared" si="29"/>
        <v>29556.799999999999</v>
      </c>
      <c r="AZ65" s="387" t="str">
        <f t="shared" si="30"/>
        <v/>
      </c>
      <c r="BA65" s="387">
        <f t="shared" si="31"/>
        <v>0</v>
      </c>
      <c r="BB65" s="387">
        <f t="shared" si="44"/>
        <v>11650</v>
      </c>
      <c r="BC65" s="387">
        <f t="shared" si="45"/>
        <v>0</v>
      </c>
      <c r="BD65" s="387">
        <f t="shared" si="46"/>
        <v>1832.5216</v>
      </c>
      <c r="BE65" s="387">
        <f t="shared" si="47"/>
        <v>428.5736</v>
      </c>
      <c r="BF65" s="387">
        <f t="shared" si="48"/>
        <v>3529.0819200000001</v>
      </c>
      <c r="BG65" s="387">
        <f t="shared" si="49"/>
        <v>213.10452800000002</v>
      </c>
      <c r="BH65" s="387">
        <f t="shared" si="50"/>
        <v>144.82831999999999</v>
      </c>
      <c r="BI65" s="387">
        <f t="shared" si="51"/>
        <v>163.59688800000001</v>
      </c>
      <c r="BJ65" s="387">
        <f t="shared" si="52"/>
        <v>79.803359999999998</v>
      </c>
      <c r="BK65" s="387">
        <f t="shared" si="53"/>
        <v>0</v>
      </c>
      <c r="BL65" s="387">
        <f t="shared" si="32"/>
        <v>6391.5102159999997</v>
      </c>
      <c r="BM65" s="387">
        <f t="shared" si="33"/>
        <v>0</v>
      </c>
      <c r="BN65" s="387">
        <f t="shared" si="54"/>
        <v>11650</v>
      </c>
      <c r="BO65" s="387">
        <f t="shared" si="55"/>
        <v>0</v>
      </c>
      <c r="BP65" s="387">
        <f t="shared" si="56"/>
        <v>1832.5216</v>
      </c>
      <c r="BQ65" s="387">
        <f t="shared" si="57"/>
        <v>428.5736</v>
      </c>
      <c r="BR65" s="387">
        <f t="shared" si="58"/>
        <v>3529.0819200000001</v>
      </c>
      <c r="BS65" s="387">
        <f t="shared" si="59"/>
        <v>213.10452800000002</v>
      </c>
      <c r="BT65" s="387">
        <f t="shared" si="60"/>
        <v>0</v>
      </c>
      <c r="BU65" s="387">
        <f t="shared" si="61"/>
        <v>163.59688800000001</v>
      </c>
      <c r="BV65" s="387">
        <f t="shared" si="62"/>
        <v>70.936319999999995</v>
      </c>
      <c r="BW65" s="387">
        <f t="shared" si="63"/>
        <v>0</v>
      </c>
      <c r="BX65" s="387">
        <f t="shared" si="34"/>
        <v>6237.814856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0</v>
      </c>
      <c r="CE65" s="387">
        <f t="shared" si="66"/>
        <v>0</v>
      </c>
      <c r="CF65" s="387">
        <f t="shared" si="67"/>
        <v>-144.82831999999999</v>
      </c>
      <c r="CG65" s="387">
        <f t="shared" si="68"/>
        <v>0</v>
      </c>
      <c r="CH65" s="387">
        <f t="shared" si="69"/>
        <v>-8.86704000000001</v>
      </c>
      <c r="CI65" s="387">
        <f t="shared" si="70"/>
        <v>0</v>
      </c>
      <c r="CJ65" s="387">
        <f t="shared" si="39"/>
        <v>-153.69535999999999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0550-01</v>
      </c>
    </row>
    <row r="66" spans="1:92" ht="15.75" thickBot="1" x14ac:dyDescent="0.3">
      <c r="A66" s="376" t="s">
        <v>161</v>
      </c>
      <c r="B66" s="376" t="s">
        <v>162</v>
      </c>
      <c r="C66" s="376" t="s">
        <v>514</v>
      </c>
      <c r="D66" s="376" t="s">
        <v>253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254</v>
      </c>
      <c r="L66" s="376" t="s">
        <v>177</v>
      </c>
      <c r="M66" s="376" t="s">
        <v>178</v>
      </c>
      <c r="N66" s="376" t="s">
        <v>194</v>
      </c>
      <c r="O66" s="379">
        <v>1</v>
      </c>
      <c r="P66" s="385">
        <v>1</v>
      </c>
      <c r="Q66" s="385">
        <v>1</v>
      </c>
      <c r="R66" s="380">
        <v>80</v>
      </c>
      <c r="S66" s="385">
        <v>1</v>
      </c>
      <c r="T66" s="380">
        <v>45932.800000000003</v>
      </c>
      <c r="U66" s="380">
        <v>0</v>
      </c>
      <c r="V66" s="380">
        <v>21204.19</v>
      </c>
      <c r="W66" s="380">
        <v>50003.199999999997</v>
      </c>
      <c r="X66" s="380">
        <v>22463.15</v>
      </c>
      <c r="Y66" s="380">
        <v>50003.199999999997</v>
      </c>
      <c r="Z66" s="380">
        <v>22203.14</v>
      </c>
      <c r="AA66" s="376" t="s">
        <v>515</v>
      </c>
      <c r="AB66" s="376" t="s">
        <v>516</v>
      </c>
      <c r="AC66" s="376" t="s">
        <v>517</v>
      </c>
      <c r="AD66" s="376" t="s">
        <v>234</v>
      </c>
      <c r="AE66" s="376" t="s">
        <v>254</v>
      </c>
      <c r="AF66" s="376" t="s">
        <v>184</v>
      </c>
      <c r="AG66" s="376" t="s">
        <v>185</v>
      </c>
      <c r="AH66" s="381">
        <v>24.04</v>
      </c>
      <c r="AI66" s="379">
        <v>4468</v>
      </c>
      <c r="AJ66" s="376" t="s">
        <v>186</v>
      </c>
      <c r="AK66" s="376" t="s">
        <v>187</v>
      </c>
      <c r="AL66" s="376" t="s">
        <v>173</v>
      </c>
      <c r="AM66" s="376" t="s">
        <v>188</v>
      </c>
      <c r="AN66" s="376" t="s">
        <v>68</v>
      </c>
      <c r="AO66" s="379">
        <v>80</v>
      </c>
      <c r="AP66" s="385">
        <v>1</v>
      </c>
      <c r="AQ66" s="385">
        <v>1</v>
      </c>
      <c r="AR66" s="384" t="s">
        <v>189</v>
      </c>
      <c r="AS66" s="387">
        <f t="shared" si="27"/>
        <v>1</v>
      </c>
      <c r="AT66">
        <f t="shared" si="28"/>
        <v>1</v>
      </c>
      <c r="AU66" s="387">
        <f>IF(AT66=0,"",IF(AND(AT66=1,M66="F",SUMIF(C2:C74,C66,AS2:AS74)&lt;=1),SUMIF(C2:C74,C66,AS2:AS74),IF(AND(AT66=1,M66="F",SUMIF(C2:C74,C66,AS2:AS74)&gt;1),1,"")))</f>
        <v>1</v>
      </c>
      <c r="AV66" s="387" t="str">
        <f>IF(AT66=0,"",IF(AND(AT66=3,M66="F",SUMIF(C2:C74,C66,AS2:AS74)&lt;=1),SUMIF(C2:C74,C66,AS2:AS74),IF(AND(AT66=3,M66="F",SUMIF(C2:C74,C66,AS2:AS74)&gt;1),1,"")))</f>
        <v/>
      </c>
      <c r="AW66" s="387">
        <f>SUMIF(C2:C74,C66,O2:O74)</f>
        <v>1</v>
      </c>
      <c r="AX66" s="387">
        <f>IF(AND(M66="F",AS66&lt;&gt;0),SUMIF(C2:C74,C66,W2:W74),0)</f>
        <v>50003.199999999997</v>
      </c>
      <c r="AY66" s="387">
        <f t="shared" si="29"/>
        <v>50003.199999999997</v>
      </c>
      <c r="AZ66" s="387" t="str">
        <f t="shared" si="30"/>
        <v/>
      </c>
      <c r="BA66" s="387">
        <f t="shared" si="31"/>
        <v>0</v>
      </c>
      <c r="BB66" s="387">
        <f t="shared" ref="BB66:BB74" si="71">IF(AND(AT66=1,AK66="E",AU66&gt;=0.75,AW66=1),Health,IF(AND(AT66=1,AK66="E",AU66&gt;=0.75),Health*P66,IF(AND(AT66=1,AK66="E",AU66&gt;=0.5,AW66=1),PTHealth,IF(AND(AT66=1,AK66="E",AU66&gt;=0.5),PTHealth*P66,0))))</f>
        <v>11650</v>
      </c>
      <c r="BC66" s="387">
        <f t="shared" ref="BC66:BC74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4" si="73">IF(AND(AT66&lt;&gt;0,AX66&gt;=MAXSSDI),SSDI*MAXSSDI*P66,IF(AT66&lt;&gt;0,SSDI*W66,0))</f>
        <v>3100.1983999999998</v>
      </c>
      <c r="BE66" s="387">
        <f t="shared" ref="BE66:BE74" si="74">IF(AT66&lt;&gt;0,SSHI*W66,0)</f>
        <v>725.04639999999995</v>
      </c>
      <c r="BF66" s="387">
        <f t="shared" ref="BF66:BF74" si="75">IF(AND(AT66&lt;&gt;0,AN66&lt;&gt;"NE"),VLOOKUP(AN66,Retirement_Rates,3,FALSE)*W66,0)</f>
        <v>5970.3820800000003</v>
      </c>
      <c r="BG66" s="387">
        <f t="shared" ref="BG66:BG74" si="76">IF(AND(AT66&lt;&gt;0,AJ66&lt;&gt;"PF"),Life*W66,0)</f>
        <v>360.52307200000001</v>
      </c>
      <c r="BH66" s="387">
        <f t="shared" ref="BH66:BH74" si="77">IF(AND(AT66&lt;&gt;0,AM66="Y"),UI*W66,0)</f>
        <v>245.01567999999997</v>
      </c>
      <c r="BI66" s="387">
        <f t="shared" ref="BI66:BI74" si="78">IF(AND(AT66&lt;&gt;0,N66&lt;&gt;"NR"),DHR*W66,0)</f>
        <v>276.76771199999996</v>
      </c>
      <c r="BJ66" s="387">
        <f t="shared" ref="BJ66:BJ74" si="79">IF(AT66&lt;&gt;0,WC*W66,0)</f>
        <v>135.00863999999999</v>
      </c>
      <c r="BK66" s="387">
        <f t="shared" ref="BK66:BK74" si="80">IF(OR(AND(AT66&lt;&gt;0,AJ66&lt;&gt;"PF",AN66&lt;&gt;"NE",AG66&lt;&gt;"A"),AND(AL66="E",OR(AT66=1,AT66=3))),Sick*W66,0)</f>
        <v>0</v>
      </c>
      <c r="BL66" s="387">
        <f t="shared" si="32"/>
        <v>10812.941984000001</v>
      </c>
      <c r="BM66" s="387">
        <f t="shared" si="33"/>
        <v>0</v>
      </c>
      <c r="BN66" s="387">
        <f t="shared" ref="BN66:BN74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387">
        <f t="shared" ref="BO66:BO74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4" si="83">IF(AND(AT66&lt;&gt;0,(AX66+BA66)&gt;=MAXSSDIBY),SSDIBY*MAXSSDIBY*P66,IF(AT66&lt;&gt;0,SSDIBY*W66,0))</f>
        <v>3100.1983999999998</v>
      </c>
      <c r="BQ66" s="387">
        <f t="shared" ref="BQ66:BQ74" si="84">IF(AT66&lt;&gt;0,SSHIBY*W66,0)</f>
        <v>725.04639999999995</v>
      </c>
      <c r="BR66" s="387">
        <f t="shared" ref="BR66:BR74" si="85">IF(AND(AT66&lt;&gt;0,AN66&lt;&gt;"NE"),VLOOKUP(AN66,Retirement_Rates,4,FALSE)*W66,0)</f>
        <v>5970.3820800000003</v>
      </c>
      <c r="BS66" s="387">
        <f t="shared" ref="BS66:BS74" si="86">IF(AND(AT66&lt;&gt;0,AJ66&lt;&gt;"PF"),LifeBY*W66,0)</f>
        <v>360.52307200000001</v>
      </c>
      <c r="BT66" s="387">
        <f t="shared" ref="BT66:BT74" si="87">IF(AND(AT66&lt;&gt;0,AM66="Y"),UIBY*W66,0)</f>
        <v>0</v>
      </c>
      <c r="BU66" s="387">
        <f t="shared" ref="BU66:BU74" si="88">IF(AND(AT66&lt;&gt;0,N66&lt;&gt;"NR"),DHRBY*W66,0)</f>
        <v>276.76771199999996</v>
      </c>
      <c r="BV66" s="387">
        <f t="shared" ref="BV66:BV74" si="89">IF(AT66&lt;&gt;0,WCBY*W66,0)</f>
        <v>120.00767999999998</v>
      </c>
      <c r="BW66" s="387">
        <f t="shared" ref="BW66:BW74" si="90">IF(OR(AND(AT66&lt;&gt;0,AJ66&lt;&gt;"PF",AN66&lt;&gt;"NE",AG66&lt;&gt;"A"),AND(AL66="E",OR(AT66=1,AT66=3))),SickBY*W66,0)</f>
        <v>0</v>
      </c>
      <c r="BX66" s="387">
        <f t="shared" si="34"/>
        <v>10552.925344000001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74" si="91">IF(AT66&lt;&gt;0,SSHICHG*Y66,0)</f>
        <v>0</v>
      </c>
      <c r="CD66" s="387">
        <f t="shared" ref="CD66:CD74" si="92">IF(AND(AT66&lt;&gt;0,AN66&lt;&gt;"NE"),VLOOKUP(AN66,Retirement_Rates,5,FALSE)*Y66,0)</f>
        <v>0</v>
      </c>
      <c r="CE66" s="387">
        <f t="shared" ref="CE66:CE74" si="93">IF(AND(AT66&lt;&gt;0,AJ66&lt;&gt;"PF"),LifeCHG*Y66,0)</f>
        <v>0</v>
      </c>
      <c r="CF66" s="387">
        <f t="shared" ref="CF66:CF74" si="94">IF(AND(AT66&lt;&gt;0,AM66="Y"),UICHG*Y66,0)</f>
        <v>-245.01567999999997</v>
      </c>
      <c r="CG66" s="387">
        <f t="shared" ref="CG66:CG74" si="95">IF(AND(AT66&lt;&gt;0,N66&lt;&gt;"NR"),DHRCHG*Y66,0)</f>
        <v>0</v>
      </c>
      <c r="CH66" s="387">
        <f t="shared" ref="CH66:CH74" si="96">IF(AT66&lt;&gt;0,WCCHG*Y66,0)</f>
        <v>-15.000960000000017</v>
      </c>
      <c r="CI66" s="387">
        <f t="shared" ref="CI66:CI74" si="97">IF(OR(AND(AT66&lt;&gt;0,AJ66&lt;&gt;"PF",AN66&lt;&gt;"NE",AG66&lt;&gt;"A"),AND(AL66="E",OR(AT66=1,AT66=3))),SickCHG*Y66,0)</f>
        <v>0</v>
      </c>
      <c r="CJ66" s="387">
        <f t="shared" si="39"/>
        <v>-260.01664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0550-01</v>
      </c>
    </row>
    <row r="67" spans="1:92" ht="15.75" thickBot="1" x14ac:dyDescent="0.3">
      <c r="A67" s="376" t="s">
        <v>161</v>
      </c>
      <c r="B67" s="376" t="s">
        <v>162</v>
      </c>
      <c r="C67" s="376" t="s">
        <v>518</v>
      </c>
      <c r="D67" s="376" t="s">
        <v>339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519</v>
      </c>
      <c r="L67" s="376" t="s">
        <v>177</v>
      </c>
      <c r="M67" s="376" t="s">
        <v>178</v>
      </c>
      <c r="N67" s="376" t="s">
        <v>194</v>
      </c>
      <c r="O67" s="379">
        <v>1</v>
      </c>
      <c r="P67" s="385">
        <v>1</v>
      </c>
      <c r="Q67" s="385">
        <v>1</v>
      </c>
      <c r="R67" s="380">
        <v>80</v>
      </c>
      <c r="S67" s="385">
        <v>1</v>
      </c>
      <c r="T67" s="380">
        <v>22790</v>
      </c>
      <c r="U67" s="380">
        <v>0</v>
      </c>
      <c r="V67" s="380">
        <v>10310.18</v>
      </c>
      <c r="W67" s="380">
        <v>60320</v>
      </c>
      <c r="X67" s="380">
        <v>24694.17</v>
      </c>
      <c r="Y67" s="380">
        <v>60320</v>
      </c>
      <c r="Z67" s="380">
        <v>24380.51</v>
      </c>
      <c r="AA67" s="376" t="s">
        <v>520</v>
      </c>
      <c r="AB67" s="376" t="s">
        <v>521</v>
      </c>
      <c r="AC67" s="376" t="s">
        <v>522</v>
      </c>
      <c r="AD67" s="376" t="s">
        <v>234</v>
      </c>
      <c r="AE67" s="376" t="s">
        <v>519</v>
      </c>
      <c r="AF67" s="376" t="s">
        <v>184</v>
      </c>
      <c r="AG67" s="376" t="s">
        <v>185</v>
      </c>
      <c r="AH67" s="379">
        <v>29</v>
      </c>
      <c r="AI67" s="381">
        <v>248.5</v>
      </c>
      <c r="AJ67" s="376" t="s">
        <v>186</v>
      </c>
      <c r="AK67" s="376" t="s">
        <v>187</v>
      </c>
      <c r="AL67" s="376" t="s">
        <v>173</v>
      </c>
      <c r="AM67" s="376" t="s">
        <v>188</v>
      </c>
      <c r="AN67" s="376" t="s">
        <v>68</v>
      </c>
      <c r="AO67" s="379">
        <v>80</v>
      </c>
      <c r="AP67" s="385">
        <v>1</v>
      </c>
      <c r="AQ67" s="385">
        <v>1</v>
      </c>
      <c r="AR67" s="384" t="s">
        <v>189</v>
      </c>
      <c r="AS67" s="387">
        <f t="shared" ref="AS67:AS74" si="98">IF(((AO67/80)*AP67*P67)&gt;1,AQ67,((AO67/80)*AP67*P67))</f>
        <v>1</v>
      </c>
      <c r="AT67">
        <f t="shared" ref="AT67:AT74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IF(AT67=0,"",IF(AND(AT67=1,M67="F",SUMIF(C2:C74,C67,AS2:AS74)&lt;=1),SUMIF(C2:C74,C67,AS2:AS74),IF(AND(AT67=1,M67="F",SUMIF(C2:C74,C67,AS2:AS74)&gt;1),1,"")))</f>
        <v>1</v>
      </c>
      <c r="AV67" s="387" t="str">
        <f>IF(AT67=0,"",IF(AND(AT67=3,M67="F",SUMIF(C2:C74,C67,AS2:AS74)&lt;=1),SUMIF(C2:C74,C67,AS2:AS74),IF(AND(AT67=3,M67="F",SUMIF(C2:C74,C67,AS2:AS74)&gt;1),1,"")))</f>
        <v/>
      </c>
      <c r="AW67" s="387">
        <f>SUMIF(C2:C74,C67,O2:O74)</f>
        <v>1</v>
      </c>
      <c r="AX67" s="387">
        <f>IF(AND(M67="F",AS67&lt;&gt;0),SUMIF(C2:C74,C67,W2:W74),0)</f>
        <v>60320</v>
      </c>
      <c r="AY67" s="387">
        <f t="shared" ref="AY67:AY74" si="100">IF(AT67=1,W67,"")</f>
        <v>60320</v>
      </c>
      <c r="AZ67" s="387" t="str">
        <f t="shared" ref="AZ67:AZ74" si="101">IF(AT67=3,W67,"")</f>
        <v/>
      </c>
      <c r="BA67" s="387">
        <f t="shared" ref="BA67:BA74" si="102">IF(AT67=1,Y67-W67,0)</f>
        <v>0</v>
      </c>
      <c r="BB67" s="387">
        <f t="shared" si="71"/>
        <v>11650</v>
      </c>
      <c r="BC67" s="387">
        <f t="shared" si="72"/>
        <v>0</v>
      </c>
      <c r="BD67" s="387">
        <f t="shared" si="73"/>
        <v>3739.84</v>
      </c>
      <c r="BE67" s="387">
        <f t="shared" si="74"/>
        <v>874.6400000000001</v>
      </c>
      <c r="BF67" s="387">
        <f t="shared" si="75"/>
        <v>7202.2080000000005</v>
      </c>
      <c r="BG67" s="387">
        <f t="shared" si="76"/>
        <v>434.90719999999999</v>
      </c>
      <c r="BH67" s="387">
        <f t="shared" si="77"/>
        <v>295.56799999999998</v>
      </c>
      <c r="BI67" s="387">
        <f t="shared" si="78"/>
        <v>333.87119999999999</v>
      </c>
      <c r="BJ67" s="387">
        <f t="shared" si="79"/>
        <v>162.864</v>
      </c>
      <c r="BK67" s="387">
        <f t="shared" si="80"/>
        <v>0</v>
      </c>
      <c r="BL67" s="387">
        <f t="shared" ref="BL67:BL74" si="103">IF(AT67=1,SUM(BD67:BK67),0)</f>
        <v>13043.8984</v>
      </c>
      <c r="BM67" s="387">
        <f t="shared" ref="BM67:BM74" si="104">IF(AT67=3,SUM(BD67:BK67),0)</f>
        <v>0</v>
      </c>
      <c r="BN67" s="387">
        <f t="shared" si="81"/>
        <v>11650</v>
      </c>
      <c r="BO67" s="387">
        <f t="shared" si="82"/>
        <v>0</v>
      </c>
      <c r="BP67" s="387">
        <f t="shared" si="83"/>
        <v>3739.84</v>
      </c>
      <c r="BQ67" s="387">
        <f t="shared" si="84"/>
        <v>874.6400000000001</v>
      </c>
      <c r="BR67" s="387">
        <f t="shared" si="85"/>
        <v>7202.2080000000005</v>
      </c>
      <c r="BS67" s="387">
        <f t="shared" si="86"/>
        <v>434.90719999999999</v>
      </c>
      <c r="BT67" s="387">
        <f t="shared" si="87"/>
        <v>0</v>
      </c>
      <c r="BU67" s="387">
        <f t="shared" si="88"/>
        <v>333.87119999999999</v>
      </c>
      <c r="BV67" s="387">
        <f t="shared" si="89"/>
        <v>144.768</v>
      </c>
      <c r="BW67" s="387">
        <f t="shared" si="90"/>
        <v>0</v>
      </c>
      <c r="BX67" s="387">
        <f t="shared" ref="BX67:BX74" si="105">IF(AT67=1,SUM(BP67:BW67),0)</f>
        <v>12730.234400000001</v>
      </c>
      <c r="BY67" s="387">
        <f t="shared" ref="BY67:BY74" si="106">IF(AT67=3,SUM(BP67:BW67),0)</f>
        <v>0</v>
      </c>
      <c r="BZ67" s="387">
        <f t="shared" ref="BZ67:BZ74" si="107">IF(AT67=1,BN67-BB67,0)</f>
        <v>0</v>
      </c>
      <c r="CA67" s="387">
        <f t="shared" ref="CA67:CA74" si="108">IF(AT67=3,BO67-BC67,0)</f>
        <v>0</v>
      </c>
      <c r="CB67" s="387">
        <f t="shared" ref="CB67:CB74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-295.56799999999998</v>
      </c>
      <c r="CG67" s="387">
        <f t="shared" si="95"/>
        <v>0</v>
      </c>
      <c r="CH67" s="387">
        <f t="shared" si="96"/>
        <v>-18.096000000000021</v>
      </c>
      <c r="CI67" s="387">
        <f t="shared" si="97"/>
        <v>0</v>
      </c>
      <c r="CJ67" s="387">
        <f t="shared" ref="CJ67:CJ74" si="110">IF(AT67=1,SUM(CB67:CI67),0)</f>
        <v>-313.66399999999999</v>
      </c>
      <c r="CK67" s="387" t="str">
        <f t="shared" ref="CK67:CK74" si="111">IF(AT67=3,SUM(CB67:CI67),"")</f>
        <v/>
      </c>
      <c r="CL67" s="387" t="str">
        <f t="shared" ref="CL67:CL74" si="112">IF(OR(N67="NG",AG67="D"),(T67+U67),"")</f>
        <v/>
      </c>
      <c r="CM67" s="387" t="str">
        <f t="shared" ref="CM67:CM74" si="113">IF(OR(N67="NG",AG67="D"),V67,"")</f>
        <v/>
      </c>
      <c r="CN67" s="387" t="str">
        <f t="shared" ref="CN67:CN74" si="114">E67 &amp; "-" &amp; F67</f>
        <v>0550-01</v>
      </c>
    </row>
    <row r="68" spans="1:92" ht="15.75" thickBot="1" x14ac:dyDescent="0.3">
      <c r="A68" s="376" t="s">
        <v>161</v>
      </c>
      <c r="B68" s="376" t="s">
        <v>162</v>
      </c>
      <c r="C68" s="376" t="s">
        <v>523</v>
      </c>
      <c r="D68" s="376" t="s">
        <v>524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525</v>
      </c>
      <c r="L68" s="376" t="s">
        <v>185</v>
      </c>
      <c r="M68" s="376" t="s">
        <v>178</v>
      </c>
      <c r="N68" s="376" t="s">
        <v>194</v>
      </c>
      <c r="O68" s="379">
        <v>1</v>
      </c>
      <c r="P68" s="385">
        <v>1</v>
      </c>
      <c r="Q68" s="385">
        <v>1</v>
      </c>
      <c r="R68" s="380">
        <v>80</v>
      </c>
      <c r="S68" s="385">
        <v>1</v>
      </c>
      <c r="T68" s="380">
        <v>30222.11</v>
      </c>
      <c r="U68" s="380">
        <v>0</v>
      </c>
      <c r="V68" s="380">
        <v>17813.98</v>
      </c>
      <c r="W68" s="380">
        <v>31158.400000000001</v>
      </c>
      <c r="X68" s="380">
        <v>18387.97</v>
      </c>
      <c r="Y68" s="380">
        <v>31158.400000000001</v>
      </c>
      <c r="Z68" s="380">
        <v>18225.96</v>
      </c>
      <c r="AA68" s="376" t="s">
        <v>526</v>
      </c>
      <c r="AB68" s="376" t="s">
        <v>527</v>
      </c>
      <c r="AC68" s="376" t="s">
        <v>528</v>
      </c>
      <c r="AD68" s="376" t="s">
        <v>193</v>
      </c>
      <c r="AE68" s="376" t="s">
        <v>525</v>
      </c>
      <c r="AF68" s="376" t="s">
        <v>266</v>
      </c>
      <c r="AG68" s="376" t="s">
        <v>185</v>
      </c>
      <c r="AH68" s="381">
        <v>14.98</v>
      </c>
      <c r="AI68" s="381">
        <v>35378.699999999997</v>
      </c>
      <c r="AJ68" s="376" t="s">
        <v>186</v>
      </c>
      <c r="AK68" s="376" t="s">
        <v>187</v>
      </c>
      <c r="AL68" s="376" t="s">
        <v>173</v>
      </c>
      <c r="AM68" s="376" t="s">
        <v>188</v>
      </c>
      <c r="AN68" s="376" t="s">
        <v>68</v>
      </c>
      <c r="AO68" s="379">
        <v>80</v>
      </c>
      <c r="AP68" s="385">
        <v>1</v>
      </c>
      <c r="AQ68" s="385">
        <v>1</v>
      </c>
      <c r="AR68" s="384" t="s">
        <v>189</v>
      </c>
      <c r="AS68" s="387">
        <f t="shared" si="98"/>
        <v>1</v>
      </c>
      <c r="AT68">
        <f t="shared" si="99"/>
        <v>1</v>
      </c>
      <c r="AU68" s="387">
        <f>IF(AT68=0,"",IF(AND(AT68=1,M68="F",SUMIF(C2:C74,C68,AS2:AS74)&lt;=1),SUMIF(C2:C74,C68,AS2:AS74),IF(AND(AT68=1,M68="F",SUMIF(C2:C74,C68,AS2:AS74)&gt;1),1,"")))</f>
        <v>1</v>
      </c>
      <c r="AV68" s="387" t="str">
        <f>IF(AT68=0,"",IF(AND(AT68=3,M68="F",SUMIF(C2:C74,C68,AS2:AS74)&lt;=1),SUMIF(C2:C74,C68,AS2:AS74),IF(AND(AT68=3,M68="F",SUMIF(C2:C74,C68,AS2:AS74)&gt;1),1,"")))</f>
        <v/>
      </c>
      <c r="AW68" s="387">
        <f>SUMIF(C2:C74,C68,O2:O74)</f>
        <v>1</v>
      </c>
      <c r="AX68" s="387">
        <f>IF(AND(M68="F",AS68&lt;&gt;0),SUMIF(C2:C74,C68,W2:W74),0)</f>
        <v>31158.400000000001</v>
      </c>
      <c r="AY68" s="387">
        <f t="shared" si="100"/>
        <v>31158.400000000001</v>
      </c>
      <c r="AZ68" s="387" t="str">
        <f t="shared" si="101"/>
        <v/>
      </c>
      <c r="BA68" s="387">
        <f t="shared" si="102"/>
        <v>0</v>
      </c>
      <c r="BB68" s="387">
        <f t="shared" si="71"/>
        <v>11650</v>
      </c>
      <c r="BC68" s="387">
        <f t="shared" si="72"/>
        <v>0</v>
      </c>
      <c r="BD68" s="387">
        <f t="shared" si="73"/>
        <v>1931.8208</v>
      </c>
      <c r="BE68" s="387">
        <f t="shared" si="74"/>
        <v>451.79680000000002</v>
      </c>
      <c r="BF68" s="387">
        <f t="shared" si="75"/>
        <v>3720.3129600000002</v>
      </c>
      <c r="BG68" s="387">
        <f t="shared" si="76"/>
        <v>224.65206400000002</v>
      </c>
      <c r="BH68" s="387">
        <f t="shared" si="77"/>
        <v>152.67616000000001</v>
      </c>
      <c r="BI68" s="387">
        <f t="shared" si="78"/>
        <v>172.46174400000001</v>
      </c>
      <c r="BJ68" s="387">
        <f t="shared" si="79"/>
        <v>84.127680000000012</v>
      </c>
      <c r="BK68" s="387">
        <f t="shared" si="80"/>
        <v>0</v>
      </c>
      <c r="BL68" s="387">
        <f t="shared" si="103"/>
        <v>6737.8482080000003</v>
      </c>
      <c r="BM68" s="387">
        <f t="shared" si="104"/>
        <v>0</v>
      </c>
      <c r="BN68" s="387">
        <f t="shared" si="81"/>
        <v>11650</v>
      </c>
      <c r="BO68" s="387">
        <f t="shared" si="82"/>
        <v>0</v>
      </c>
      <c r="BP68" s="387">
        <f t="shared" si="83"/>
        <v>1931.8208</v>
      </c>
      <c r="BQ68" s="387">
        <f t="shared" si="84"/>
        <v>451.79680000000002</v>
      </c>
      <c r="BR68" s="387">
        <f t="shared" si="85"/>
        <v>3720.3129600000002</v>
      </c>
      <c r="BS68" s="387">
        <f t="shared" si="86"/>
        <v>224.65206400000002</v>
      </c>
      <c r="BT68" s="387">
        <f t="shared" si="87"/>
        <v>0</v>
      </c>
      <c r="BU68" s="387">
        <f t="shared" si="88"/>
        <v>172.46174400000001</v>
      </c>
      <c r="BV68" s="387">
        <f t="shared" si="89"/>
        <v>74.780159999999995</v>
      </c>
      <c r="BW68" s="387">
        <f t="shared" si="90"/>
        <v>0</v>
      </c>
      <c r="BX68" s="387">
        <f t="shared" si="105"/>
        <v>6575.824528000001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-152.67616000000001</v>
      </c>
      <c r="CG68" s="387">
        <f t="shared" si="95"/>
        <v>0</v>
      </c>
      <c r="CH68" s="387">
        <f t="shared" si="96"/>
        <v>-9.3475200000000118</v>
      </c>
      <c r="CI68" s="387">
        <f t="shared" si="97"/>
        <v>0</v>
      </c>
      <c r="CJ68" s="387">
        <f t="shared" si="110"/>
        <v>-162.02368000000001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0550-01</v>
      </c>
    </row>
    <row r="69" spans="1:92" ht="15.75" thickBot="1" x14ac:dyDescent="0.3">
      <c r="A69" s="376" t="s">
        <v>161</v>
      </c>
      <c r="B69" s="376" t="s">
        <v>162</v>
      </c>
      <c r="C69" s="376" t="s">
        <v>529</v>
      </c>
      <c r="D69" s="376" t="s">
        <v>253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254</v>
      </c>
      <c r="L69" s="376" t="s">
        <v>177</v>
      </c>
      <c r="M69" s="376" t="s">
        <v>178</v>
      </c>
      <c r="N69" s="376" t="s">
        <v>194</v>
      </c>
      <c r="O69" s="379">
        <v>1</v>
      </c>
      <c r="P69" s="385">
        <v>1</v>
      </c>
      <c r="Q69" s="385">
        <v>1</v>
      </c>
      <c r="R69" s="380">
        <v>80</v>
      </c>
      <c r="S69" s="385">
        <v>1</v>
      </c>
      <c r="T69" s="380">
        <v>48728.08</v>
      </c>
      <c r="U69" s="380">
        <v>0</v>
      </c>
      <c r="V69" s="380">
        <v>21933.37</v>
      </c>
      <c r="W69" s="380">
        <v>51646.400000000001</v>
      </c>
      <c r="X69" s="380">
        <v>22818.51</v>
      </c>
      <c r="Y69" s="380">
        <v>51646.400000000001</v>
      </c>
      <c r="Z69" s="380">
        <v>22549.96</v>
      </c>
      <c r="AA69" s="376" t="s">
        <v>530</v>
      </c>
      <c r="AB69" s="376" t="s">
        <v>531</v>
      </c>
      <c r="AC69" s="376" t="s">
        <v>532</v>
      </c>
      <c r="AD69" s="376" t="s">
        <v>193</v>
      </c>
      <c r="AE69" s="376" t="s">
        <v>254</v>
      </c>
      <c r="AF69" s="376" t="s">
        <v>184</v>
      </c>
      <c r="AG69" s="376" t="s">
        <v>185</v>
      </c>
      <c r="AH69" s="381">
        <v>24.83</v>
      </c>
      <c r="AI69" s="381">
        <v>9217.5</v>
      </c>
      <c r="AJ69" s="376" t="s">
        <v>186</v>
      </c>
      <c r="AK69" s="376" t="s">
        <v>187</v>
      </c>
      <c r="AL69" s="376" t="s">
        <v>173</v>
      </c>
      <c r="AM69" s="376" t="s">
        <v>188</v>
      </c>
      <c r="AN69" s="376" t="s">
        <v>68</v>
      </c>
      <c r="AO69" s="379">
        <v>80</v>
      </c>
      <c r="AP69" s="385">
        <v>1</v>
      </c>
      <c r="AQ69" s="385">
        <v>1</v>
      </c>
      <c r="AR69" s="384" t="s">
        <v>189</v>
      </c>
      <c r="AS69" s="387">
        <f t="shared" si="98"/>
        <v>1</v>
      </c>
      <c r="AT69">
        <f t="shared" si="99"/>
        <v>1</v>
      </c>
      <c r="AU69" s="387">
        <f>IF(AT69=0,"",IF(AND(AT69=1,M69="F",SUMIF(C2:C74,C69,AS2:AS74)&lt;=1),SUMIF(C2:C74,C69,AS2:AS74),IF(AND(AT69=1,M69="F",SUMIF(C2:C74,C69,AS2:AS74)&gt;1),1,"")))</f>
        <v>1</v>
      </c>
      <c r="AV69" s="387" t="str">
        <f>IF(AT69=0,"",IF(AND(AT69=3,M69="F",SUMIF(C2:C74,C69,AS2:AS74)&lt;=1),SUMIF(C2:C74,C69,AS2:AS74),IF(AND(AT69=3,M69="F",SUMIF(C2:C74,C69,AS2:AS74)&gt;1),1,"")))</f>
        <v/>
      </c>
      <c r="AW69" s="387">
        <f>SUMIF(C2:C74,C69,O2:O74)</f>
        <v>1</v>
      </c>
      <c r="AX69" s="387">
        <f>IF(AND(M69="F",AS69&lt;&gt;0),SUMIF(C2:C74,C69,W2:W74),0)</f>
        <v>51646.400000000001</v>
      </c>
      <c r="AY69" s="387">
        <f t="shared" si="100"/>
        <v>51646.400000000001</v>
      </c>
      <c r="AZ69" s="387" t="str">
        <f t="shared" si="101"/>
        <v/>
      </c>
      <c r="BA69" s="387">
        <f t="shared" si="102"/>
        <v>0</v>
      </c>
      <c r="BB69" s="387">
        <f t="shared" si="71"/>
        <v>11650</v>
      </c>
      <c r="BC69" s="387">
        <f t="shared" si="72"/>
        <v>0</v>
      </c>
      <c r="BD69" s="387">
        <f t="shared" si="73"/>
        <v>3202.0768000000003</v>
      </c>
      <c r="BE69" s="387">
        <f t="shared" si="74"/>
        <v>748.8728000000001</v>
      </c>
      <c r="BF69" s="387">
        <f t="shared" si="75"/>
        <v>6166.5801600000004</v>
      </c>
      <c r="BG69" s="387">
        <f t="shared" si="76"/>
        <v>372.37054400000005</v>
      </c>
      <c r="BH69" s="387">
        <f t="shared" si="77"/>
        <v>253.06736000000001</v>
      </c>
      <c r="BI69" s="387">
        <f t="shared" si="78"/>
        <v>285.86282399999999</v>
      </c>
      <c r="BJ69" s="387">
        <f t="shared" si="79"/>
        <v>139.44528000000003</v>
      </c>
      <c r="BK69" s="387">
        <f t="shared" si="80"/>
        <v>0</v>
      </c>
      <c r="BL69" s="387">
        <f t="shared" si="103"/>
        <v>11168.275768</v>
      </c>
      <c r="BM69" s="387">
        <f t="shared" si="104"/>
        <v>0</v>
      </c>
      <c r="BN69" s="387">
        <f t="shared" si="81"/>
        <v>11650</v>
      </c>
      <c r="BO69" s="387">
        <f t="shared" si="82"/>
        <v>0</v>
      </c>
      <c r="BP69" s="387">
        <f t="shared" si="83"/>
        <v>3202.0768000000003</v>
      </c>
      <c r="BQ69" s="387">
        <f t="shared" si="84"/>
        <v>748.8728000000001</v>
      </c>
      <c r="BR69" s="387">
        <f t="shared" si="85"/>
        <v>6166.5801600000004</v>
      </c>
      <c r="BS69" s="387">
        <f t="shared" si="86"/>
        <v>372.37054400000005</v>
      </c>
      <c r="BT69" s="387">
        <f t="shared" si="87"/>
        <v>0</v>
      </c>
      <c r="BU69" s="387">
        <f t="shared" si="88"/>
        <v>285.86282399999999</v>
      </c>
      <c r="BV69" s="387">
        <f t="shared" si="89"/>
        <v>123.95135999999999</v>
      </c>
      <c r="BW69" s="387">
        <f t="shared" si="90"/>
        <v>0</v>
      </c>
      <c r="BX69" s="387">
        <f t="shared" si="105"/>
        <v>10899.714488</v>
      </c>
      <c r="BY69" s="387">
        <f t="shared" si="106"/>
        <v>0</v>
      </c>
      <c r="BZ69" s="387">
        <f t="shared" si="107"/>
        <v>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0</v>
      </c>
      <c r="CE69" s="387">
        <f t="shared" si="93"/>
        <v>0</v>
      </c>
      <c r="CF69" s="387">
        <f t="shared" si="94"/>
        <v>-253.06736000000001</v>
      </c>
      <c r="CG69" s="387">
        <f t="shared" si="95"/>
        <v>0</v>
      </c>
      <c r="CH69" s="387">
        <f t="shared" si="96"/>
        <v>-15.493920000000019</v>
      </c>
      <c r="CI69" s="387">
        <f t="shared" si="97"/>
        <v>0</v>
      </c>
      <c r="CJ69" s="387">
        <f t="shared" si="110"/>
        <v>-268.56128000000001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0550-01</v>
      </c>
    </row>
    <row r="70" spans="1:92" ht="15.75" thickBot="1" x14ac:dyDescent="0.3">
      <c r="A70" s="376" t="s">
        <v>161</v>
      </c>
      <c r="B70" s="376" t="s">
        <v>162</v>
      </c>
      <c r="C70" s="376" t="s">
        <v>533</v>
      </c>
      <c r="D70" s="376" t="s">
        <v>534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535</v>
      </c>
      <c r="L70" s="376" t="s">
        <v>173</v>
      </c>
      <c r="M70" s="376" t="s">
        <v>178</v>
      </c>
      <c r="N70" s="376" t="s">
        <v>194</v>
      </c>
      <c r="O70" s="379">
        <v>1</v>
      </c>
      <c r="P70" s="385">
        <v>1</v>
      </c>
      <c r="Q70" s="385">
        <v>1</v>
      </c>
      <c r="R70" s="380">
        <v>80</v>
      </c>
      <c r="S70" s="385">
        <v>1</v>
      </c>
      <c r="T70" s="380">
        <v>66960</v>
      </c>
      <c r="U70" s="380">
        <v>0</v>
      </c>
      <c r="V70" s="380">
        <v>25758.16</v>
      </c>
      <c r="W70" s="380">
        <v>71260.800000000003</v>
      </c>
      <c r="X70" s="380">
        <v>27060.11</v>
      </c>
      <c r="Y70" s="380">
        <v>71260.800000000003</v>
      </c>
      <c r="Z70" s="380">
        <v>26689.56</v>
      </c>
      <c r="AA70" s="376" t="s">
        <v>536</v>
      </c>
      <c r="AB70" s="376" t="s">
        <v>537</v>
      </c>
      <c r="AC70" s="376" t="s">
        <v>348</v>
      </c>
      <c r="AD70" s="376" t="s">
        <v>321</v>
      </c>
      <c r="AE70" s="376" t="s">
        <v>535</v>
      </c>
      <c r="AF70" s="376" t="s">
        <v>454</v>
      </c>
      <c r="AG70" s="376" t="s">
        <v>185</v>
      </c>
      <c r="AH70" s="381">
        <v>34.26</v>
      </c>
      <c r="AI70" s="379">
        <v>16249</v>
      </c>
      <c r="AJ70" s="376" t="s">
        <v>186</v>
      </c>
      <c r="AK70" s="376" t="s">
        <v>187</v>
      </c>
      <c r="AL70" s="376" t="s">
        <v>173</v>
      </c>
      <c r="AM70" s="376" t="s">
        <v>188</v>
      </c>
      <c r="AN70" s="376" t="s">
        <v>68</v>
      </c>
      <c r="AO70" s="379">
        <v>80</v>
      </c>
      <c r="AP70" s="385">
        <v>1</v>
      </c>
      <c r="AQ70" s="385">
        <v>1</v>
      </c>
      <c r="AR70" s="384" t="s">
        <v>189</v>
      </c>
      <c r="AS70" s="387">
        <f t="shared" si="98"/>
        <v>1</v>
      </c>
      <c r="AT70">
        <f t="shared" si="99"/>
        <v>1</v>
      </c>
      <c r="AU70" s="387">
        <f>IF(AT70=0,"",IF(AND(AT70=1,M70="F",SUMIF(C2:C74,C70,AS2:AS74)&lt;=1),SUMIF(C2:C74,C70,AS2:AS74),IF(AND(AT70=1,M70="F",SUMIF(C2:C74,C70,AS2:AS74)&gt;1),1,"")))</f>
        <v>1</v>
      </c>
      <c r="AV70" s="387" t="str">
        <f>IF(AT70=0,"",IF(AND(AT70=3,M70="F",SUMIF(C2:C74,C70,AS2:AS74)&lt;=1),SUMIF(C2:C74,C70,AS2:AS74),IF(AND(AT70=3,M70="F",SUMIF(C2:C74,C70,AS2:AS74)&gt;1),1,"")))</f>
        <v/>
      </c>
      <c r="AW70" s="387">
        <f>SUMIF(C2:C74,C70,O2:O74)</f>
        <v>1</v>
      </c>
      <c r="AX70" s="387">
        <f>IF(AND(M70="F",AS70&lt;&gt;0),SUMIF(C2:C74,C70,W2:W74),0)</f>
        <v>71260.800000000003</v>
      </c>
      <c r="AY70" s="387">
        <f t="shared" si="100"/>
        <v>71260.800000000003</v>
      </c>
      <c r="AZ70" s="387" t="str">
        <f t="shared" si="101"/>
        <v/>
      </c>
      <c r="BA70" s="387">
        <f t="shared" si="102"/>
        <v>0</v>
      </c>
      <c r="BB70" s="387">
        <f t="shared" si="71"/>
        <v>11650</v>
      </c>
      <c r="BC70" s="387">
        <f t="shared" si="72"/>
        <v>0</v>
      </c>
      <c r="BD70" s="387">
        <f t="shared" si="73"/>
        <v>4418.1696000000002</v>
      </c>
      <c r="BE70" s="387">
        <f t="shared" si="74"/>
        <v>1033.2816</v>
      </c>
      <c r="BF70" s="387">
        <f t="shared" si="75"/>
        <v>8508.5395200000003</v>
      </c>
      <c r="BG70" s="387">
        <f t="shared" si="76"/>
        <v>513.79036800000006</v>
      </c>
      <c r="BH70" s="387">
        <f t="shared" si="77"/>
        <v>349.17792000000003</v>
      </c>
      <c r="BI70" s="387">
        <f t="shared" si="78"/>
        <v>394.42852800000003</v>
      </c>
      <c r="BJ70" s="387">
        <f t="shared" si="79"/>
        <v>192.40416000000002</v>
      </c>
      <c r="BK70" s="387">
        <f t="shared" si="80"/>
        <v>0</v>
      </c>
      <c r="BL70" s="387">
        <f t="shared" si="103"/>
        <v>15409.791696000002</v>
      </c>
      <c r="BM70" s="387">
        <f t="shared" si="104"/>
        <v>0</v>
      </c>
      <c r="BN70" s="387">
        <f t="shared" si="81"/>
        <v>11650</v>
      </c>
      <c r="BO70" s="387">
        <f t="shared" si="82"/>
        <v>0</v>
      </c>
      <c r="BP70" s="387">
        <f t="shared" si="83"/>
        <v>4418.1696000000002</v>
      </c>
      <c r="BQ70" s="387">
        <f t="shared" si="84"/>
        <v>1033.2816</v>
      </c>
      <c r="BR70" s="387">
        <f t="shared" si="85"/>
        <v>8508.5395200000003</v>
      </c>
      <c r="BS70" s="387">
        <f t="shared" si="86"/>
        <v>513.79036800000006</v>
      </c>
      <c r="BT70" s="387">
        <f t="shared" si="87"/>
        <v>0</v>
      </c>
      <c r="BU70" s="387">
        <f t="shared" si="88"/>
        <v>394.42852800000003</v>
      </c>
      <c r="BV70" s="387">
        <f t="shared" si="89"/>
        <v>171.02591999999999</v>
      </c>
      <c r="BW70" s="387">
        <f t="shared" si="90"/>
        <v>0</v>
      </c>
      <c r="BX70" s="387">
        <f t="shared" si="105"/>
        <v>15039.235536000002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-349.17792000000003</v>
      </c>
      <c r="CG70" s="387">
        <f t="shared" si="95"/>
        <v>0</v>
      </c>
      <c r="CH70" s="387">
        <f t="shared" si="96"/>
        <v>-21.378240000000027</v>
      </c>
      <c r="CI70" s="387">
        <f t="shared" si="97"/>
        <v>0</v>
      </c>
      <c r="CJ70" s="387">
        <f t="shared" si="110"/>
        <v>-370.55616000000003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0550-01</v>
      </c>
    </row>
    <row r="71" spans="1:92" ht="15.75" thickBot="1" x14ac:dyDescent="0.3">
      <c r="A71" s="376" t="s">
        <v>161</v>
      </c>
      <c r="B71" s="376" t="s">
        <v>162</v>
      </c>
      <c r="C71" s="376" t="s">
        <v>538</v>
      </c>
      <c r="D71" s="376" t="s">
        <v>539</v>
      </c>
      <c r="E71" s="376" t="s">
        <v>165</v>
      </c>
      <c r="F71" s="377" t="s">
        <v>540</v>
      </c>
      <c r="G71" s="376" t="s">
        <v>541</v>
      </c>
      <c r="H71" s="378"/>
      <c r="I71" s="378"/>
      <c r="J71" s="376" t="s">
        <v>168</v>
      </c>
      <c r="K71" s="376" t="s">
        <v>542</v>
      </c>
      <c r="L71" s="376" t="s">
        <v>170</v>
      </c>
      <c r="M71" s="376" t="s">
        <v>178</v>
      </c>
      <c r="N71" s="376" t="s">
        <v>179</v>
      </c>
      <c r="O71" s="379">
        <v>1</v>
      </c>
      <c r="P71" s="385">
        <v>1</v>
      </c>
      <c r="Q71" s="385">
        <v>1</v>
      </c>
      <c r="R71" s="380">
        <v>80</v>
      </c>
      <c r="S71" s="385">
        <v>1</v>
      </c>
      <c r="T71" s="380">
        <v>137522</v>
      </c>
      <c r="U71" s="380">
        <v>0</v>
      </c>
      <c r="V71" s="380">
        <v>39625.449999999997</v>
      </c>
      <c r="W71" s="380">
        <v>143707.20000000001</v>
      </c>
      <c r="X71" s="380">
        <v>41874.26</v>
      </c>
      <c r="Y71" s="380">
        <v>143707.20000000001</v>
      </c>
      <c r="Z71" s="380">
        <v>41126.99</v>
      </c>
      <c r="AA71" s="376" t="s">
        <v>543</v>
      </c>
      <c r="AB71" s="376" t="s">
        <v>544</v>
      </c>
      <c r="AC71" s="376" t="s">
        <v>545</v>
      </c>
      <c r="AD71" s="376" t="s">
        <v>244</v>
      </c>
      <c r="AE71" s="376" t="s">
        <v>542</v>
      </c>
      <c r="AF71" s="376" t="s">
        <v>398</v>
      </c>
      <c r="AG71" s="376" t="s">
        <v>185</v>
      </c>
      <c r="AH71" s="381">
        <v>69.09</v>
      </c>
      <c r="AI71" s="381">
        <v>41621.699999999997</v>
      </c>
      <c r="AJ71" s="376" t="s">
        <v>186</v>
      </c>
      <c r="AK71" s="376" t="s">
        <v>187</v>
      </c>
      <c r="AL71" s="376" t="s">
        <v>173</v>
      </c>
      <c r="AM71" s="376" t="s">
        <v>188</v>
      </c>
      <c r="AN71" s="376" t="s">
        <v>68</v>
      </c>
      <c r="AO71" s="379">
        <v>80</v>
      </c>
      <c r="AP71" s="385">
        <v>1</v>
      </c>
      <c r="AQ71" s="385">
        <v>1</v>
      </c>
      <c r="AR71" s="384" t="s">
        <v>189</v>
      </c>
      <c r="AS71" s="387">
        <f t="shared" si="98"/>
        <v>1</v>
      </c>
      <c r="AT71">
        <f t="shared" si="99"/>
        <v>1</v>
      </c>
      <c r="AU71" s="387">
        <f>IF(AT71=0,"",IF(AND(AT71=1,M71="F",SUMIF(C2:C74,C71,AS2:AS74)&lt;=1),SUMIF(C2:C74,C71,AS2:AS74),IF(AND(AT71=1,M71="F",SUMIF(C2:C74,C71,AS2:AS74)&gt;1),1,"")))</f>
        <v>1</v>
      </c>
      <c r="AV71" s="387" t="str">
        <f>IF(AT71=0,"",IF(AND(AT71=3,M71="F",SUMIF(C2:C74,C71,AS2:AS74)&lt;=1),SUMIF(C2:C74,C71,AS2:AS74),IF(AND(AT71=3,M71="F",SUMIF(C2:C74,C71,AS2:AS74)&gt;1),1,"")))</f>
        <v/>
      </c>
      <c r="AW71" s="387">
        <f>SUMIF(C2:C74,C71,O2:O74)</f>
        <v>1</v>
      </c>
      <c r="AX71" s="387">
        <f>IF(AND(M71="F",AS71&lt;&gt;0),SUMIF(C2:C74,C71,W2:W74),0)</f>
        <v>143707.20000000001</v>
      </c>
      <c r="AY71" s="387">
        <f t="shared" si="100"/>
        <v>143707.20000000001</v>
      </c>
      <c r="AZ71" s="387" t="str">
        <f t="shared" si="101"/>
        <v/>
      </c>
      <c r="BA71" s="387">
        <f t="shared" si="102"/>
        <v>0</v>
      </c>
      <c r="BB71" s="387">
        <f t="shared" si="71"/>
        <v>11650</v>
      </c>
      <c r="BC71" s="387">
        <f t="shared" si="72"/>
        <v>0</v>
      </c>
      <c r="BD71" s="387">
        <f t="shared" si="73"/>
        <v>8537.4</v>
      </c>
      <c r="BE71" s="387">
        <f t="shared" si="74"/>
        <v>2083.7544000000003</v>
      </c>
      <c r="BF71" s="387">
        <f t="shared" si="75"/>
        <v>17158.639680000004</v>
      </c>
      <c r="BG71" s="387">
        <f t="shared" si="76"/>
        <v>1036.1289120000001</v>
      </c>
      <c r="BH71" s="387">
        <f t="shared" si="77"/>
        <v>704.16528000000005</v>
      </c>
      <c r="BI71" s="387">
        <f t="shared" si="78"/>
        <v>0</v>
      </c>
      <c r="BJ71" s="387">
        <f t="shared" si="79"/>
        <v>388.00944000000004</v>
      </c>
      <c r="BK71" s="387">
        <f t="shared" si="80"/>
        <v>0</v>
      </c>
      <c r="BL71" s="387">
        <f t="shared" si="103"/>
        <v>29908.097712000006</v>
      </c>
      <c r="BM71" s="387">
        <f t="shared" si="104"/>
        <v>0</v>
      </c>
      <c r="BN71" s="387">
        <f t="shared" si="81"/>
        <v>11650</v>
      </c>
      <c r="BO71" s="387">
        <f t="shared" si="82"/>
        <v>0</v>
      </c>
      <c r="BP71" s="387">
        <f t="shared" si="83"/>
        <v>8853.6</v>
      </c>
      <c r="BQ71" s="387">
        <f t="shared" si="84"/>
        <v>2083.7544000000003</v>
      </c>
      <c r="BR71" s="387">
        <f t="shared" si="85"/>
        <v>17158.639680000004</v>
      </c>
      <c r="BS71" s="387">
        <f t="shared" si="86"/>
        <v>1036.1289120000001</v>
      </c>
      <c r="BT71" s="387">
        <f t="shared" si="87"/>
        <v>0</v>
      </c>
      <c r="BU71" s="387">
        <f t="shared" si="88"/>
        <v>0</v>
      </c>
      <c r="BV71" s="387">
        <f t="shared" si="89"/>
        <v>344.89728000000002</v>
      </c>
      <c r="BW71" s="387">
        <f t="shared" si="90"/>
        <v>0</v>
      </c>
      <c r="BX71" s="387">
        <f t="shared" si="105"/>
        <v>29477.020272000005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316.20000000000073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-704.16528000000005</v>
      </c>
      <c r="CG71" s="387">
        <f t="shared" si="95"/>
        <v>0</v>
      </c>
      <c r="CH71" s="387">
        <f t="shared" si="96"/>
        <v>-43.112160000000053</v>
      </c>
      <c r="CI71" s="387">
        <f t="shared" si="97"/>
        <v>0</v>
      </c>
      <c r="CJ71" s="387">
        <f t="shared" si="110"/>
        <v>-431.0774399999994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0550-02</v>
      </c>
    </row>
    <row r="72" spans="1:92" ht="15.75" thickBot="1" x14ac:dyDescent="0.3">
      <c r="A72" s="376" t="s">
        <v>161</v>
      </c>
      <c r="B72" s="376" t="s">
        <v>162</v>
      </c>
      <c r="C72" s="376" t="s">
        <v>546</v>
      </c>
      <c r="D72" s="376" t="s">
        <v>204</v>
      </c>
      <c r="E72" s="376" t="s">
        <v>165</v>
      </c>
      <c r="F72" s="377" t="s">
        <v>540</v>
      </c>
      <c r="G72" s="376" t="s">
        <v>541</v>
      </c>
      <c r="H72" s="378"/>
      <c r="I72" s="378"/>
      <c r="J72" s="376" t="s">
        <v>168</v>
      </c>
      <c r="K72" s="376" t="s">
        <v>205</v>
      </c>
      <c r="L72" s="376" t="s">
        <v>206</v>
      </c>
      <c r="M72" s="376" t="s">
        <v>178</v>
      </c>
      <c r="N72" s="376" t="s">
        <v>194</v>
      </c>
      <c r="O72" s="379">
        <v>1</v>
      </c>
      <c r="P72" s="385">
        <v>1</v>
      </c>
      <c r="Q72" s="385">
        <v>1</v>
      </c>
      <c r="R72" s="380">
        <v>80</v>
      </c>
      <c r="S72" s="385">
        <v>1</v>
      </c>
      <c r="T72" s="380">
        <v>48601.64</v>
      </c>
      <c r="U72" s="380">
        <v>0</v>
      </c>
      <c r="V72" s="380">
        <v>21819.81</v>
      </c>
      <c r="W72" s="380">
        <v>49982.400000000001</v>
      </c>
      <c r="X72" s="380">
        <v>22458.66</v>
      </c>
      <c r="Y72" s="380">
        <v>49982.400000000001</v>
      </c>
      <c r="Z72" s="380">
        <v>22198.75</v>
      </c>
      <c r="AA72" s="376" t="s">
        <v>547</v>
      </c>
      <c r="AB72" s="376" t="s">
        <v>548</v>
      </c>
      <c r="AC72" s="376" t="s">
        <v>549</v>
      </c>
      <c r="AD72" s="376" t="s">
        <v>217</v>
      </c>
      <c r="AE72" s="376" t="s">
        <v>205</v>
      </c>
      <c r="AF72" s="376" t="s">
        <v>210</v>
      </c>
      <c r="AG72" s="376" t="s">
        <v>185</v>
      </c>
      <c r="AH72" s="381">
        <v>24.03</v>
      </c>
      <c r="AI72" s="381">
        <v>57540.9</v>
      </c>
      <c r="AJ72" s="376" t="s">
        <v>186</v>
      </c>
      <c r="AK72" s="376" t="s">
        <v>187</v>
      </c>
      <c r="AL72" s="376" t="s">
        <v>173</v>
      </c>
      <c r="AM72" s="376" t="s">
        <v>188</v>
      </c>
      <c r="AN72" s="376" t="s">
        <v>68</v>
      </c>
      <c r="AO72" s="379">
        <v>80</v>
      </c>
      <c r="AP72" s="385">
        <v>1</v>
      </c>
      <c r="AQ72" s="385">
        <v>1</v>
      </c>
      <c r="AR72" s="384" t="s">
        <v>189</v>
      </c>
      <c r="AS72" s="387">
        <f t="shared" si="98"/>
        <v>1</v>
      </c>
      <c r="AT72">
        <f t="shared" si="99"/>
        <v>1</v>
      </c>
      <c r="AU72" s="387">
        <f>IF(AT72=0,"",IF(AND(AT72=1,M72="F",SUMIF(C2:C74,C72,AS2:AS74)&lt;=1),SUMIF(C2:C74,C72,AS2:AS74),IF(AND(AT72=1,M72="F",SUMIF(C2:C74,C72,AS2:AS74)&gt;1),1,"")))</f>
        <v>1</v>
      </c>
      <c r="AV72" s="387" t="str">
        <f>IF(AT72=0,"",IF(AND(AT72=3,M72="F",SUMIF(C2:C74,C72,AS2:AS74)&lt;=1),SUMIF(C2:C74,C72,AS2:AS74),IF(AND(AT72=3,M72="F",SUMIF(C2:C74,C72,AS2:AS74)&gt;1),1,"")))</f>
        <v/>
      </c>
      <c r="AW72" s="387">
        <f>SUMIF(C2:C74,C72,O2:O74)</f>
        <v>1</v>
      </c>
      <c r="AX72" s="387">
        <f>IF(AND(M72="F",AS72&lt;&gt;0),SUMIF(C2:C74,C72,W2:W74),0)</f>
        <v>49982.400000000001</v>
      </c>
      <c r="AY72" s="387">
        <f t="shared" si="100"/>
        <v>49982.400000000001</v>
      </c>
      <c r="AZ72" s="387" t="str">
        <f t="shared" si="101"/>
        <v/>
      </c>
      <c r="BA72" s="387">
        <f t="shared" si="102"/>
        <v>0</v>
      </c>
      <c r="BB72" s="387">
        <f t="shared" si="71"/>
        <v>11650</v>
      </c>
      <c r="BC72" s="387">
        <f t="shared" si="72"/>
        <v>0</v>
      </c>
      <c r="BD72" s="387">
        <f t="shared" si="73"/>
        <v>3098.9088000000002</v>
      </c>
      <c r="BE72" s="387">
        <f t="shared" si="74"/>
        <v>724.74480000000005</v>
      </c>
      <c r="BF72" s="387">
        <f t="shared" si="75"/>
        <v>5967.8985600000005</v>
      </c>
      <c r="BG72" s="387">
        <f t="shared" si="76"/>
        <v>360.37310400000001</v>
      </c>
      <c r="BH72" s="387">
        <f t="shared" si="77"/>
        <v>244.91376</v>
      </c>
      <c r="BI72" s="387">
        <f t="shared" si="78"/>
        <v>276.65258399999999</v>
      </c>
      <c r="BJ72" s="387">
        <f t="shared" si="79"/>
        <v>134.95248000000001</v>
      </c>
      <c r="BK72" s="387">
        <f t="shared" si="80"/>
        <v>0</v>
      </c>
      <c r="BL72" s="387">
        <f t="shared" si="103"/>
        <v>10808.444088</v>
      </c>
      <c r="BM72" s="387">
        <f t="shared" si="104"/>
        <v>0</v>
      </c>
      <c r="BN72" s="387">
        <f t="shared" si="81"/>
        <v>11650</v>
      </c>
      <c r="BO72" s="387">
        <f t="shared" si="82"/>
        <v>0</v>
      </c>
      <c r="BP72" s="387">
        <f t="shared" si="83"/>
        <v>3098.9088000000002</v>
      </c>
      <c r="BQ72" s="387">
        <f t="shared" si="84"/>
        <v>724.74480000000005</v>
      </c>
      <c r="BR72" s="387">
        <f t="shared" si="85"/>
        <v>5967.8985600000005</v>
      </c>
      <c r="BS72" s="387">
        <f t="shared" si="86"/>
        <v>360.37310400000001</v>
      </c>
      <c r="BT72" s="387">
        <f t="shared" si="87"/>
        <v>0</v>
      </c>
      <c r="BU72" s="387">
        <f t="shared" si="88"/>
        <v>276.65258399999999</v>
      </c>
      <c r="BV72" s="387">
        <f t="shared" si="89"/>
        <v>119.95775999999999</v>
      </c>
      <c r="BW72" s="387">
        <f t="shared" si="90"/>
        <v>0</v>
      </c>
      <c r="BX72" s="387">
        <f t="shared" si="105"/>
        <v>10548.535608</v>
      </c>
      <c r="BY72" s="387">
        <f t="shared" si="106"/>
        <v>0</v>
      </c>
      <c r="BZ72" s="387">
        <f t="shared" si="107"/>
        <v>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0</v>
      </c>
      <c r="CE72" s="387">
        <f t="shared" si="93"/>
        <v>0</v>
      </c>
      <c r="CF72" s="387">
        <f t="shared" si="94"/>
        <v>-244.91376</v>
      </c>
      <c r="CG72" s="387">
        <f t="shared" si="95"/>
        <v>0</v>
      </c>
      <c r="CH72" s="387">
        <f t="shared" si="96"/>
        <v>-14.994720000000019</v>
      </c>
      <c r="CI72" s="387">
        <f t="shared" si="97"/>
        <v>0</v>
      </c>
      <c r="CJ72" s="387">
        <f t="shared" si="110"/>
        <v>-259.90848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0550-02</v>
      </c>
    </row>
    <row r="73" spans="1:92" ht="15.75" thickBot="1" x14ac:dyDescent="0.3">
      <c r="A73" s="376" t="s">
        <v>161</v>
      </c>
      <c r="B73" s="376" t="s">
        <v>162</v>
      </c>
      <c r="C73" s="376" t="s">
        <v>550</v>
      </c>
      <c r="D73" s="376" t="s">
        <v>551</v>
      </c>
      <c r="E73" s="376" t="s">
        <v>165</v>
      </c>
      <c r="F73" s="377" t="s">
        <v>540</v>
      </c>
      <c r="G73" s="376" t="s">
        <v>541</v>
      </c>
      <c r="H73" s="378"/>
      <c r="I73" s="378"/>
      <c r="J73" s="376" t="s">
        <v>168</v>
      </c>
      <c r="K73" s="376" t="s">
        <v>552</v>
      </c>
      <c r="L73" s="376" t="s">
        <v>170</v>
      </c>
      <c r="M73" s="376" t="s">
        <v>178</v>
      </c>
      <c r="N73" s="376" t="s">
        <v>179</v>
      </c>
      <c r="O73" s="379">
        <v>1</v>
      </c>
      <c r="P73" s="385">
        <v>1</v>
      </c>
      <c r="Q73" s="385">
        <v>1</v>
      </c>
      <c r="R73" s="380">
        <v>80</v>
      </c>
      <c r="S73" s="385">
        <v>1</v>
      </c>
      <c r="T73" s="380">
        <v>339518.4</v>
      </c>
      <c r="U73" s="380">
        <v>0</v>
      </c>
      <c r="V73" s="380">
        <v>69531.81</v>
      </c>
      <c r="W73" s="380">
        <v>339518.4</v>
      </c>
      <c r="X73" s="380">
        <v>70993.350000000006</v>
      </c>
      <c r="Y73" s="380">
        <v>339518.4</v>
      </c>
      <c r="Z73" s="380">
        <v>69227.86</v>
      </c>
      <c r="AA73" s="376" t="s">
        <v>553</v>
      </c>
      <c r="AB73" s="376" t="s">
        <v>554</v>
      </c>
      <c r="AC73" s="376" t="s">
        <v>291</v>
      </c>
      <c r="AD73" s="376" t="s">
        <v>287</v>
      </c>
      <c r="AE73" s="376" t="s">
        <v>552</v>
      </c>
      <c r="AF73" s="376" t="s">
        <v>398</v>
      </c>
      <c r="AG73" s="376" t="s">
        <v>185</v>
      </c>
      <c r="AH73" s="381">
        <v>163.22999999999999</v>
      </c>
      <c r="AI73" s="379">
        <v>59936</v>
      </c>
      <c r="AJ73" s="376" t="s">
        <v>186</v>
      </c>
      <c r="AK73" s="376" t="s">
        <v>187</v>
      </c>
      <c r="AL73" s="376" t="s">
        <v>173</v>
      </c>
      <c r="AM73" s="376" t="s">
        <v>188</v>
      </c>
      <c r="AN73" s="376" t="s">
        <v>68</v>
      </c>
      <c r="AO73" s="379">
        <v>80</v>
      </c>
      <c r="AP73" s="385">
        <v>1</v>
      </c>
      <c r="AQ73" s="385">
        <v>1</v>
      </c>
      <c r="AR73" s="384" t="s">
        <v>189</v>
      </c>
      <c r="AS73" s="387">
        <f t="shared" si="98"/>
        <v>1</v>
      </c>
      <c r="AT73">
        <f t="shared" si="99"/>
        <v>1</v>
      </c>
      <c r="AU73" s="387">
        <f>IF(AT73=0,"",IF(AND(AT73=1,M73="F",SUMIF(C2:C74,C73,AS2:AS74)&lt;=1),SUMIF(C2:C74,C73,AS2:AS74),IF(AND(AT73=1,M73="F",SUMIF(C2:C74,C73,AS2:AS74)&gt;1),1,"")))</f>
        <v>1</v>
      </c>
      <c r="AV73" s="387" t="str">
        <f>IF(AT73=0,"",IF(AND(AT73=3,M73="F",SUMIF(C2:C74,C73,AS2:AS74)&lt;=1),SUMIF(C2:C74,C73,AS2:AS74),IF(AND(AT73=3,M73="F",SUMIF(C2:C74,C73,AS2:AS74)&gt;1),1,"")))</f>
        <v/>
      </c>
      <c r="AW73" s="387">
        <f>SUMIF(C2:C74,C73,O2:O74)</f>
        <v>1</v>
      </c>
      <c r="AX73" s="387">
        <f>IF(AND(M73="F",AS73&lt;&gt;0),SUMIF(C2:C74,C73,W2:W74),0)</f>
        <v>339518.4</v>
      </c>
      <c r="AY73" s="387">
        <f t="shared" si="100"/>
        <v>339518.4</v>
      </c>
      <c r="AZ73" s="387" t="str">
        <f t="shared" si="101"/>
        <v/>
      </c>
      <c r="BA73" s="387">
        <f t="shared" si="102"/>
        <v>0</v>
      </c>
      <c r="BB73" s="387">
        <f t="shared" si="71"/>
        <v>11650</v>
      </c>
      <c r="BC73" s="387">
        <f t="shared" si="72"/>
        <v>0</v>
      </c>
      <c r="BD73" s="387">
        <f t="shared" si="73"/>
        <v>8537.4</v>
      </c>
      <c r="BE73" s="387">
        <f t="shared" si="74"/>
        <v>4923.0168000000003</v>
      </c>
      <c r="BF73" s="387">
        <f t="shared" si="75"/>
        <v>40538.496960000004</v>
      </c>
      <c r="BG73" s="387">
        <f t="shared" si="76"/>
        <v>2447.9276640000003</v>
      </c>
      <c r="BH73" s="387">
        <f t="shared" si="77"/>
        <v>1663.6401600000002</v>
      </c>
      <c r="BI73" s="387">
        <f t="shared" si="78"/>
        <v>0</v>
      </c>
      <c r="BJ73" s="387">
        <f t="shared" si="79"/>
        <v>916.69968000000006</v>
      </c>
      <c r="BK73" s="387">
        <f t="shared" si="80"/>
        <v>0</v>
      </c>
      <c r="BL73" s="387">
        <f t="shared" si="103"/>
        <v>59027.181264000006</v>
      </c>
      <c r="BM73" s="387">
        <f t="shared" si="104"/>
        <v>0</v>
      </c>
      <c r="BN73" s="387">
        <f t="shared" si="81"/>
        <v>11650</v>
      </c>
      <c r="BO73" s="387">
        <f t="shared" si="82"/>
        <v>0</v>
      </c>
      <c r="BP73" s="387">
        <f t="shared" si="83"/>
        <v>8853.6</v>
      </c>
      <c r="BQ73" s="387">
        <f t="shared" si="84"/>
        <v>4923.0168000000003</v>
      </c>
      <c r="BR73" s="387">
        <f t="shared" si="85"/>
        <v>40538.496960000004</v>
      </c>
      <c r="BS73" s="387">
        <f t="shared" si="86"/>
        <v>2447.9276640000003</v>
      </c>
      <c r="BT73" s="387">
        <f t="shared" si="87"/>
        <v>0</v>
      </c>
      <c r="BU73" s="387">
        <f t="shared" si="88"/>
        <v>0</v>
      </c>
      <c r="BV73" s="387">
        <f t="shared" si="89"/>
        <v>814.84415999999999</v>
      </c>
      <c r="BW73" s="387">
        <f t="shared" si="90"/>
        <v>0</v>
      </c>
      <c r="BX73" s="387">
        <f t="shared" si="105"/>
        <v>57577.885584000011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316.20000000000073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-1663.6401600000002</v>
      </c>
      <c r="CG73" s="387">
        <f t="shared" si="95"/>
        <v>0</v>
      </c>
      <c r="CH73" s="387">
        <f t="shared" si="96"/>
        <v>-101.85552000000013</v>
      </c>
      <c r="CI73" s="387">
        <f t="shared" si="97"/>
        <v>0</v>
      </c>
      <c r="CJ73" s="387">
        <f t="shared" si="110"/>
        <v>-1449.2956799999995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0550-02</v>
      </c>
    </row>
    <row r="74" spans="1:92" ht="15.75" thickBot="1" x14ac:dyDescent="0.3">
      <c r="A74" s="376" t="s">
        <v>161</v>
      </c>
      <c r="B74" s="376" t="s">
        <v>162</v>
      </c>
      <c r="C74" s="376" t="s">
        <v>555</v>
      </c>
      <c r="D74" s="376" t="s">
        <v>239</v>
      </c>
      <c r="E74" s="376" t="s">
        <v>556</v>
      </c>
      <c r="F74" s="382" t="s">
        <v>170</v>
      </c>
      <c r="G74" s="376" t="s">
        <v>557</v>
      </c>
      <c r="H74" s="378"/>
      <c r="I74" s="378"/>
      <c r="J74" s="376" t="s">
        <v>168</v>
      </c>
      <c r="K74" s="376" t="s">
        <v>240</v>
      </c>
      <c r="L74" s="376" t="s">
        <v>234</v>
      </c>
      <c r="M74" s="376" t="s">
        <v>178</v>
      </c>
      <c r="N74" s="376" t="s">
        <v>194</v>
      </c>
      <c r="O74" s="379">
        <v>1</v>
      </c>
      <c r="P74" s="385">
        <v>1</v>
      </c>
      <c r="Q74" s="385">
        <v>1</v>
      </c>
      <c r="R74" s="380">
        <v>80</v>
      </c>
      <c r="S74" s="385">
        <v>1</v>
      </c>
      <c r="T74" s="380">
        <v>36161.56</v>
      </c>
      <c r="U74" s="380">
        <v>0</v>
      </c>
      <c r="V74" s="380">
        <v>19228.939999999999</v>
      </c>
      <c r="W74" s="380">
        <v>38667.199999999997</v>
      </c>
      <c r="X74" s="380">
        <v>20011.75</v>
      </c>
      <c r="Y74" s="380">
        <v>38667.199999999997</v>
      </c>
      <c r="Z74" s="380">
        <v>19810.689999999999</v>
      </c>
      <c r="AA74" s="376" t="s">
        <v>558</v>
      </c>
      <c r="AB74" s="376" t="s">
        <v>559</v>
      </c>
      <c r="AC74" s="376" t="s">
        <v>560</v>
      </c>
      <c r="AD74" s="376" t="s">
        <v>561</v>
      </c>
      <c r="AE74" s="376" t="s">
        <v>240</v>
      </c>
      <c r="AF74" s="376" t="s">
        <v>245</v>
      </c>
      <c r="AG74" s="376" t="s">
        <v>185</v>
      </c>
      <c r="AH74" s="381">
        <v>18.59</v>
      </c>
      <c r="AI74" s="381">
        <v>11506.9</v>
      </c>
      <c r="AJ74" s="376" t="s">
        <v>186</v>
      </c>
      <c r="AK74" s="376" t="s">
        <v>187</v>
      </c>
      <c r="AL74" s="376" t="s">
        <v>173</v>
      </c>
      <c r="AM74" s="376" t="s">
        <v>188</v>
      </c>
      <c r="AN74" s="376" t="s">
        <v>68</v>
      </c>
      <c r="AO74" s="379">
        <v>80</v>
      </c>
      <c r="AP74" s="385">
        <v>1</v>
      </c>
      <c r="AQ74" s="385">
        <v>1</v>
      </c>
      <c r="AR74" s="384" t="s">
        <v>189</v>
      </c>
      <c r="AS74" s="387">
        <f t="shared" si="98"/>
        <v>1</v>
      </c>
      <c r="AT74">
        <f t="shared" si="99"/>
        <v>1</v>
      </c>
      <c r="AU74" s="387">
        <f>IF(AT74=0,"",IF(AND(AT74=1,M74="F",SUMIF(C2:C74,C74,AS2:AS74)&lt;=1),SUMIF(C2:C74,C74,AS2:AS74),IF(AND(AT74=1,M74="F",SUMIF(C2:C74,C74,AS2:AS74)&gt;1),1,"")))</f>
        <v>1</v>
      </c>
      <c r="AV74" s="387" t="str">
        <f>IF(AT74=0,"",IF(AND(AT74=3,M74="F",SUMIF(C2:C74,C74,AS2:AS74)&lt;=1),SUMIF(C2:C74,C74,AS2:AS74),IF(AND(AT74=3,M74="F",SUMIF(C2:C74,C74,AS2:AS74)&gt;1),1,"")))</f>
        <v/>
      </c>
      <c r="AW74" s="387">
        <f>SUMIF(C2:C74,C74,O2:O74)</f>
        <v>1</v>
      </c>
      <c r="AX74" s="387">
        <f>IF(AND(M74="F",AS74&lt;&gt;0),SUMIF(C2:C74,C74,W2:W74),0)</f>
        <v>38667.199999999997</v>
      </c>
      <c r="AY74" s="387">
        <f t="shared" si="100"/>
        <v>38667.199999999997</v>
      </c>
      <c r="AZ74" s="387" t="str">
        <f t="shared" si="101"/>
        <v/>
      </c>
      <c r="BA74" s="387">
        <f t="shared" si="102"/>
        <v>0</v>
      </c>
      <c r="BB74" s="387">
        <f t="shared" si="71"/>
        <v>11650</v>
      </c>
      <c r="BC74" s="387">
        <f t="shared" si="72"/>
        <v>0</v>
      </c>
      <c r="BD74" s="387">
        <f t="shared" si="73"/>
        <v>2397.3663999999999</v>
      </c>
      <c r="BE74" s="387">
        <f t="shared" si="74"/>
        <v>560.67439999999999</v>
      </c>
      <c r="BF74" s="387">
        <f t="shared" si="75"/>
        <v>4616.8636799999995</v>
      </c>
      <c r="BG74" s="387">
        <f t="shared" si="76"/>
        <v>278.79051199999998</v>
      </c>
      <c r="BH74" s="387">
        <f t="shared" si="77"/>
        <v>189.46927999999997</v>
      </c>
      <c r="BI74" s="387">
        <f t="shared" si="78"/>
        <v>214.02295199999998</v>
      </c>
      <c r="BJ74" s="387">
        <f t="shared" si="79"/>
        <v>104.40143999999999</v>
      </c>
      <c r="BK74" s="387">
        <f t="shared" si="80"/>
        <v>0</v>
      </c>
      <c r="BL74" s="387">
        <f t="shared" si="103"/>
        <v>8361.588663999999</v>
      </c>
      <c r="BM74" s="387">
        <f t="shared" si="104"/>
        <v>0</v>
      </c>
      <c r="BN74" s="387">
        <f t="shared" si="81"/>
        <v>11650</v>
      </c>
      <c r="BO74" s="387">
        <f t="shared" si="82"/>
        <v>0</v>
      </c>
      <c r="BP74" s="387">
        <f t="shared" si="83"/>
        <v>2397.3663999999999</v>
      </c>
      <c r="BQ74" s="387">
        <f t="shared" si="84"/>
        <v>560.67439999999999</v>
      </c>
      <c r="BR74" s="387">
        <f t="shared" si="85"/>
        <v>4616.8636799999995</v>
      </c>
      <c r="BS74" s="387">
        <f t="shared" si="86"/>
        <v>278.79051199999998</v>
      </c>
      <c r="BT74" s="387">
        <f t="shared" si="87"/>
        <v>0</v>
      </c>
      <c r="BU74" s="387">
        <f t="shared" si="88"/>
        <v>214.02295199999998</v>
      </c>
      <c r="BV74" s="387">
        <f t="shared" si="89"/>
        <v>92.801279999999991</v>
      </c>
      <c r="BW74" s="387">
        <f t="shared" si="90"/>
        <v>0</v>
      </c>
      <c r="BX74" s="387">
        <f t="shared" si="105"/>
        <v>8160.5192239999988</v>
      </c>
      <c r="BY74" s="387">
        <f t="shared" si="106"/>
        <v>0</v>
      </c>
      <c r="BZ74" s="387">
        <f t="shared" si="107"/>
        <v>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0</v>
      </c>
      <c r="CE74" s="387">
        <f t="shared" si="93"/>
        <v>0</v>
      </c>
      <c r="CF74" s="387">
        <f t="shared" si="94"/>
        <v>-189.46927999999997</v>
      </c>
      <c r="CG74" s="387">
        <f t="shared" si="95"/>
        <v>0</v>
      </c>
      <c r="CH74" s="387">
        <f t="shared" si="96"/>
        <v>-11.600160000000013</v>
      </c>
      <c r="CI74" s="387">
        <f t="shared" si="97"/>
        <v>0</v>
      </c>
      <c r="CJ74" s="387">
        <f t="shared" si="110"/>
        <v>-201.06943999999999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0560-00</v>
      </c>
    </row>
    <row r="76" spans="1:92" ht="21" x14ac:dyDescent="0.35">
      <c r="AQ76" s="251" t="s">
        <v>638</v>
      </c>
    </row>
    <row r="77" spans="1:92" ht="15.75" thickBot="1" x14ac:dyDescent="0.3">
      <c r="AR77" t="s">
        <v>610</v>
      </c>
      <c r="AS77" s="387">
        <f>SUMIFS(AS2:AS74,G2:G74,"GVFA",E2:E74,"0550",F2:F74,"01",AT2:AT74,1)</f>
        <v>61</v>
      </c>
      <c r="AT77" s="387">
        <f>SUMIFS(AS2:AS74,G2:G74,"GVFA",E2:E74,"0550",F2:F74,"01",AT2:AT74,3)</f>
        <v>0</v>
      </c>
      <c r="AU77" s="387">
        <f>SUMIFS(AU2:AU74,G2:G74,"GVFA",E2:E74,"0550",F2:F74,"01")</f>
        <v>61</v>
      </c>
      <c r="AV77" s="387">
        <f>SUMIFS(AV2:AV74,G2:G74,"GVFA",E2:E74,"0550",F2:F74,"01")</f>
        <v>0</v>
      </c>
      <c r="AW77" s="387">
        <f>SUMIFS(AW2:AW74,G2:G74,"GVFA",E2:E74,"0550",F2:F74,"01")</f>
        <v>61</v>
      </c>
      <c r="AX77" s="387">
        <f>SUMIFS(AX2:AX74,G2:G74,"GVFA",E2:E74,"0550",F2:F74,"01")</f>
        <v>3116734.3999999985</v>
      </c>
      <c r="AY77" s="387">
        <f>SUMIFS(AY2:AY74,G2:G74,"GVFA",E2:E74,"0550",F2:F74,"01")</f>
        <v>3116734.3999999985</v>
      </c>
      <c r="AZ77" s="387">
        <f>SUMIFS(AZ2:AZ74,G2:G74,"GVFA",E2:E74,"0550",F2:F74,"01")</f>
        <v>0</v>
      </c>
      <c r="BA77" s="387">
        <f>SUMIFS(BA2:BA74,G2:G74,"GVFA",E2:E74,"0550",F2:F74,"01")</f>
        <v>0</v>
      </c>
      <c r="BB77" s="387">
        <f>SUMIFS(BB2:BB74,G2:G74,"GVFA",E2:E74,"0550",F2:F74,"01")</f>
        <v>710650</v>
      </c>
      <c r="BC77" s="387">
        <f>SUMIFS(BC2:BC74,G2:G74,"GVFA",E2:E74,"0550",F2:F74,"01")</f>
        <v>0</v>
      </c>
      <c r="BD77" s="387">
        <f>SUMIFS(BD2:BD74,G2:G74,"GVFA",E2:E74,"0550",F2:F74,"01")</f>
        <v>190276.85920000001</v>
      </c>
      <c r="BE77" s="387">
        <f>SUMIFS(BE2:BE74,G2:G74,"GVFA",E2:E74,"0550",F2:F74,"01")</f>
        <v>45192.648799999995</v>
      </c>
      <c r="BF77" s="387">
        <f>SUMIFS(BF2:BF74,G2:G74,"GVFA",E2:E74,"0550",F2:F74,"01")</f>
        <v>372138.08736</v>
      </c>
      <c r="BG77" s="387">
        <f>SUMIFS(BG2:BG74,G2:G74,"GVFA",E2:E74,"0550",F2:F74,"01")</f>
        <v>22471.655024000007</v>
      </c>
      <c r="BH77" s="387">
        <f>SUMIFS(BH2:BH74,G2:G74,"GVFA",E2:E74,"0550",F2:F74,"01")</f>
        <v>14363.279839999997</v>
      </c>
      <c r="BI77" s="387">
        <f>SUMIFS(BI2:BI74,G2:G74,"GVFA",E2:E74,"0550",F2:F74,"01")</f>
        <v>14966.985384000001</v>
      </c>
      <c r="BJ77" s="387">
        <f>SUMIFS(BJ2:BJ74,G2:G74,"GVFA",E2:E74,"0550",F2:F74,"01")</f>
        <v>8415.1828799999985</v>
      </c>
      <c r="BK77" s="387">
        <f>SUMIFS(BK2:BK74,G2:G74,"GVFA",E2:E74,"0550",F2:F74,"01")</f>
        <v>0</v>
      </c>
      <c r="BL77" s="387">
        <f>SUMIFS(BL2:BL74,G2:G74,"GVFA",E2:E74,"0550",F2:F74,"01")</f>
        <v>667824.69848800031</v>
      </c>
      <c r="BM77" s="387">
        <f>SUMIFS(BM2:BM74,G2:G74,"GVFA",E2:E74,"0550",F2:F74,"01")</f>
        <v>0</v>
      </c>
      <c r="BN77" s="387">
        <f>SUMIFS(BN2:BN74,G2:G74,"GVFA",E2:E74,"0550",F2:F74,"01")</f>
        <v>710650</v>
      </c>
      <c r="BO77" s="387">
        <f>SUMIFS(BO2:BO74,G2:G74,"GVFA",E2:E74,"0550",F2:F74,"01")</f>
        <v>0</v>
      </c>
      <c r="BP77" s="387">
        <f>SUMIFS(BP2:BP74,G2:G74,"GVFA",E2:E74,"0550",F2:F74,"01")</f>
        <v>190593.05920000002</v>
      </c>
      <c r="BQ77" s="387">
        <f>SUMIFS(BQ2:BQ74,G2:G74,"GVFA",E2:E74,"0550",F2:F74,"01")</f>
        <v>45192.648799999995</v>
      </c>
      <c r="BR77" s="387">
        <f>SUMIFS(BR2:BR74,G2:G74,"GVFA",E2:E74,"0550",F2:F74,"01")</f>
        <v>372138.08736</v>
      </c>
      <c r="BS77" s="387">
        <f>SUMIFS(BS2:BS74,G2:G74,"GVFA",E2:E74,"0550",F2:F74,"01")</f>
        <v>22471.655024000007</v>
      </c>
      <c r="BT77" s="387">
        <f>SUMIFS(BT2:BT74,G2:G74,"GVFA",E2:E74,"0550",F2:F74,"01")</f>
        <v>0</v>
      </c>
      <c r="BU77" s="387">
        <f>SUMIFS(BU2:BU74,G2:G74,"GVFA",E2:E74,"0550",F2:F74,"01")</f>
        <v>14966.985384000001</v>
      </c>
      <c r="BV77" s="387">
        <f>SUMIFS(BV2:BV74,G2:G74,"GVFA",E2:E74,"0550",F2:F74,"01")</f>
        <v>7480.1625600000016</v>
      </c>
      <c r="BW77" s="387">
        <f>SUMIFS(BW2:BW74,G2:G74,"GVFA",E2:E74,"0550",F2:F74,"01")</f>
        <v>0</v>
      </c>
      <c r="BX77" s="387">
        <f>SUMIFS(BX2:BX74,G2:G74,"GVFA",E2:E74,"0550",F2:F74,"01")</f>
        <v>652842.59832799993</v>
      </c>
      <c r="BY77" s="387">
        <f>SUMIFS(BY2:BY74,G2:G74,"GVFA",E2:E74,"0550",F2:F74,"01")</f>
        <v>0</v>
      </c>
      <c r="BZ77" s="387">
        <f>SUMIFS(BZ2:BZ74,G2:G74,"GVFA",E2:E74,"0550",F2:F74,"01")</f>
        <v>0</v>
      </c>
      <c r="CA77" s="387">
        <f>SUMIFS(CA2:CA74,G2:G74,"GVFA",E2:E74,"0550",F2:F74,"01")</f>
        <v>0</v>
      </c>
      <c r="CB77" s="387">
        <f>SUMIFS(CB2:CB74,G2:G74,"GVFA",E2:E74,"0550",F2:F74,"01")</f>
        <v>316.20000000000073</v>
      </c>
      <c r="CC77" s="387">
        <f>SUMIFS(CC2:CC74,G2:G74,"GVFA",E2:E74,"0550",F2:F74,"01")</f>
        <v>0</v>
      </c>
      <c r="CD77" s="387">
        <f>SUMIFS(CD2:CD74,G2:G74,"GVFA",E2:E74,"0550",F2:F74,"01")</f>
        <v>0</v>
      </c>
      <c r="CE77" s="387">
        <f>SUMIFS(CE2:CE74,G2:G74,"GVFA",E2:E74,"0550",F2:F74,"01")</f>
        <v>0</v>
      </c>
      <c r="CF77" s="387">
        <f>SUMIFS(CF2:CF74,G2:G74,"GVFA",E2:E74,"0550",F2:F74,"01")</f>
        <v>-14363.279839999997</v>
      </c>
      <c r="CG77" s="387">
        <f>SUMIFS(CG2:CG74,G2:G74,"GVFA",E2:E74,"0550",F2:F74,"01")</f>
        <v>0</v>
      </c>
      <c r="CH77" s="387">
        <f>SUMIFS(CH2:CH74,G2:G74,"GVFA",E2:E74,"0550",F2:F74,"01")</f>
        <v>-935.02032000000088</v>
      </c>
      <c r="CI77" s="387">
        <f>SUMIFS(CI2:CI74,G2:G74,"GVFA",E2:E74,"0550",F2:F74,"01")</f>
        <v>0</v>
      </c>
      <c r="CJ77" s="387">
        <f>SUMIFS(CJ2:CJ74,G2:G74,"GVFA",E2:E74,"0550",F2:F74,"01")</f>
        <v>-14982.100160000004</v>
      </c>
      <c r="CK77" s="387">
        <f>SUMIFS(CK2:CK74,G2:G74,"GVFA",E2:E74,"0550",F2:F74,"01")</f>
        <v>0</v>
      </c>
      <c r="CL77" s="387">
        <f>SUMIFS(CL2:CL74,G2:G74,"GVFA",E2:E74,"0550",F2:F74,"01")</f>
        <v>11837.6</v>
      </c>
      <c r="CM77" s="387">
        <f>SUMIFS(CM2:CM74,G2:G74,"GVFA",E2:E74,"0550",F2:F74,"01")</f>
        <v>6427.65</v>
      </c>
    </row>
    <row r="78" spans="1:92" ht="18.75" x14ac:dyDescent="0.3">
      <c r="AQ78" s="393" t="s">
        <v>611</v>
      </c>
      <c r="AS78" s="394">
        <f t="shared" ref="AS78:CM78" si="115">SUM(AS77:AS77)</f>
        <v>61</v>
      </c>
      <c r="AT78" s="394">
        <f t="shared" si="115"/>
        <v>0</v>
      </c>
      <c r="AU78" s="394">
        <f t="shared" si="115"/>
        <v>61</v>
      </c>
      <c r="AV78" s="394">
        <f t="shared" si="115"/>
        <v>0</v>
      </c>
      <c r="AW78" s="394">
        <f t="shared" si="115"/>
        <v>61</v>
      </c>
      <c r="AX78" s="394">
        <f t="shared" si="115"/>
        <v>3116734.3999999985</v>
      </c>
      <c r="AY78" s="394">
        <f t="shared" si="115"/>
        <v>3116734.3999999985</v>
      </c>
      <c r="AZ78" s="394">
        <f t="shared" si="115"/>
        <v>0</v>
      </c>
      <c r="BA78" s="394">
        <f t="shared" si="115"/>
        <v>0</v>
      </c>
      <c r="BB78" s="394">
        <f t="shared" si="115"/>
        <v>710650</v>
      </c>
      <c r="BC78" s="394">
        <f t="shared" si="115"/>
        <v>0</v>
      </c>
      <c r="BD78" s="394">
        <f t="shared" si="115"/>
        <v>190276.85920000001</v>
      </c>
      <c r="BE78" s="394">
        <f t="shared" si="115"/>
        <v>45192.648799999995</v>
      </c>
      <c r="BF78" s="394">
        <f t="shared" si="115"/>
        <v>372138.08736</v>
      </c>
      <c r="BG78" s="394">
        <f t="shared" si="115"/>
        <v>22471.655024000007</v>
      </c>
      <c r="BH78" s="394">
        <f t="shared" si="115"/>
        <v>14363.279839999997</v>
      </c>
      <c r="BI78" s="394">
        <f t="shared" si="115"/>
        <v>14966.985384000001</v>
      </c>
      <c r="BJ78" s="394">
        <f t="shared" si="115"/>
        <v>8415.1828799999985</v>
      </c>
      <c r="BK78" s="394">
        <f t="shared" si="115"/>
        <v>0</v>
      </c>
      <c r="BL78" s="394">
        <f t="shared" si="115"/>
        <v>667824.69848800031</v>
      </c>
      <c r="BM78" s="394">
        <f t="shared" si="115"/>
        <v>0</v>
      </c>
      <c r="BN78" s="394">
        <f t="shared" si="115"/>
        <v>710650</v>
      </c>
      <c r="BO78" s="394">
        <f t="shared" si="115"/>
        <v>0</v>
      </c>
      <c r="BP78" s="394">
        <f t="shared" si="115"/>
        <v>190593.05920000002</v>
      </c>
      <c r="BQ78" s="394">
        <f t="shared" si="115"/>
        <v>45192.648799999995</v>
      </c>
      <c r="BR78" s="394">
        <f t="shared" si="115"/>
        <v>372138.08736</v>
      </c>
      <c r="BS78" s="394">
        <f t="shared" si="115"/>
        <v>22471.655024000007</v>
      </c>
      <c r="BT78" s="394">
        <f t="shared" si="115"/>
        <v>0</v>
      </c>
      <c r="BU78" s="394">
        <f t="shared" si="115"/>
        <v>14966.985384000001</v>
      </c>
      <c r="BV78" s="394">
        <f t="shared" si="115"/>
        <v>7480.1625600000016</v>
      </c>
      <c r="BW78" s="394">
        <f t="shared" si="115"/>
        <v>0</v>
      </c>
      <c r="BX78" s="394">
        <f t="shared" si="115"/>
        <v>652842.59832799993</v>
      </c>
      <c r="BY78" s="394">
        <f t="shared" si="115"/>
        <v>0</v>
      </c>
      <c r="BZ78" s="394">
        <f t="shared" si="115"/>
        <v>0</v>
      </c>
      <c r="CA78" s="394">
        <f t="shared" si="115"/>
        <v>0</v>
      </c>
      <c r="CB78" s="394">
        <f t="shared" si="115"/>
        <v>316.20000000000073</v>
      </c>
      <c r="CC78" s="394">
        <f t="shared" si="115"/>
        <v>0</v>
      </c>
      <c r="CD78" s="394">
        <f t="shared" si="115"/>
        <v>0</v>
      </c>
      <c r="CE78" s="394">
        <f t="shared" si="115"/>
        <v>0</v>
      </c>
      <c r="CF78" s="394">
        <f t="shared" si="115"/>
        <v>-14363.279839999997</v>
      </c>
      <c r="CG78" s="394">
        <f t="shared" si="115"/>
        <v>0</v>
      </c>
      <c r="CH78" s="394">
        <f t="shared" si="115"/>
        <v>-935.02032000000088</v>
      </c>
      <c r="CI78" s="394">
        <f t="shared" si="115"/>
        <v>0</v>
      </c>
      <c r="CJ78" s="394">
        <f t="shared" si="115"/>
        <v>-14982.100160000004</v>
      </c>
      <c r="CK78" s="394">
        <f t="shared" si="115"/>
        <v>0</v>
      </c>
      <c r="CL78" s="394">
        <f t="shared" si="115"/>
        <v>11837.6</v>
      </c>
      <c r="CM78" s="394">
        <f t="shared" si="115"/>
        <v>6427.65</v>
      </c>
    </row>
    <row r="79" spans="1:92" ht="15.75" thickBot="1" x14ac:dyDescent="0.3">
      <c r="AR79" t="s">
        <v>619</v>
      </c>
      <c r="AS79" s="387">
        <f>SUMIFS(AS2:AS74,G2:G74,"GVFB",E2:E74,"0550",F2:F74,"02",AT2:AT74,1)</f>
        <v>3</v>
      </c>
      <c r="AT79" s="387">
        <f>SUMIFS(AS2:AS74,G2:G74,"GVFB",E2:E74,"0550",F2:F74,"02",AT2:AT74,3)</f>
        <v>0</v>
      </c>
      <c r="AU79" s="387">
        <f>SUMIFS(AU2:AU74,G2:G74,"GVFB",E2:E74,"0550",F2:F74,"02")</f>
        <v>3</v>
      </c>
      <c r="AV79" s="387">
        <f>SUMIFS(AV2:AV74,G2:G74,"GVFB",E2:E74,"0550",F2:F74,"02")</f>
        <v>0</v>
      </c>
      <c r="AW79" s="387">
        <f>SUMIFS(AW2:AW74,G2:G74,"GVFB",E2:E74,"0550",F2:F74,"02")</f>
        <v>3</v>
      </c>
      <c r="AX79" s="387">
        <f>SUMIFS(AX2:AX74,G2:G74,"GVFB",E2:E74,"0550",F2:F74,"02")</f>
        <v>533208</v>
      </c>
      <c r="AY79" s="387">
        <f>SUMIFS(AY2:AY74,G2:G74,"GVFB",E2:E74,"0550",F2:F74,"02")</f>
        <v>533208</v>
      </c>
      <c r="AZ79" s="387">
        <f>SUMIFS(AZ2:AZ74,G2:G74,"GVFB",E2:E74,"0550",F2:F74,"02")</f>
        <v>0</v>
      </c>
      <c r="BA79" s="387">
        <f>SUMIFS(BA2:BA74,G2:G74,"GVFB",E2:E74,"0550",F2:F74,"02")</f>
        <v>0</v>
      </c>
      <c r="BB79" s="387">
        <f>SUMIFS(BB2:BB74,G2:G74,"GVFB",E2:E74,"0550",F2:F74,"02")</f>
        <v>34950</v>
      </c>
      <c r="BC79" s="387">
        <f>SUMIFS(BC2:BC74,G2:G74,"GVFB",E2:E74,"0550",F2:F74,"02")</f>
        <v>0</v>
      </c>
      <c r="BD79" s="387">
        <f>SUMIFS(BD2:BD74,G2:G74,"GVFB",E2:E74,"0550",F2:F74,"02")</f>
        <v>20173.7088</v>
      </c>
      <c r="BE79" s="387">
        <f>SUMIFS(BE2:BE74,G2:G74,"GVFB",E2:E74,"0550",F2:F74,"02")</f>
        <v>7731.5160000000005</v>
      </c>
      <c r="BF79" s="387">
        <f>SUMIFS(BF2:BF74,G2:G74,"GVFB",E2:E74,"0550",F2:F74,"02")</f>
        <v>63665.035200000013</v>
      </c>
      <c r="BG79" s="387">
        <f>SUMIFS(BG2:BG74,G2:G74,"GVFB",E2:E74,"0550",F2:F74,"02")</f>
        <v>3844.4296800000002</v>
      </c>
      <c r="BH79" s="387">
        <f>SUMIFS(BH2:BH74,G2:G74,"GVFB",E2:E74,"0550",F2:F74,"02")</f>
        <v>2612.7192000000005</v>
      </c>
      <c r="BI79" s="387">
        <f>SUMIFS(BI2:BI74,G2:G74,"GVFB",E2:E74,"0550",F2:F74,"02")</f>
        <v>276.65258399999999</v>
      </c>
      <c r="BJ79" s="387">
        <f>SUMIFS(BJ2:BJ74,G2:G74,"GVFB",E2:E74,"0550",F2:F74,"02")</f>
        <v>1439.6616000000001</v>
      </c>
      <c r="BK79" s="387">
        <f>SUMIFS(BK2:BK74,G2:G74,"GVFB",E2:E74,"0550",F2:F74,"02")</f>
        <v>0</v>
      </c>
      <c r="BL79" s="387">
        <f>SUMIFS(BL2:BL74,G2:G74,"GVFB",E2:E74,"0550",F2:F74,"02")</f>
        <v>99743.72306400002</v>
      </c>
      <c r="BM79" s="387">
        <f>SUMIFS(BM2:BM74,G2:G74,"GVFB",E2:E74,"0550",F2:F74,"02")</f>
        <v>0</v>
      </c>
      <c r="BN79" s="387">
        <f>SUMIFS(BN2:BN74,G2:G74,"GVFB",E2:E74,"0550",F2:F74,"02")</f>
        <v>34950</v>
      </c>
      <c r="BO79" s="387">
        <f>SUMIFS(BO2:BO74,G2:G74,"GVFB",E2:E74,"0550",F2:F74,"02")</f>
        <v>0</v>
      </c>
      <c r="BP79" s="387">
        <f>SUMIFS(BP2:BP74,G2:G74,"GVFB",E2:E74,"0550",F2:F74,"02")</f>
        <v>20806.108800000002</v>
      </c>
      <c r="BQ79" s="387">
        <f>SUMIFS(BQ2:BQ74,G2:G74,"GVFB",E2:E74,"0550",F2:F74,"02")</f>
        <v>7731.5160000000005</v>
      </c>
      <c r="BR79" s="387">
        <f>SUMIFS(BR2:BR74,G2:G74,"GVFB",E2:E74,"0550",F2:F74,"02")</f>
        <v>63665.035200000013</v>
      </c>
      <c r="BS79" s="387">
        <f>SUMIFS(BS2:BS74,G2:G74,"GVFB",E2:E74,"0550",F2:F74,"02")</f>
        <v>3844.4296800000002</v>
      </c>
      <c r="BT79" s="387">
        <f>SUMIFS(BT2:BT74,G2:G74,"GVFB",E2:E74,"0550",F2:F74,"02")</f>
        <v>0</v>
      </c>
      <c r="BU79" s="387">
        <f>SUMIFS(BU2:BU74,G2:G74,"GVFB",E2:E74,"0550",F2:F74,"02")</f>
        <v>276.65258399999999</v>
      </c>
      <c r="BV79" s="387">
        <f>SUMIFS(BV2:BV74,G2:G74,"GVFB",E2:E74,"0550",F2:F74,"02")</f>
        <v>1279.6992</v>
      </c>
      <c r="BW79" s="387">
        <f>SUMIFS(BW2:BW74,G2:G74,"GVFB",E2:E74,"0550",F2:F74,"02")</f>
        <v>0</v>
      </c>
      <c r="BX79" s="387">
        <f>SUMIFS(BX2:BX74,G2:G74,"GVFB",E2:E74,"0550",F2:F74,"02")</f>
        <v>97603.441464000018</v>
      </c>
      <c r="BY79" s="387">
        <f>SUMIFS(BY2:BY74,G2:G74,"GVFB",E2:E74,"0550",F2:F74,"02")</f>
        <v>0</v>
      </c>
      <c r="BZ79" s="387">
        <f>SUMIFS(BZ2:BZ74,G2:G74,"GVFB",E2:E74,"0550",F2:F74,"02")</f>
        <v>0</v>
      </c>
      <c r="CA79" s="387">
        <f>SUMIFS(CA2:CA74,G2:G74,"GVFB",E2:E74,"0550",F2:F74,"02")</f>
        <v>0</v>
      </c>
      <c r="CB79" s="387">
        <f>SUMIFS(CB2:CB74,G2:G74,"GVFB",E2:E74,"0550",F2:F74,"02")</f>
        <v>632.40000000000146</v>
      </c>
      <c r="CC79" s="387">
        <f>SUMIFS(CC2:CC74,G2:G74,"GVFB",E2:E74,"0550",F2:F74,"02")</f>
        <v>0</v>
      </c>
      <c r="CD79" s="387">
        <f>SUMIFS(CD2:CD74,G2:G74,"GVFB",E2:E74,"0550",F2:F74,"02")</f>
        <v>0</v>
      </c>
      <c r="CE79" s="387">
        <f>SUMIFS(CE2:CE74,G2:G74,"GVFB",E2:E74,"0550",F2:F74,"02")</f>
        <v>0</v>
      </c>
      <c r="CF79" s="387">
        <f>SUMIFS(CF2:CF74,G2:G74,"GVFB",E2:E74,"0550",F2:F74,"02")</f>
        <v>-2612.7192000000005</v>
      </c>
      <c r="CG79" s="387">
        <f>SUMIFS(CG2:CG74,G2:G74,"GVFB",E2:E74,"0550",F2:F74,"02")</f>
        <v>0</v>
      </c>
      <c r="CH79" s="387">
        <f>SUMIFS(CH2:CH74,G2:G74,"GVFB",E2:E74,"0550",F2:F74,"02")</f>
        <v>-159.9624000000002</v>
      </c>
      <c r="CI79" s="387">
        <f>SUMIFS(CI2:CI74,G2:G74,"GVFB",E2:E74,"0550",F2:F74,"02")</f>
        <v>0</v>
      </c>
      <c r="CJ79" s="387">
        <f>SUMIFS(CJ2:CJ74,G2:G74,"GVFB",E2:E74,"0550",F2:F74,"02")</f>
        <v>-2140.2815999999989</v>
      </c>
      <c r="CK79" s="387">
        <f>SUMIFS(CK2:CK74,G2:G74,"GVFB",E2:E74,"0550",F2:F74,"02")</f>
        <v>0</v>
      </c>
      <c r="CL79" s="387">
        <f>SUMIFS(CL2:CL74,G2:G74,"GVFB",E2:E74,"0550",F2:F74,"02")</f>
        <v>0</v>
      </c>
      <c r="CM79" s="387">
        <f>SUMIFS(CM2:CM74,G2:G74,"GVFB",E2:E74,"0550",F2:F74,"02")</f>
        <v>0</v>
      </c>
    </row>
    <row r="80" spans="1:92" ht="18.75" x14ac:dyDescent="0.3">
      <c r="AQ80" s="393" t="s">
        <v>620</v>
      </c>
      <c r="AS80" s="394">
        <f t="shared" ref="AS80:CM80" si="116">SUM(AS79:AS79)</f>
        <v>3</v>
      </c>
      <c r="AT80" s="394">
        <f t="shared" si="116"/>
        <v>0</v>
      </c>
      <c r="AU80" s="394">
        <f t="shared" si="116"/>
        <v>3</v>
      </c>
      <c r="AV80" s="394">
        <f t="shared" si="116"/>
        <v>0</v>
      </c>
      <c r="AW80" s="394">
        <f t="shared" si="116"/>
        <v>3</v>
      </c>
      <c r="AX80" s="394">
        <f t="shared" si="116"/>
        <v>533208</v>
      </c>
      <c r="AY80" s="394">
        <f t="shared" si="116"/>
        <v>533208</v>
      </c>
      <c r="AZ80" s="394">
        <f t="shared" si="116"/>
        <v>0</v>
      </c>
      <c r="BA80" s="394">
        <f t="shared" si="116"/>
        <v>0</v>
      </c>
      <c r="BB80" s="394">
        <f t="shared" si="116"/>
        <v>34950</v>
      </c>
      <c r="BC80" s="394">
        <f t="shared" si="116"/>
        <v>0</v>
      </c>
      <c r="BD80" s="394">
        <f t="shared" si="116"/>
        <v>20173.7088</v>
      </c>
      <c r="BE80" s="394">
        <f t="shared" si="116"/>
        <v>7731.5160000000005</v>
      </c>
      <c r="BF80" s="394">
        <f t="shared" si="116"/>
        <v>63665.035200000013</v>
      </c>
      <c r="BG80" s="394">
        <f t="shared" si="116"/>
        <v>3844.4296800000002</v>
      </c>
      <c r="BH80" s="394">
        <f t="shared" si="116"/>
        <v>2612.7192000000005</v>
      </c>
      <c r="BI80" s="394">
        <f t="shared" si="116"/>
        <v>276.65258399999999</v>
      </c>
      <c r="BJ80" s="394">
        <f t="shared" si="116"/>
        <v>1439.6616000000001</v>
      </c>
      <c r="BK80" s="394">
        <f t="shared" si="116"/>
        <v>0</v>
      </c>
      <c r="BL80" s="394">
        <f t="shared" si="116"/>
        <v>99743.72306400002</v>
      </c>
      <c r="BM80" s="394">
        <f t="shared" si="116"/>
        <v>0</v>
      </c>
      <c r="BN80" s="394">
        <f t="shared" si="116"/>
        <v>34950</v>
      </c>
      <c r="BO80" s="394">
        <f t="shared" si="116"/>
        <v>0</v>
      </c>
      <c r="BP80" s="394">
        <f t="shared" si="116"/>
        <v>20806.108800000002</v>
      </c>
      <c r="BQ80" s="394">
        <f t="shared" si="116"/>
        <v>7731.5160000000005</v>
      </c>
      <c r="BR80" s="394">
        <f t="shared" si="116"/>
        <v>63665.035200000013</v>
      </c>
      <c r="BS80" s="394">
        <f t="shared" si="116"/>
        <v>3844.4296800000002</v>
      </c>
      <c r="BT80" s="394">
        <f t="shared" si="116"/>
        <v>0</v>
      </c>
      <c r="BU80" s="394">
        <f t="shared" si="116"/>
        <v>276.65258399999999</v>
      </c>
      <c r="BV80" s="394">
        <f t="shared" si="116"/>
        <v>1279.6992</v>
      </c>
      <c r="BW80" s="394">
        <f t="shared" si="116"/>
        <v>0</v>
      </c>
      <c r="BX80" s="394">
        <f t="shared" si="116"/>
        <v>97603.441464000018</v>
      </c>
      <c r="BY80" s="394">
        <f t="shared" si="116"/>
        <v>0</v>
      </c>
      <c r="BZ80" s="394">
        <f t="shared" si="116"/>
        <v>0</v>
      </c>
      <c r="CA80" s="394">
        <f t="shared" si="116"/>
        <v>0</v>
      </c>
      <c r="CB80" s="394">
        <f t="shared" si="116"/>
        <v>632.40000000000146</v>
      </c>
      <c r="CC80" s="394">
        <f t="shared" si="116"/>
        <v>0</v>
      </c>
      <c r="CD80" s="394">
        <f t="shared" si="116"/>
        <v>0</v>
      </c>
      <c r="CE80" s="394">
        <f t="shared" si="116"/>
        <v>0</v>
      </c>
      <c r="CF80" s="394">
        <f t="shared" si="116"/>
        <v>-2612.7192000000005</v>
      </c>
      <c r="CG80" s="394">
        <f t="shared" si="116"/>
        <v>0</v>
      </c>
      <c r="CH80" s="394">
        <f t="shared" si="116"/>
        <v>-159.9624000000002</v>
      </c>
      <c r="CI80" s="394">
        <f t="shared" si="116"/>
        <v>0</v>
      </c>
      <c r="CJ80" s="394">
        <f t="shared" si="116"/>
        <v>-2140.2815999999989</v>
      </c>
      <c r="CK80" s="394">
        <f t="shared" si="116"/>
        <v>0</v>
      </c>
      <c r="CL80" s="394">
        <f t="shared" si="116"/>
        <v>0</v>
      </c>
      <c r="CM80" s="394">
        <f t="shared" si="116"/>
        <v>0</v>
      </c>
    </row>
    <row r="81" spans="41:91" ht="15.75" thickBot="1" x14ac:dyDescent="0.3">
      <c r="AR81" t="s">
        <v>626</v>
      </c>
      <c r="AS81" s="387">
        <f>SUMIFS(AS2:AS74,G2:G74,"GVFC",E2:E74,"0550",F2:F74,"02",AT2:AT74,1)</f>
        <v>0</v>
      </c>
      <c r="AT81" s="387">
        <f>SUMIFS(AS2:AS74,G2:G74,"GVFC",E2:E74,"0550",F2:F74,"02",AT2:AT74,3)</f>
        <v>0</v>
      </c>
      <c r="AU81" s="387">
        <f>SUMIFS(AU2:AU74,G2:G74,"GVFC",E2:E74,"0550",F2:F74,"02")</f>
        <v>0</v>
      </c>
      <c r="AV81" s="387">
        <f>SUMIFS(AV2:AV74,G2:G74,"GVFC",E2:E74,"0550",F2:F74,"02")</f>
        <v>0</v>
      </c>
      <c r="AW81" s="387">
        <f>SUMIFS(AW2:AW74,G2:G74,"GVFC",E2:E74,"0550",F2:F74,"02")</f>
        <v>0</v>
      </c>
      <c r="AX81" s="387">
        <f>SUMIFS(AX2:AX74,G2:G74,"GVFC",E2:E74,"0550",F2:F74,"02")</f>
        <v>0</v>
      </c>
      <c r="AY81" s="387">
        <f>SUMIFS(AY2:AY74,G2:G74,"GVFC",E2:E74,"0550",F2:F74,"02")</f>
        <v>0</v>
      </c>
      <c r="AZ81" s="387">
        <f>SUMIFS(AZ2:AZ74,G2:G74,"GVFC",E2:E74,"0550",F2:F74,"02")</f>
        <v>0</v>
      </c>
      <c r="BA81" s="387">
        <f>SUMIFS(BA2:BA74,G2:G74,"GVFC",E2:E74,"0550",F2:F74,"02")</f>
        <v>0</v>
      </c>
      <c r="BB81" s="387">
        <f>SUMIFS(BB2:BB74,G2:G74,"GVFC",E2:E74,"0550",F2:F74,"02")</f>
        <v>0</v>
      </c>
      <c r="BC81" s="387">
        <f>SUMIFS(BC2:BC74,G2:G74,"GVFC",E2:E74,"0550",F2:F74,"02")</f>
        <v>0</v>
      </c>
      <c r="BD81" s="387">
        <f>SUMIFS(BD2:BD74,G2:G74,"GVFC",E2:E74,"0550",F2:F74,"02")</f>
        <v>0</v>
      </c>
      <c r="BE81" s="387">
        <f>SUMIFS(BE2:BE74,G2:G74,"GVFC",E2:E74,"0550",F2:F74,"02")</f>
        <v>0</v>
      </c>
      <c r="BF81" s="387">
        <f>SUMIFS(BF2:BF74,G2:G74,"GVFC",E2:E74,"0550",F2:F74,"02")</f>
        <v>0</v>
      </c>
      <c r="BG81" s="387">
        <f>SUMIFS(BG2:BG74,G2:G74,"GVFC",E2:E74,"0550",F2:F74,"02")</f>
        <v>0</v>
      </c>
      <c r="BH81" s="387">
        <f>SUMIFS(BH2:BH74,G2:G74,"GVFC",E2:E74,"0550",F2:F74,"02")</f>
        <v>0</v>
      </c>
      <c r="BI81" s="387">
        <f>SUMIFS(BI2:BI74,G2:G74,"GVFC",E2:E74,"0550",F2:F74,"02")</f>
        <v>0</v>
      </c>
      <c r="BJ81" s="387">
        <f>SUMIFS(BJ2:BJ74,G2:G74,"GVFC",E2:E74,"0550",F2:F74,"02")</f>
        <v>0</v>
      </c>
      <c r="BK81" s="387">
        <f>SUMIFS(BK2:BK74,G2:G74,"GVFC",E2:E74,"0550",F2:F74,"02")</f>
        <v>0</v>
      </c>
      <c r="BL81" s="387">
        <f>SUMIFS(BL2:BL74,G2:G74,"GVFC",E2:E74,"0550",F2:F74,"02")</f>
        <v>0</v>
      </c>
      <c r="BM81" s="387">
        <f>SUMIFS(BM2:BM74,G2:G74,"GVFC",E2:E74,"0550",F2:F74,"02")</f>
        <v>0</v>
      </c>
      <c r="BN81" s="387">
        <f>SUMIFS(BN2:BN74,G2:G74,"GVFC",E2:E74,"0550",F2:F74,"02")</f>
        <v>0</v>
      </c>
      <c r="BO81" s="387">
        <f>SUMIFS(BO2:BO74,G2:G74,"GVFC",E2:E74,"0550",F2:F74,"02")</f>
        <v>0</v>
      </c>
      <c r="BP81" s="387">
        <f>SUMIFS(BP2:BP74,G2:G74,"GVFC",E2:E74,"0550",F2:F74,"02")</f>
        <v>0</v>
      </c>
      <c r="BQ81" s="387">
        <f>SUMIFS(BQ2:BQ74,G2:G74,"GVFC",E2:E74,"0550",F2:F74,"02")</f>
        <v>0</v>
      </c>
      <c r="BR81" s="387">
        <f>SUMIFS(BR2:BR74,G2:G74,"GVFC",E2:E74,"0550",F2:F74,"02")</f>
        <v>0</v>
      </c>
      <c r="BS81" s="387">
        <f>SUMIFS(BS2:BS74,G2:G74,"GVFC",E2:E74,"0550",F2:F74,"02")</f>
        <v>0</v>
      </c>
      <c r="BT81" s="387">
        <f>SUMIFS(BT2:BT74,G2:G74,"GVFC",E2:E74,"0550",F2:F74,"02")</f>
        <v>0</v>
      </c>
      <c r="BU81" s="387">
        <f>SUMIFS(BU2:BU74,G2:G74,"GVFC",E2:E74,"0550",F2:F74,"02")</f>
        <v>0</v>
      </c>
      <c r="BV81" s="387">
        <f>SUMIFS(BV2:BV74,G2:G74,"GVFC",E2:E74,"0550",F2:F74,"02")</f>
        <v>0</v>
      </c>
      <c r="BW81" s="387">
        <f>SUMIFS(BW2:BW74,G2:G74,"GVFC",E2:E74,"0550",F2:F74,"02")</f>
        <v>0</v>
      </c>
      <c r="BX81" s="387">
        <f>SUMIFS(BX2:BX74,G2:G74,"GVFC",E2:E74,"0550",F2:F74,"02")</f>
        <v>0</v>
      </c>
      <c r="BY81" s="387">
        <f>SUMIFS(BY2:BY74,G2:G74,"GVFC",E2:E74,"0550",F2:F74,"02")</f>
        <v>0</v>
      </c>
      <c r="BZ81" s="387">
        <f>SUMIFS(BZ2:BZ74,G2:G74,"GVFC",E2:E74,"0550",F2:F74,"02")</f>
        <v>0</v>
      </c>
      <c r="CA81" s="387">
        <f>SUMIFS(CA2:CA74,G2:G74,"GVFC",E2:E74,"0550",F2:F74,"02")</f>
        <v>0</v>
      </c>
      <c r="CB81" s="387">
        <f>SUMIFS(CB2:CB74,G2:G74,"GVFC",E2:E74,"0550",F2:F74,"02")</f>
        <v>0</v>
      </c>
      <c r="CC81" s="387">
        <f>SUMIFS(CC2:CC74,G2:G74,"GVFC",E2:E74,"0550",F2:F74,"02")</f>
        <v>0</v>
      </c>
      <c r="CD81" s="387">
        <f>SUMIFS(CD2:CD74,G2:G74,"GVFC",E2:E74,"0550",F2:F74,"02")</f>
        <v>0</v>
      </c>
      <c r="CE81" s="387">
        <f>SUMIFS(CE2:CE74,G2:G74,"GVFC",E2:E74,"0550",F2:F74,"02")</f>
        <v>0</v>
      </c>
      <c r="CF81" s="387">
        <f>SUMIFS(CF2:CF74,G2:G74,"GVFC",E2:E74,"0550",F2:F74,"02")</f>
        <v>0</v>
      </c>
      <c r="CG81" s="387">
        <f>SUMIFS(CG2:CG74,G2:G74,"GVFC",E2:E74,"0550",F2:F74,"02")</f>
        <v>0</v>
      </c>
      <c r="CH81" s="387">
        <f>SUMIFS(CH2:CH74,G2:G74,"GVFC",E2:E74,"0550",F2:F74,"02")</f>
        <v>0</v>
      </c>
      <c r="CI81" s="387">
        <f>SUMIFS(CI2:CI74,G2:G74,"GVFC",E2:E74,"0550",F2:F74,"02")</f>
        <v>0</v>
      </c>
      <c r="CJ81" s="387">
        <f>SUMIFS(CJ2:CJ74,G2:G74,"GVFC",E2:E74,"0550",F2:F74,"02")</f>
        <v>0</v>
      </c>
      <c r="CK81" s="387">
        <f>SUMIFS(CK2:CK74,G2:G74,"GVFC",E2:E74,"0550",F2:F74,"02")</f>
        <v>0</v>
      </c>
      <c r="CL81" s="387">
        <f>SUMIFS(CL2:CL74,G2:G74,"GVFC",E2:E74,"0550",F2:F74,"02")</f>
        <v>0</v>
      </c>
      <c r="CM81" s="387">
        <f>SUMIFS(CM2:CM74,G2:G74,"GVFC",E2:E74,"0550",F2:F74,"02")</f>
        <v>0</v>
      </c>
    </row>
    <row r="82" spans="41:91" ht="18.75" x14ac:dyDescent="0.3">
      <c r="AQ82" s="393" t="s">
        <v>627</v>
      </c>
      <c r="AS82" s="394">
        <f t="shared" ref="AS82:CM82" si="117">SUM(AS81:AS81)</f>
        <v>0</v>
      </c>
      <c r="AT82" s="394">
        <f t="shared" si="117"/>
        <v>0</v>
      </c>
      <c r="AU82" s="394">
        <f t="shared" si="117"/>
        <v>0</v>
      </c>
      <c r="AV82" s="394">
        <f t="shared" si="117"/>
        <v>0</v>
      </c>
      <c r="AW82" s="394">
        <f t="shared" si="117"/>
        <v>0</v>
      </c>
      <c r="AX82" s="394">
        <f t="shared" si="117"/>
        <v>0</v>
      </c>
      <c r="AY82" s="394">
        <f t="shared" si="117"/>
        <v>0</v>
      </c>
      <c r="AZ82" s="394">
        <f t="shared" si="117"/>
        <v>0</v>
      </c>
      <c r="BA82" s="394">
        <f t="shared" si="117"/>
        <v>0</v>
      </c>
      <c r="BB82" s="394">
        <f t="shared" si="117"/>
        <v>0</v>
      </c>
      <c r="BC82" s="394">
        <f t="shared" si="117"/>
        <v>0</v>
      </c>
      <c r="BD82" s="394">
        <f t="shared" si="117"/>
        <v>0</v>
      </c>
      <c r="BE82" s="394">
        <f t="shared" si="117"/>
        <v>0</v>
      </c>
      <c r="BF82" s="394">
        <f t="shared" si="117"/>
        <v>0</v>
      </c>
      <c r="BG82" s="394">
        <f t="shared" si="117"/>
        <v>0</v>
      </c>
      <c r="BH82" s="394">
        <f t="shared" si="117"/>
        <v>0</v>
      </c>
      <c r="BI82" s="394">
        <f t="shared" si="117"/>
        <v>0</v>
      </c>
      <c r="BJ82" s="394">
        <f t="shared" si="117"/>
        <v>0</v>
      </c>
      <c r="BK82" s="394">
        <f t="shared" si="117"/>
        <v>0</v>
      </c>
      <c r="BL82" s="394">
        <f t="shared" si="117"/>
        <v>0</v>
      </c>
      <c r="BM82" s="394">
        <f t="shared" si="117"/>
        <v>0</v>
      </c>
      <c r="BN82" s="394">
        <f t="shared" si="117"/>
        <v>0</v>
      </c>
      <c r="BO82" s="394">
        <f t="shared" si="117"/>
        <v>0</v>
      </c>
      <c r="BP82" s="394">
        <f t="shared" si="117"/>
        <v>0</v>
      </c>
      <c r="BQ82" s="394">
        <f t="shared" si="117"/>
        <v>0</v>
      </c>
      <c r="BR82" s="394">
        <f t="shared" si="117"/>
        <v>0</v>
      </c>
      <c r="BS82" s="394">
        <f t="shared" si="117"/>
        <v>0</v>
      </c>
      <c r="BT82" s="394">
        <f t="shared" si="117"/>
        <v>0</v>
      </c>
      <c r="BU82" s="394">
        <f t="shared" si="117"/>
        <v>0</v>
      </c>
      <c r="BV82" s="394">
        <f t="shared" si="117"/>
        <v>0</v>
      </c>
      <c r="BW82" s="394">
        <f t="shared" si="117"/>
        <v>0</v>
      </c>
      <c r="BX82" s="394">
        <f t="shared" si="117"/>
        <v>0</v>
      </c>
      <c r="BY82" s="394">
        <f t="shared" si="117"/>
        <v>0</v>
      </c>
      <c r="BZ82" s="394">
        <f t="shared" si="117"/>
        <v>0</v>
      </c>
      <c r="CA82" s="394">
        <f t="shared" si="117"/>
        <v>0</v>
      </c>
      <c r="CB82" s="394">
        <f t="shared" si="117"/>
        <v>0</v>
      </c>
      <c r="CC82" s="394">
        <f t="shared" si="117"/>
        <v>0</v>
      </c>
      <c r="CD82" s="394">
        <f t="shared" si="117"/>
        <v>0</v>
      </c>
      <c r="CE82" s="394">
        <f t="shared" si="117"/>
        <v>0</v>
      </c>
      <c r="CF82" s="394">
        <f t="shared" si="117"/>
        <v>0</v>
      </c>
      <c r="CG82" s="394">
        <f t="shared" si="117"/>
        <v>0</v>
      </c>
      <c r="CH82" s="394">
        <f t="shared" si="117"/>
        <v>0</v>
      </c>
      <c r="CI82" s="394">
        <f t="shared" si="117"/>
        <v>0</v>
      </c>
      <c r="CJ82" s="394">
        <f t="shared" si="117"/>
        <v>0</v>
      </c>
      <c r="CK82" s="394">
        <f t="shared" si="117"/>
        <v>0</v>
      </c>
      <c r="CL82" s="394">
        <f t="shared" si="117"/>
        <v>0</v>
      </c>
      <c r="CM82" s="394">
        <f t="shared" si="117"/>
        <v>0</v>
      </c>
    </row>
    <row r="83" spans="41:91" ht="15.75" thickBot="1" x14ac:dyDescent="0.3">
      <c r="AR83" t="s">
        <v>629</v>
      </c>
      <c r="AS83" s="387">
        <f>SUMIFS(AS2:AS74,G2:G74,"GVFE",E2:E74,"0560",F2:F74,"00",AT2:AT74,1)</f>
        <v>0</v>
      </c>
      <c r="AT83" s="387">
        <f>SUMIFS(AS2:AS74,G2:G74,"GVFE",E2:E74,"0560",F2:F74,"00",AT2:AT74,3)</f>
        <v>0</v>
      </c>
      <c r="AU83" s="387">
        <f>SUMIFS(AU2:AU74,G2:G74,"GVFE",E2:E74,"0560",F2:F74,"00")</f>
        <v>0</v>
      </c>
      <c r="AV83" s="387">
        <f>SUMIFS(AV2:AV74,G2:G74,"GVFE",E2:E74,"0560",F2:F74,"00")</f>
        <v>0</v>
      </c>
      <c r="AW83" s="387">
        <f>SUMIFS(AW2:AW74,G2:G74,"GVFE",E2:E74,"0560",F2:F74,"00")</f>
        <v>0</v>
      </c>
      <c r="AX83" s="387">
        <f>SUMIFS(AX2:AX74,G2:G74,"GVFE",E2:E74,"0560",F2:F74,"00")</f>
        <v>0</v>
      </c>
      <c r="AY83" s="387">
        <f>SUMIFS(AY2:AY74,G2:G74,"GVFE",E2:E74,"0560",F2:F74,"00")</f>
        <v>0</v>
      </c>
      <c r="AZ83" s="387">
        <f>SUMIFS(AZ2:AZ74,G2:G74,"GVFE",E2:E74,"0560",F2:F74,"00")</f>
        <v>0</v>
      </c>
      <c r="BA83" s="387">
        <f>SUMIFS(BA2:BA74,G2:G74,"GVFE",E2:E74,"0560",F2:F74,"00")</f>
        <v>0</v>
      </c>
      <c r="BB83" s="387">
        <f>SUMIFS(BB2:BB74,G2:G74,"GVFE",E2:E74,"0560",F2:F74,"00")</f>
        <v>0</v>
      </c>
      <c r="BC83" s="387">
        <f>SUMIFS(BC2:BC74,G2:G74,"GVFE",E2:E74,"0560",F2:F74,"00")</f>
        <v>0</v>
      </c>
      <c r="BD83" s="387">
        <f>SUMIFS(BD2:BD74,G2:G74,"GVFE",E2:E74,"0560",F2:F74,"00")</f>
        <v>0</v>
      </c>
      <c r="BE83" s="387">
        <f>SUMIFS(BE2:BE74,G2:G74,"GVFE",E2:E74,"0560",F2:F74,"00")</f>
        <v>0</v>
      </c>
      <c r="BF83" s="387">
        <f>SUMIFS(BF2:BF74,G2:G74,"GVFE",E2:E74,"0560",F2:F74,"00")</f>
        <v>0</v>
      </c>
      <c r="BG83" s="387">
        <f>SUMIFS(BG2:BG74,G2:G74,"GVFE",E2:E74,"0560",F2:F74,"00")</f>
        <v>0</v>
      </c>
      <c r="BH83" s="387">
        <f>SUMIFS(BH2:BH74,G2:G74,"GVFE",E2:E74,"0560",F2:F74,"00")</f>
        <v>0</v>
      </c>
      <c r="BI83" s="387">
        <f>SUMIFS(BI2:BI74,G2:G74,"GVFE",E2:E74,"0560",F2:F74,"00")</f>
        <v>0</v>
      </c>
      <c r="BJ83" s="387">
        <f>SUMIFS(BJ2:BJ74,G2:G74,"GVFE",E2:E74,"0560",F2:F74,"00")</f>
        <v>0</v>
      </c>
      <c r="BK83" s="387">
        <f>SUMIFS(BK2:BK74,G2:G74,"GVFE",E2:E74,"0560",F2:F74,"00")</f>
        <v>0</v>
      </c>
      <c r="BL83" s="387">
        <f>SUMIFS(BL2:BL74,G2:G74,"GVFE",E2:E74,"0560",F2:F74,"00")</f>
        <v>0</v>
      </c>
      <c r="BM83" s="387">
        <f>SUMIFS(BM2:BM74,G2:G74,"GVFE",E2:E74,"0560",F2:F74,"00")</f>
        <v>0</v>
      </c>
      <c r="BN83" s="387">
        <f>SUMIFS(BN2:BN74,G2:G74,"GVFE",E2:E74,"0560",F2:F74,"00")</f>
        <v>0</v>
      </c>
      <c r="BO83" s="387">
        <f>SUMIFS(BO2:BO74,G2:G74,"GVFE",E2:E74,"0560",F2:F74,"00")</f>
        <v>0</v>
      </c>
      <c r="BP83" s="387">
        <f>SUMIFS(BP2:BP74,G2:G74,"GVFE",E2:E74,"0560",F2:F74,"00")</f>
        <v>0</v>
      </c>
      <c r="BQ83" s="387">
        <f>SUMIFS(BQ2:BQ74,G2:G74,"GVFE",E2:E74,"0560",F2:F74,"00")</f>
        <v>0</v>
      </c>
      <c r="BR83" s="387">
        <f>SUMIFS(BR2:BR74,G2:G74,"GVFE",E2:E74,"0560",F2:F74,"00")</f>
        <v>0</v>
      </c>
      <c r="BS83" s="387">
        <f>SUMIFS(BS2:BS74,G2:G74,"GVFE",E2:E74,"0560",F2:F74,"00")</f>
        <v>0</v>
      </c>
      <c r="BT83" s="387">
        <f>SUMIFS(BT2:BT74,G2:G74,"GVFE",E2:E74,"0560",F2:F74,"00")</f>
        <v>0</v>
      </c>
      <c r="BU83" s="387">
        <f>SUMIFS(BU2:BU74,G2:G74,"GVFE",E2:E74,"0560",F2:F74,"00")</f>
        <v>0</v>
      </c>
      <c r="BV83" s="387">
        <f>SUMIFS(BV2:BV74,G2:G74,"GVFE",E2:E74,"0560",F2:F74,"00")</f>
        <v>0</v>
      </c>
      <c r="BW83" s="387">
        <f>SUMIFS(BW2:BW74,G2:G74,"GVFE",E2:E74,"0560",F2:F74,"00")</f>
        <v>0</v>
      </c>
      <c r="BX83" s="387">
        <f>SUMIFS(BX2:BX74,G2:G74,"GVFE",E2:E74,"0560",F2:F74,"00")</f>
        <v>0</v>
      </c>
      <c r="BY83" s="387">
        <f>SUMIFS(BY2:BY74,G2:G74,"GVFE",E2:E74,"0560",F2:F74,"00")</f>
        <v>0</v>
      </c>
      <c r="BZ83" s="387">
        <f>SUMIFS(BZ2:BZ74,G2:G74,"GVFE",E2:E74,"0560",F2:F74,"00")</f>
        <v>0</v>
      </c>
      <c r="CA83" s="387">
        <f>SUMIFS(CA2:CA74,G2:G74,"GVFE",E2:E74,"0560",F2:F74,"00")</f>
        <v>0</v>
      </c>
      <c r="CB83" s="387">
        <f>SUMIFS(CB2:CB74,G2:G74,"GVFE",E2:E74,"0560",F2:F74,"00")</f>
        <v>0</v>
      </c>
      <c r="CC83" s="387">
        <f>SUMIFS(CC2:CC74,G2:G74,"GVFE",E2:E74,"0560",F2:F74,"00")</f>
        <v>0</v>
      </c>
      <c r="CD83" s="387">
        <f>SUMIFS(CD2:CD74,G2:G74,"GVFE",E2:E74,"0560",F2:F74,"00")</f>
        <v>0</v>
      </c>
      <c r="CE83" s="387">
        <f>SUMIFS(CE2:CE74,G2:G74,"GVFE",E2:E74,"0560",F2:F74,"00")</f>
        <v>0</v>
      </c>
      <c r="CF83" s="387">
        <f>SUMIFS(CF2:CF74,G2:G74,"GVFE",E2:E74,"0560",F2:F74,"00")</f>
        <v>0</v>
      </c>
      <c r="CG83" s="387">
        <f>SUMIFS(CG2:CG74,G2:G74,"GVFE",E2:E74,"0560",F2:F74,"00")</f>
        <v>0</v>
      </c>
      <c r="CH83" s="387">
        <f>SUMIFS(CH2:CH74,G2:G74,"GVFE",E2:E74,"0560",F2:F74,"00")</f>
        <v>0</v>
      </c>
      <c r="CI83" s="387">
        <f>SUMIFS(CI2:CI74,G2:G74,"GVFE",E2:E74,"0560",F2:F74,"00")</f>
        <v>0</v>
      </c>
      <c r="CJ83" s="387">
        <f>SUMIFS(CJ2:CJ74,G2:G74,"GVFE",E2:E74,"0560",F2:F74,"00")</f>
        <v>0</v>
      </c>
      <c r="CK83" s="387">
        <f>SUMIFS(CK2:CK74,G2:G74,"GVFE",E2:E74,"0560",F2:F74,"00")</f>
        <v>0</v>
      </c>
      <c r="CL83" s="387">
        <f>SUMIFS(CL2:CL74,G2:G74,"GVFE",E2:E74,"0560",F2:F74,"00")</f>
        <v>0</v>
      </c>
      <c r="CM83" s="387">
        <f>SUMIFS(CM2:CM74,G2:G74,"GVFE",E2:E74,"0560",F2:F74,"00")</f>
        <v>0</v>
      </c>
    </row>
    <row r="84" spans="41:91" ht="18.75" x14ac:dyDescent="0.3">
      <c r="AQ84" s="393" t="s">
        <v>630</v>
      </c>
      <c r="AS84" s="394">
        <f t="shared" ref="AS84:CM84" si="118">SUM(AS83:AS83)</f>
        <v>0</v>
      </c>
      <c r="AT84" s="394">
        <f t="shared" si="118"/>
        <v>0</v>
      </c>
      <c r="AU84" s="394">
        <f t="shared" si="118"/>
        <v>0</v>
      </c>
      <c r="AV84" s="394">
        <f t="shared" si="118"/>
        <v>0</v>
      </c>
      <c r="AW84" s="394">
        <f t="shared" si="118"/>
        <v>0</v>
      </c>
      <c r="AX84" s="394">
        <f t="shared" si="118"/>
        <v>0</v>
      </c>
      <c r="AY84" s="394">
        <f t="shared" si="118"/>
        <v>0</v>
      </c>
      <c r="AZ84" s="394">
        <f t="shared" si="118"/>
        <v>0</v>
      </c>
      <c r="BA84" s="394">
        <f t="shared" si="118"/>
        <v>0</v>
      </c>
      <c r="BB84" s="394">
        <f t="shared" si="118"/>
        <v>0</v>
      </c>
      <c r="BC84" s="394">
        <f t="shared" si="118"/>
        <v>0</v>
      </c>
      <c r="BD84" s="394">
        <f t="shared" si="118"/>
        <v>0</v>
      </c>
      <c r="BE84" s="394">
        <f t="shared" si="118"/>
        <v>0</v>
      </c>
      <c r="BF84" s="394">
        <f t="shared" si="118"/>
        <v>0</v>
      </c>
      <c r="BG84" s="394">
        <f t="shared" si="118"/>
        <v>0</v>
      </c>
      <c r="BH84" s="394">
        <f t="shared" si="118"/>
        <v>0</v>
      </c>
      <c r="BI84" s="394">
        <f t="shared" si="118"/>
        <v>0</v>
      </c>
      <c r="BJ84" s="394">
        <f t="shared" si="118"/>
        <v>0</v>
      </c>
      <c r="BK84" s="394">
        <f t="shared" si="118"/>
        <v>0</v>
      </c>
      <c r="BL84" s="394">
        <f t="shared" si="118"/>
        <v>0</v>
      </c>
      <c r="BM84" s="394">
        <f t="shared" si="118"/>
        <v>0</v>
      </c>
      <c r="BN84" s="394">
        <f t="shared" si="118"/>
        <v>0</v>
      </c>
      <c r="BO84" s="394">
        <f t="shared" si="118"/>
        <v>0</v>
      </c>
      <c r="BP84" s="394">
        <f t="shared" si="118"/>
        <v>0</v>
      </c>
      <c r="BQ84" s="394">
        <f t="shared" si="118"/>
        <v>0</v>
      </c>
      <c r="BR84" s="394">
        <f t="shared" si="118"/>
        <v>0</v>
      </c>
      <c r="BS84" s="394">
        <f t="shared" si="118"/>
        <v>0</v>
      </c>
      <c r="BT84" s="394">
        <f t="shared" si="118"/>
        <v>0</v>
      </c>
      <c r="BU84" s="394">
        <f t="shared" si="118"/>
        <v>0</v>
      </c>
      <c r="BV84" s="394">
        <f t="shared" si="118"/>
        <v>0</v>
      </c>
      <c r="BW84" s="394">
        <f t="shared" si="118"/>
        <v>0</v>
      </c>
      <c r="BX84" s="394">
        <f t="shared" si="118"/>
        <v>0</v>
      </c>
      <c r="BY84" s="394">
        <f t="shared" si="118"/>
        <v>0</v>
      </c>
      <c r="BZ84" s="394">
        <f t="shared" si="118"/>
        <v>0</v>
      </c>
      <c r="CA84" s="394">
        <f t="shared" si="118"/>
        <v>0</v>
      </c>
      <c r="CB84" s="394">
        <f t="shared" si="118"/>
        <v>0</v>
      </c>
      <c r="CC84" s="394">
        <f t="shared" si="118"/>
        <v>0</v>
      </c>
      <c r="CD84" s="394">
        <f t="shared" si="118"/>
        <v>0</v>
      </c>
      <c r="CE84" s="394">
        <f t="shared" si="118"/>
        <v>0</v>
      </c>
      <c r="CF84" s="394">
        <f t="shared" si="118"/>
        <v>0</v>
      </c>
      <c r="CG84" s="394">
        <f t="shared" si="118"/>
        <v>0</v>
      </c>
      <c r="CH84" s="394">
        <f t="shared" si="118"/>
        <v>0</v>
      </c>
      <c r="CI84" s="394">
        <f t="shared" si="118"/>
        <v>0</v>
      </c>
      <c r="CJ84" s="394">
        <f t="shared" si="118"/>
        <v>0</v>
      </c>
      <c r="CK84" s="394">
        <f t="shared" si="118"/>
        <v>0</v>
      </c>
      <c r="CL84" s="394">
        <f t="shared" si="118"/>
        <v>0</v>
      </c>
      <c r="CM84" s="394">
        <f t="shared" si="118"/>
        <v>0</v>
      </c>
    </row>
    <row r="85" spans="41:91" ht="15.75" thickBot="1" x14ac:dyDescent="0.3">
      <c r="AR85" t="s">
        <v>635</v>
      </c>
      <c r="AS85" s="387">
        <f>SUMIFS(AS2:AS74,G2:G74,"GVFJ",E2:E74,"0560",F2:F74,"00",AT2:AT74,1)</f>
        <v>1</v>
      </c>
      <c r="AT85" s="387">
        <f>SUMIFS(AS2:AS74,G2:G74,"GVFJ",E2:E74,"0560",F2:F74,"00",AT2:AT74,3)</f>
        <v>0</v>
      </c>
      <c r="AU85" s="387">
        <f>SUMIFS(AU2:AU74,G2:G74,"GVFJ",E2:E74,"0560",F2:F74,"00")</f>
        <v>1</v>
      </c>
      <c r="AV85" s="387">
        <f>SUMIFS(AV2:AV74,G2:G74,"GVFJ",E2:E74,"0560",F2:F74,"00")</f>
        <v>0</v>
      </c>
      <c r="AW85" s="387">
        <f>SUMIFS(AW2:AW74,G2:G74,"GVFJ",E2:E74,"0560",F2:F74,"00")</f>
        <v>1</v>
      </c>
      <c r="AX85" s="387">
        <f>SUMIFS(AX2:AX74,G2:G74,"GVFJ",E2:E74,"0560",F2:F74,"00")</f>
        <v>38667.199999999997</v>
      </c>
      <c r="AY85" s="387">
        <f>SUMIFS(AY2:AY74,G2:G74,"GVFJ",E2:E74,"0560",F2:F74,"00")</f>
        <v>38667.199999999997</v>
      </c>
      <c r="AZ85" s="387">
        <f>SUMIFS(AZ2:AZ74,G2:G74,"GVFJ",E2:E74,"0560",F2:F74,"00")</f>
        <v>0</v>
      </c>
      <c r="BA85" s="387">
        <f>SUMIFS(BA2:BA74,G2:G74,"GVFJ",E2:E74,"0560",F2:F74,"00")</f>
        <v>0</v>
      </c>
      <c r="BB85" s="387">
        <f>SUMIFS(BB2:BB74,G2:G74,"GVFJ",E2:E74,"0560",F2:F74,"00")</f>
        <v>11650</v>
      </c>
      <c r="BC85" s="387">
        <f>SUMIFS(BC2:BC74,G2:G74,"GVFJ",E2:E74,"0560",F2:F74,"00")</f>
        <v>0</v>
      </c>
      <c r="BD85" s="387">
        <f>SUMIFS(BD2:BD74,G2:G74,"GVFJ",E2:E74,"0560",F2:F74,"00")</f>
        <v>2397.3663999999999</v>
      </c>
      <c r="BE85" s="387">
        <f>SUMIFS(BE2:BE74,G2:G74,"GVFJ",E2:E74,"0560",F2:F74,"00")</f>
        <v>560.67439999999999</v>
      </c>
      <c r="BF85" s="387">
        <f>SUMIFS(BF2:BF74,G2:G74,"GVFJ",E2:E74,"0560",F2:F74,"00")</f>
        <v>4616.8636799999995</v>
      </c>
      <c r="BG85" s="387">
        <f>SUMIFS(BG2:BG74,G2:G74,"GVFJ",E2:E74,"0560",F2:F74,"00")</f>
        <v>278.79051199999998</v>
      </c>
      <c r="BH85" s="387">
        <f>SUMIFS(BH2:BH74,G2:G74,"GVFJ",E2:E74,"0560",F2:F74,"00")</f>
        <v>189.46927999999997</v>
      </c>
      <c r="BI85" s="387">
        <f>SUMIFS(BI2:BI74,G2:G74,"GVFJ",E2:E74,"0560",F2:F74,"00")</f>
        <v>214.02295199999998</v>
      </c>
      <c r="BJ85" s="387">
        <f>SUMIFS(BJ2:BJ74,G2:G74,"GVFJ",E2:E74,"0560",F2:F74,"00")</f>
        <v>104.40143999999999</v>
      </c>
      <c r="BK85" s="387">
        <f>SUMIFS(BK2:BK74,G2:G74,"GVFJ",E2:E74,"0560",F2:F74,"00")</f>
        <v>0</v>
      </c>
      <c r="BL85" s="387">
        <f>SUMIFS(BL2:BL74,G2:G74,"GVFJ",E2:E74,"0560",F2:F74,"00")</f>
        <v>8361.588663999999</v>
      </c>
      <c r="BM85" s="387">
        <f>SUMIFS(BM2:BM74,G2:G74,"GVFJ",E2:E74,"0560",F2:F74,"00")</f>
        <v>0</v>
      </c>
      <c r="BN85" s="387">
        <f>SUMIFS(BN2:BN74,G2:G74,"GVFJ",E2:E74,"0560",F2:F74,"00")</f>
        <v>11650</v>
      </c>
      <c r="BO85" s="387">
        <f>SUMIFS(BO2:BO74,G2:G74,"GVFJ",E2:E74,"0560",F2:F74,"00")</f>
        <v>0</v>
      </c>
      <c r="BP85" s="387">
        <f>SUMIFS(BP2:BP74,G2:G74,"GVFJ",E2:E74,"0560",F2:F74,"00")</f>
        <v>2397.3663999999999</v>
      </c>
      <c r="BQ85" s="387">
        <f>SUMIFS(BQ2:BQ74,G2:G74,"GVFJ",E2:E74,"0560",F2:F74,"00")</f>
        <v>560.67439999999999</v>
      </c>
      <c r="BR85" s="387">
        <f>SUMIFS(BR2:BR74,G2:G74,"GVFJ",E2:E74,"0560",F2:F74,"00")</f>
        <v>4616.8636799999995</v>
      </c>
      <c r="BS85" s="387">
        <f>SUMIFS(BS2:BS74,G2:G74,"GVFJ",E2:E74,"0560",F2:F74,"00")</f>
        <v>278.79051199999998</v>
      </c>
      <c r="BT85" s="387">
        <f>SUMIFS(BT2:BT74,G2:G74,"GVFJ",E2:E74,"0560",F2:F74,"00")</f>
        <v>0</v>
      </c>
      <c r="BU85" s="387">
        <f>SUMIFS(BU2:BU74,G2:G74,"GVFJ",E2:E74,"0560",F2:F74,"00")</f>
        <v>214.02295199999998</v>
      </c>
      <c r="BV85" s="387">
        <f>SUMIFS(BV2:BV74,G2:G74,"GVFJ",E2:E74,"0560",F2:F74,"00")</f>
        <v>92.801279999999991</v>
      </c>
      <c r="BW85" s="387">
        <f>SUMIFS(BW2:BW74,G2:G74,"GVFJ",E2:E74,"0560",F2:F74,"00")</f>
        <v>0</v>
      </c>
      <c r="BX85" s="387">
        <f>SUMIFS(BX2:BX74,G2:G74,"GVFJ",E2:E74,"0560",F2:F74,"00")</f>
        <v>8160.5192239999988</v>
      </c>
      <c r="BY85" s="387">
        <f>SUMIFS(BY2:BY74,G2:G74,"GVFJ",E2:E74,"0560",F2:F74,"00")</f>
        <v>0</v>
      </c>
      <c r="BZ85" s="387">
        <f>SUMIFS(BZ2:BZ74,G2:G74,"GVFJ",E2:E74,"0560",F2:F74,"00")</f>
        <v>0</v>
      </c>
      <c r="CA85" s="387">
        <f>SUMIFS(CA2:CA74,G2:G74,"GVFJ",E2:E74,"0560",F2:F74,"00")</f>
        <v>0</v>
      </c>
      <c r="CB85" s="387">
        <f>SUMIFS(CB2:CB74,G2:G74,"GVFJ",E2:E74,"0560",F2:F74,"00")</f>
        <v>0</v>
      </c>
      <c r="CC85" s="387">
        <f>SUMIFS(CC2:CC74,G2:G74,"GVFJ",E2:E74,"0560",F2:F74,"00")</f>
        <v>0</v>
      </c>
      <c r="CD85" s="387">
        <f>SUMIFS(CD2:CD74,G2:G74,"GVFJ",E2:E74,"0560",F2:F74,"00")</f>
        <v>0</v>
      </c>
      <c r="CE85" s="387">
        <f>SUMIFS(CE2:CE74,G2:G74,"GVFJ",E2:E74,"0560",F2:F74,"00")</f>
        <v>0</v>
      </c>
      <c r="CF85" s="387">
        <f>SUMIFS(CF2:CF74,G2:G74,"GVFJ",E2:E74,"0560",F2:F74,"00")</f>
        <v>-189.46927999999997</v>
      </c>
      <c r="CG85" s="387">
        <f>SUMIFS(CG2:CG74,G2:G74,"GVFJ",E2:E74,"0560",F2:F74,"00")</f>
        <v>0</v>
      </c>
      <c r="CH85" s="387">
        <f>SUMIFS(CH2:CH74,G2:G74,"GVFJ",E2:E74,"0560",F2:F74,"00")</f>
        <v>-11.600160000000013</v>
      </c>
      <c r="CI85" s="387">
        <f>SUMIFS(CI2:CI74,G2:G74,"GVFJ",E2:E74,"0560",F2:F74,"00")</f>
        <v>0</v>
      </c>
      <c r="CJ85" s="387">
        <f>SUMIFS(CJ2:CJ74,G2:G74,"GVFJ",E2:E74,"0560",F2:F74,"00")</f>
        <v>-201.06943999999999</v>
      </c>
      <c r="CK85" s="387">
        <f>SUMIFS(CK2:CK74,G2:G74,"GVFJ",E2:E74,"0560",F2:F74,"00")</f>
        <v>0</v>
      </c>
      <c r="CL85" s="387">
        <f>SUMIFS(CL2:CL74,G2:G74,"GVFJ",E2:E74,"0560",F2:F74,"00")</f>
        <v>0</v>
      </c>
      <c r="CM85" s="387">
        <f>SUMIFS(CM2:CM74,G2:G74,"GVFJ",E2:E74,"0560",F2:F74,"00")</f>
        <v>0</v>
      </c>
    </row>
    <row r="86" spans="41:91" ht="18.75" x14ac:dyDescent="0.3">
      <c r="AQ86" s="393" t="s">
        <v>636</v>
      </c>
      <c r="AS86" s="394">
        <f t="shared" ref="AS86:CM86" si="119">SUM(AS85:AS85)</f>
        <v>1</v>
      </c>
      <c r="AT86" s="394">
        <f t="shared" si="119"/>
        <v>0</v>
      </c>
      <c r="AU86" s="394">
        <f t="shared" si="119"/>
        <v>1</v>
      </c>
      <c r="AV86" s="394">
        <f t="shared" si="119"/>
        <v>0</v>
      </c>
      <c r="AW86" s="394">
        <f t="shared" si="119"/>
        <v>1</v>
      </c>
      <c r="AX86" s="394">
        <f t="shared" si="119"/>
        <v>38667.199999999997</v>
      </c>
      <c r="AY86" s="394">
        <f t="shared" si="119"/>
        <v>38667.199999999997</v>
      </c>
      <c r="AZ86" s="394">
        <f t="shared" si="119"/>
        <v>0</v>
      </c>
      <c r="BA86" s="394">
        <f t="shared" si="119"/>
        <v>0</v>
      </c>
      <c r="BB86" s="394">
        <f t="shared" si="119"/>
        <v>11650</v>
      </c>
      <c r="BC86" s="394">
        <f t="shared" si="119"/>
        <v>0</v>
      </c>
      <c r="BD86" s="394">
        <f t="shared" si="119"/>
        <v>2397.3663999999999</v>
      </c>
      <c r="BE86" s="394">
        <f t="shared" si="119"/>
        <v>560.67439999999999</v>
      </c>
      <c r="BF86" s="394">
        <f t="shared" si="119"/>
        <v>4616.8636799999995</v>
      </c>
      <c r="BG86" s="394">
        <f t="shared" si="119"/>
        <v>278.79051199999998</v>
      </c>
      <c r="BH86" s="394">
        <f t="shared" si="119"/>
        <v>189.46927999999997</v>
      </c>
      <c r="BI86" s="394">
        <f t="shared" si="119"/>
        <v>214.02295199999998</v>
      </c>
      <c r="BJ86" s="394">
        <f t="shared" si="119"/>
        <v>104.40143999999999</v>
      </c>
      <c r="BK86" s="394">
        <f t="shared" si="119"/>
        <v>0</v>
      </c>
      <c r="BL86" s="394">
        <f t="shared" si="119"/>
        <v>8361.588663999999</v>
      </c>
      <c r="BM86" s="394">
        <f t="shared" si="119"/>
        <v>0</v>
      </c>
      <c r="BN86" s="394">
        <f t="shared" si="119"/>
        <v>11650</v>
      </c>
      <c r="BO86" s="394">
        <f t="shared" si="119"/>
        <v>0</v>
      </c>
      <c r="BP86" s="394">
        <f t="shared" si="119"/>
        <v>2397.3663999999999</v>
      </c>
      <c r="BQ86" s="394">
        <f t="shared" si="119"/>
        <v>560.67439999999999</v>
      </c>
      <c r="BR86" s="394">
        <f t="shared" si="119"/>
        <v>4616.8636799999995</v>
      </c>
      <c r="BS86" s="394">
        <f t="shared" si="119"/>
        <v>278.79051199999998</v>
      </c>
      <c r="BT86" s="394">
        <f t="shared" si="119"/>
        <v>0</v>
      </c>
      <c r="BU86" s="394">
        <f t="shared" si="119"/>
        <v>214.02295199999998</v>
      </c>
      <c r="BV86" s="394">
        <f t="shared" si="119"/>
        <v>92.801279999999991</v>
      </c>
      <c r="BW86" s="394">
        <f t="shared" si="119"/>
        <v>0</v>
      </c>
      <c r="BX86" s="394">
        <f t="shared" si="119"/>
        <v>8160.5192239999988</v>
      </c>
      <c r="BY86" s="394">
        <f t="shared" si="119"/>
        <v>0</v>
      </c>
      <c r="BZ86" s="394">
        <f t="shared" si="119"/>
        <v>0</v>
      </c>
      <c r="CA86" s="394">
        <f t="shared" si="119"/>
        <v>0</v>
      </c>
      <c r="CB86" s="394">
        <f t="shared" si="119"/>
        <v>0</v>
      </c>
      <c r="CC86" s="394">
        <f t="shared" si="119"/>
        <v>0</v>
      </c>
      <c r="CD86" s="394">
        <f t="shared" si="119"/>
        <v>0</v>
      </c>
      <c r="CE86" s="394">
        <f t="shared" si="119"/>
        <v>0</v>
      </c>
      <c r="CF86" s="394">
        <f t="shared" si="119"/>
        <v>-189.46927999999997</v>
      </c>
      <c r="CG86" s="394">
        <f t="shared" si="119"/>
        <v>0</v>
      </c>
      <c r="CH86" s="394">
        <f t="shared" si="119"/>
        <v>-11.600160000000013</v>
      </c>
      <c r="CI86" s="394">
        <f t="shared" si="119"/>
        <v>0</v>
      </c>
      <c r="CJ86" s="394">
        <f t="shared" si="119"/>
        <v>-201.06943999999999</v>
      </c>
      <c r="CK86" s="394">
        <f t="shared" si="119"/>
        <v>0</v>
      </c>
      <c r="CL86" s="394">
        <f t="shared" si="119"/>
        <v>0</v>
      </c>
      <c r="CM86" s="394">
        <f t="shared" si="119"/>
        <v>0</v>
      </c>
    </row>
    <row r="88" spans="41:91" ht="21" x14ac:dyDescent="0.35">
      <c r="AO88" s="251" t="s">
        <v>97</v>
      </c>
      <c r="AP88" s="251"/>
      <c r="AQ88" s="251"/>
    </row>
    <row r="90" spans="41:91" ht="21" x14ac:dyDescent="0.35">
      <c r="AO90" s="252"/>
      <c r="AP90" s="252"/>
      <c r="AQ90" s="252"/>
    </row>
    <row r="91" spans="41:91" ht="15.75" x14ac:dyDescent="0.25">
      <c r="AS91" s="373" t="s">
        <v>83</v>
      </c>
      <c r="AT91" s="475" t="s">
        <v>641</v>
      </c>
      <c r="AU91" s="475"/>
      <c r="AV91" s="476" t="s">
        <v>639</v>
      </c>
      <c r="AW91" s="475" t="s">
        <v>642</v>
      </c>
      <c r="AX91" s="475"/>
      <c r="AY91" s="476" t="s">
        <v>640</v>
      </c>
      <c r="AZ91" s="475" t="s">
        <v>643</v>
      </c>
      <c r="BA91" s="475"/>
    </row>
    <row r="92" spans="41:91" ht="15.75" x14ac:dyDescent="0.25">
      <c r="AS92" s="249"/>
      <c r="AT92" s="373" t="s">
        <v>94</v>
      </c>
      <c r="AU92" s="372" t="s">
        <v>96</v>
      </c>
      <c r="AV92" s="477"/>
      <c r="AW92" s="373" t="s">
        <v>98</v>
      </c>
      <c r="AX92" s="372" t="s">
        <v>95</v>
      </c>
      <c r="AY92" s="477"/>
      <c r="AZ92" s="373" t="s">
        <v>98</v>
      </c>
      <c r="BA92" s="372" t="s">
        <v>95</v>
      </c>
    </row>
    <row r="93" spans="41:91" x14ac:dyDescent="0.25">
      <c r="AO93" s="392" t="s">
        <v>644</v>
      </c>
    </row>
    <row r="94" spans="41:91" x14ac:dyDescent="0.25">
      <c r="AQ94" t="s">
        <v>616</v>
      </c>
      <c r="AS94" s="387">
        <f>SUM(SUMIFS(AS2:AS74,CN2:CN74,AQ94,E2:E74,"0550",F2:F74,"01",AT2:AT74,{1,3}))</f>
        <v>61</v>
      </c>
      <c r="AT94" s="387">
        <f>SUMPRODUCT(--(CN2:CN74=AQ94),--(N2:N74&lt;&gt;"NG"),--(AG2:AG74&lt;&gt;"D"),--(AR2:AR74&lt;&gt;6),--(AR2:AR74&lt;&gt;36),--(AR2:AR74&lt;&gt;56),T2:T74)+SUMPRODUCT(--(CN2:CN74=AQ94),--(N2:N74&lt;&gt;"NG"),--(AG2:AG74&lt;&gt;"D"),--(AR2:AR74&lt;&gt;6),--(AR2:AR74&lt;&gt;36),--(AR2:AR74&lt;&gt;56),U2:U74)</f>
        <v>2938042.0199999996</v>
      </c>
      <c r="AU94" s="387">
        <f>SUMPRODUCT(--(CN2:CN74=AQ94),--(N2:N74&lt;&gt;"NG"),--(AG2:AG74&lt;&gt;"D"),--(AR2:AR74&lt;&gt;6),--(AR2:AR74&lt;&gt;36),--(AR2:AR74&lt;&gt;56),V2:V74)</f>
        <v>1303910.1299999999</v>
      </c>
      <c r="AV94" s="387">
        <f>SUMPRODUCT(--(CN2:CN74=AQ94),AY2:AY74)+SUMPRODUCT(--(CN2:CN74=AQ94),AZ2:AZ74)</f>
        <v>3116734.3999999985</v>
      </c>
      <c r="AW94" s="387">
        <f>SUMPRODUCT(--(CN2:CN74=AQ94),BB2:BB74)+SUMPRODUCT(--(CN2:CN74=AQ94),BC2:BC74)</f>
        <v>710650</v>
      </c>
      <c r="AX94" s="387">
        <f>SUMPRODUCT(--(CN2:CN74=AQ94),BL2:BL74)+SUMPRODUCT(--(CN2:CN74=AQ94),BM2:BM74)</f>
        <v>667824.69848800031</v>
      </c>
      <c r="AY94" s="387">
        <f>SUMPRODUCT(--(CN2:CN74=AQ94),AY2:AY74)+SUMPRODUCT(--(CN2:CN74=AQ94),AZ2:AZ74)+SUMPRODUCT(--(CN2:CN74=AQ94),BA2:BA74)</f>
        <v>3116734.3999999985</v>
      </c>
      <c r="AZ94" s="387">
        <f>SUMPRODUCT(--(CN2:CN74=AQ94),BN2:BN74)+SUMPRODUCT(--(CN2:CN74=AQ94),BO2:BO74)</f>
        <v>710650</v>
      </c>
      <c r="BA94" s="387">
        <f>SUMPRODUCT(--(CN2:CN74=AQ94),BX2:BX74)+SUMPRODUCT(--(CN2:CN74=AQ94),BY2:BY74)</f>
        <v>652842.59832799993</v>
      </c>
    </row>
    <row r="95" spans="41:91" x14ac:dyDescent="0.25">
      <c r="AQ95" t="s">
        <v>623</v>
      </c>
      <c r="AS95" s="387">
        <f>SUM(SUMIFS(AS2:AS74,CN2:CN74,AQ95,E2:E74,"0550",F2:F74,"02",AT2:AT74,{1,3}))</f>
        <v>3</v>
      </c>
      <c r="AT95" s="387">
        <f>SUMPRODUCT(--(CN2:CN74=AQ95),--(N2:N74&lt;&gt;"NG"),--(AG2:AG74&lt;&gt;"D"),--(AR2:AR74&lt;&gt;6),--(AR2:AR74&lt;&gt;36),--(AR2:AR74&lt;&gt;56),T2:T74)+SUMPRODUCT(--(CN2:CN74=AQ95),--(N2:N74&lt;&gt;"NG"),--(AG2:AG74&lt;&gt;"D"),--(AR2:AR74&lt;&gt;6),--(AR2:AR74&lt;&gt;36),--(AR2:AR74&lt;&gt;56),U2:U74)</f>
        <v>525642.04</v>
      </c>
      <c r="AU95" s="387">
        <f>SUMPRODUCT(--(CN2:CN74=AQ95),--(N2:N74&lt;&gt;"NG"),--(AG2:AG74&lt;&gt;"D"),--(AR2:AR74&lt;&gt;6),--(AR2:AR74&lt;&gt;36),--(AR2:AR74&lt;&gt;56),V2:V74)</f>
        <v>130977.06999999999</v>
      </c>
      <c r="AV95" s="387">
        <f>SUMPRODUCT(--(CN2:CN74=AQ95),AY2:AY74)+SUMPRODUCT(--(CN2:CN74=AQ95),AZ2:AZ74)</f>
        <v>533208</v>
      </c>
      <c r="AW95" s="387">
        <f>SUMPRODUCT(--(CN2:CN74=AQ95),BB2:BB74)+SUMPRODUCT(--(CN2:CN74=AQ95),BC2:BC74)</f>
        <v>34950</v>
      </c>
      <c r="AX95" s="387">
        <f>SUMPRODUCT(--(CN2:CN74=AQ95),BL2:BL74)+SUMPRODUCT(--(CN2:CN74=AQ95),BM2:BM74)</f>
        <v>99743.72306400002</v>
      </c>
      <c r="AY95" s="387">
        <f>SUMPRODUCT(--(CN2:CN74=AQ95),AY2:AY74)+SUMPRODUCT(--(CN2:CN74=AQ95),AZ2:AZ74)+SUMPRODUCT(--(CN2:CN74=AQ95),BA2:BA74)</f>
        <v>533208</v>
      </c>
      <c r="AZ95" s="387">
        <f>SUMPRODUCT(--(CN2:CN74=AQ95),BN2:BN74)+SUMPRODUCT(--(CN2:CN74=AQ95),BO2:BO74)</f>
        <v>34950</v>
      </c>
      <c r="BA95" s="387">
        <f>SUMPRODUCT(--(CN2:CN74=AQ95),BX2:BX74)+SUMPRODUCT(--(CN2:CN74=AQ95),BY2:BY74)</f>
        <v>97603.441464000018</v>
      </c>
    </row>
    <row r="96" spans="41:91" x14ac:dyDescent="0.25">
      <c r="AP96" t="s">
        <v>645</v>
      </c>
      <c r="AS96" s="398">
        <f t="shared" ref="AS96:BA96" si="120">SUM(AS94:AS95)</f>
        <v>64</v>
      </c>
      <c r="AT96" s="398">
        <f t="shared" si="120"/>
        <v>3463684.0599999996</v>
      </c>
      <c r="AU96" s="398">
        <f t="shared" si="120"/>
        <v>1434887.2</v>
      </c>
      <c r="AV96" s="398">
        <f t="shared" si="120"/>
        <v>3649942.3999999985</v>
      </c>
      <c r="AW96" s="398">
        <f t="shared" si="120"/>
        <v>745600</v>
      </c>
      <c r="AX96" s="398">
        <f t="shared" si="120"/>
        <v>767568.42155200033</v>
      </c>
      <c r="AY96" s="398">
        <f t="shared" si="120"/>
        <v>3649942.3999999985</v>
      </c>
      <c r="AZ96" s="398">
        <f t="shared" si="120"/>
        <v>745600</v>
      </c>
      <c r="BA96" s="398">
        <f t="shared" si="120"/>
        <v>750446.03979199997</v>
      </c>
    </row>
    <row r="97" spans="41:151" x14ac:dyDescent="0.25">
      <c r="AQ97" t="s">
        <v>632</v>
      </c>
      <c r="AS97" s="387">
        <f>SUM(SUMIFS(AS2:AS74,CN2:CN74,AQ97,E2:E74,"0560",F2:F74,"00",AT2:AT74,{1,3}))</f>
        <v>1</v>
      </c>
      <c r="AT97" s="387">
        <f>SUMPRODUCT(--(CN2:CN74=AQ97),--(N2:N74&lt;&gt;"NG"),--(AG2:AG74&lt;&gt;"D"),--(AR2:AR74&lt;&gt;6),--(AR2:AR74&lt;&gt;36),--(AR2:AR74&lt;&gt;56),T2:T74)+SUMPRODUCT(--(CN2:CN74=AQ97),--(N2:N74&lt;&gt;"NG"),--(AG2:AG74&lt;&gt;"D"),--(AR2:AR74&lt;&gt;6),--(AR2:AR74&lt;&gt;36),--(AR2:AR74&lt;&gt;56),U2:U74)</f>
        <v>36161.56</v>
      </c>
      <c r="AU97" s="387">
        <f>SUMPRODUCT(--(CN2:CN74=AQ97),--(N2:N74&lt;&gt;"NG"),--(AG2:AG74&lt;&gt;"D"),--(AR2:AR74&lt;&gt;6),--(AR2:AR74&lt;&gt;36),--(AR2:AR74&lt;&gt;56),V2:V74)</f>
        <v>19228.939999999999</v>
      </c>
      <c r="AV97" s="387">
        <f>SUMPRODUCT(--(CN2:CN74=AQ97),AY2:AY74)+SUMPRODUCT(--(CN2:CN74=AQ97),AZ2:AZ74)</f>
        <v>38667.199999999997</v>
      </c>
      <c r="AW97" s="387">
        <f>SUMPRODUCT(--(CN2:CN74=AQ97),BB2:BB74)+SUMPRODUCT(--(CN2:CN74=AQ97),BC2:BC74)</f>
        <v>11650</v>
      </c>
      <c r="AX97" s="387">
        <f>SUMPRODUCT(--(CN2:CN74=AQ97),BL2:BL74)+SUMPRODUCT(--(CN2:CN74=AQ97),BM2:BM74)</f>
        <v>8361.588663999999</v>
      </c>
      <c r="AY97" s="387">
        <f>SUMPRODUCT(--(CN2:CN74=AQ97),AY2:AY74)+SUMPRODUCT(--(CN2:CN74=AQ97),AZ2:AZ74)+SUMPRODUCT(--(CN2:CN74=AQ97),BA2:BA74)</f>
        <v>38667.199999999997</v>
      </c>
      <c r="AZ97" s="387">
        <f>SUMPRODUCT(--(CN2:CN74=AQ97),BN2:BN74)+SUMPRODUCT(--(CN2:CN74=AQ97),BO2:BO74)</f>
        <v>11650</v>
      </c>
      <c r="BA97" s="387">
        <f>SUMPRODUCT(--(CN2:CN74=AQ97),BX2:BX74)+SUMPRODUCT(--(CN2:CN74=AQ97),BY2:BY74)</f>
        <v>8160.5192239999988</v>
      </c>
    </row>
    <row r="98" spans="41:151" x14ac:dyDescent="0.25">
      <c r="AP98" t="s">
        <v>646</v>
      </c>
      <c r="AS98" s="398">
        <f t="shared" ref="AS98:BA98" si="121">SUM(AS97:AS97)</f>
        <v>1</v>
      </c>
      <c r="AT98" s="398">
        <f t="shared" si="121"/>
        <v>36161.56</v>
      </c>
      <c r="AU98" s="398">
        <f t="shared" si="121"/>
        <v>19228.939999999999</v>
      </c>
      <c r="AV98" s="398">
        <f t="shared" si="121"/>
        <v>38667.199999999997</v>
      </c>
      <c r="AW98" s="398">
        <f t="shared" si="121"/>
        <v>11650</v>
      </c>
      <c r="AX98" s="398">
        <f t="shared" si="121"/>
        <v>8361.588663999999</v>
      </c>
      <c r="AY98" s="398">
        <f t="shared" si="121"/>
        <v>38667.199999999997</v>
      </c>
      <c r="AZ98" s="398">
        <f t="shared" si="121"/>
        <v>11650</v>
      </c>
      <c r="BA98" s="398">
        <f t="shared" si="121"/>
        <v>8160.5192239999988</v>
      </c>
    </row>
    <row r="99" spans="41:151" x14ac:dyDescent="0.25">
      <c r="AS99" s="387"/>
      <c r="AT99" s="387"/>
      <c r="AU99" s="387"/>
      <c r="AV99" s="387"/>
      <c r="AW99" s="387"/>
      <c r="AX99" s="387"/>
      <c r="AY99" s="387"/>
      <c r="AZ99" s="387"/>
      <c r="BA99" s="387"/>
    </row>
    <row r="100" spans="41:151" x14ac:dyDescent="0.25">
      <c r="AO100" s="396" t="s">
        <v>647</v>
      </c>
      <c r="AS100" s="399">
        <f t="shared" ref="AS100:BA100" si="122">SUM(AS96,AS98)</f>
        <v>65</v>
      </c>
      <c r="AT100" s="399">
        <f t="shared" si="122"/>
        <v>3499845.6199999996</v>
      </c>
      <c r="AU100" s="399">
        <f t="shared" si="122"/>
        <v>1454116.14</v>
      </c>
      <c r="AV100" s="399">
        <f t="shared" si="122"/>
        <v>3688609.5999999987</v>
      </c>
      <c r="AW100" s="399">
        <f t="shared" si="122"/>
        <v>757250</v>
      </c>
      <c r="AX100" s="399">
        <f t="shared" si="122"/>
        <v>775930.01021600037</v>
      </c>
      <c r="AY100" s="399">
        <f t="shared" si="122"/>
        <v>3688609.5999999987</v>
      </c>
      <c r="AZ100" s="399">
        <f t="shared" si="122"/>
        <v>757250</v>
      </c>
      <c r="BA100" s="399">
        <f t="shared" si="122"/>
        <v>758606.55901600001</v>
      </c>
    </row>
    <row r="101" spans="41:151" x14ac:dyDescent="0.25">
      <c r="AS101" s="387"/>
      <c r="AT101" s="387"/>
      <c r="AU101" s="387"/>
      <c r="AV101" s="387"/>
      <c r="AW101" s="387"/>
      <c r="AX101" s="387"/>
      <c r="AY101" s="387"/>
      <c r="AZ101" s="387"/>
      <c r="BA101" s="387"/>
    </row>
    <row r="102" spans="41:151" x14ac:dyDescent="0.25">
      <c r="AO102" s="392" t="s">
        <v>648</v>
      </c>
      <c r="AS102" s="387"/>
      <c r="AT102" s="387"/>
      <c r="AU102" s="387"/>
      <c r="AV102" s="387"/>
      <c r="AW102" s="387"/>
      <c r="AX102" s="387"/>
      <c r="AY102" s="387"/>
      <c r="AZ102" s="387"/>
      <c r="BA102" s="387"/>
    </row>
    <row r="103" spans="41:151" x14ac:dyDescent="0.25">
      <c r="AQ103" t="s">
        <v>616</v>
      </c>
      <c r="AS103" s="387"/>
      <c r="AT103" s="387">
        <f>SUMIF(CN2:CN74,AQ103,CL2:CL74)</f>
        <v>11837.6</v>
      </c>
      <c r="AU103" s="387">
        <f>SUMIF(CN2:CN74,AQ103,CM2:CM74)</f>
        <v>6427.65</v>
      </c>
      <c r="AV103" s="387">
        <f>SUMIF(CN2:CN74,AQ103,CL2:CL74)</f>
        <v>11837.6</v>
      </c>
      <c r="AW103" s="387">
        <v>0</v>
      </c>
      <c r="AX103" s="387">
        <f>SUMIF(CN2:CN74,AQ103,CM2:CM74)</f>
        <v>6427.65</v>
      </c>
      <c r="AY103" s="387">
        <f>SUMIF(CN2:CN74,AQ103,CL2:CL74)</f>
        <v>11837.6</v>
      </c>
      <c r="AZ103" s="387">
        <v>0</v>
      </c>
      <c r="BA103" s="387">
        <f>SUMIF(CN2:CN74,AQ103,CM2:CM74)</f>
        <v>6427.65</v>
      </c>
    </row>
    <row r="104" spans="41:151" x14ac:dyDescent="0.25">
      <c r="AP104" t="s">
        <v>645</v>
      </c>
      <c r="AS104" s="398"/>
      <c r="AT104" s="398">
        <f t="shared" ref="AT104:BA104" si="123">SUM(AT103:AT103)</f>
        <v>11837.6</v>
      </c>
      <c r="AU104" s="398">
        <f t="shared" si="123"/>
        <v>6427.65</v>
      </c>
      <c r="AV104" s="398">
        <f t="shared" si="123"/>
        <v>11837.6</v>
      </c>
      <c r="AW104" s="398">
        <f t="shared" si="123"/>
        <v>0</v>
      </c>
      <c r="AX104" s="398">
        <f t="shared" si="123"/>
        <v>6427.65</v>
      </c>
      <c r="AY104" s="398">
        <f t="shared" si="123"/>
        <v>11837.6</v>
      </c>
      <c r="AZ104" s="398">
        <f t="shared" si="123"/>
        <v>0</v>
      </c>
      <c r="BA104" s="398">
        <f t="shared" si="123"/>
        <v>6427.65</v>
      </c>
    </row>
    <row r="105" spans="41:151" x14ac:dyDescent="0.25">
      <c r="AS105" s="387"/>
      <c r="AT105" s="387"/>
      <c r="AU105" s="387"/>
      <c r="AV105" s="387"/>
      <c r="AW105" s="387"/>
      <c r="AX105" s="387"/>
      <c r="AY105" s="387"/>
      <c r="AZ105" s="387"/>
      <c r="BA105" s="387"/>
    </row>
    <row r="106" spans="41:151" x14ac:dyDescent="0.25">
      <c r="AO106" s="396" t="s">
        <v>649</v>
      </c>
      <c r="AS106" s="399">
        <f t="shared" ref="AS106:BA106" si="124">SUM(AS104)</f>
        <v>0</v>
      </c>
      <c r="AT106" s="399">
        <f t="shared" si="124"/>
        <v>11837.6</v>
      </c>
      <c r="AU106" s="399">
        <f t="shared" si="124"/>
        <v>6427.65</v>
      </c>
      <c r="AV106" s="399">
        <f t="shared" si="124"/>
        <v>11837.6</v>
      </c>
      <c r="AW106" s="399">
        <f t="shared" si="124"/>
        <v>0</v>
      </c>
      <c r="AX106" s="399">
        <f t="shared" si="124"/>
        <v>6427.65</v>
      </c>
      <c r="AY106" s="399">
        <f t="shared" si="124"/>
        <v>11837.6</v>
      </c>
      <c r="AZ106" s="399">
        <f t="shared" si="124"/>
        <v>0</v>
      </c>
      <c r="BA106" s="399">
        <f t="shared" si="124"/>
        <v>6427.65</v>
      </c>
      <c r="EO106" s="392"/>
      <c r="EU106" s="392"/>
    </row>
    <row r="107" spans="41:151" x14ac:dyDescent="0.25">
      <c r="AS107" s="387"/>
      <c r="AT107" s="387"/>
      <c r="AU107" s="387"/>
      <c r="AV107" s="387"/>
      <c r="AW107" s="387"/>
      <c r="AX107" s="387"/>
      <c r="AY107" s="387"/>
      <c r="AZ107" s="387"/>
      <c r="BA107" s="387"/>
    </row>
    <row r="108" spans="41:151" x14ac:dyDescent="0.25">
      <c r="AO108" s="397" t="s">
        <v>650</v>
      </c>
      <c r="AS108" s="400">
        <f t="shared" ref="AS108:BA108" si="125">SUM(AS100,AS106)</f>
        <v>65</v>
      </c>
      <c r="AT108" s="401">
        <f t="shared" si="125"/>
        <v>3511683.2199999997</v>
      </c>
      <c r="AU108" s="401">
        <f t="shared" si="125"/>
        <v>1460543.7899999998</v>
      </c>
      <c r="AV108" s="401">
        <f t="shared" si="125"/>
        <v>3700447.1999999988</v>
      </c>
      <c r="AW108" s="401">
        <f t="shared" si="125"/>
        <v>757250</v>
      </c>
      <c r="AX108" s="401">
        <f t="shared" si="125"/>
        <v>782357.6602160004</v>
      </c>
      <c r="AY108" s="401">
        <f t="shared" si="125"/>
        <v>3700447.1999999988</v>
      </c>
      <c r="AZ108" s="401">
        <f t="shared" si="125"/>
        <v>757250</v>
      </c>
      <c r="BA108" s="401">
        <f t="shared" si="125"/>
        <v>765034.20901600004</v>
      </c>
    </row>
  </sheetData>
  <mergeCells count="5">
    <mergeCell ref="AT91:AU91"/>
    <mergeCell ref="AV91:AV92"/>
    <mergeCell ref="AW91:AX91"/>
    <mergeCell ref="AY91:AY92"/>
    <mergeCell ref="AZ91:BA9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2.7000000000000001E-3</v>
      </c>
      <c r="D8" s="234">
        <v>2.3999999999999998E-3</v>
      </c>
      <c r="E8" s="314">
        <f t="shared" si="0"/>
        <v>-3.0000000000000035E-4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9.6844999999999987E-2</v>
      </c>
      <c r="D12" s="234">
        <f>SUM(D5:D11)</f>
        <v>9.164499999999999E-2</v>
      </c>
      <c r="E12" s="315">
        <f>D12-C12</f>
        <v>-5.1999999999999963E-3</v>
      </c>
      <c r="M12" s="320"/>
    </row>
    <row r="13" spans="1:15" x14ac:dyDescent="0.3">
      <c r="A13" s="3"/>
      <c r="B13" s="231" t="s">
        <v>9</v>
      </c>
      <c r="C13" s="226">
        <f>SUM(C5:C8)</f>
        <v>8.4099999999999994E-2</v>
      </c>
      <c r="D13" s="226">
        <f>SUM(D5:D8)</f>
        <v>7.8899999999999998E-2</v>
      </c>
      <c r="E13" s="313">
        <f t="shared" si="0"/>
        <v>-5.1999999999999963E-3</v>
      </c>
      <c r="F13" s="8"/>
    </row>
    <row r="14" spans="1:15" x14ac:dyDescent="0.3">
      <c r="A14" s="230"/>
      <c r="B14" s="232" t="s">
        <v>102</v>
      </c>
      <c r="C14" s="226">
        <f>SUM(C5:C6,C8:C9)</f>
        <v>8.6409999999999987E-2</v>
      </c>
      <c r="D14" s="226">
        <f>SUM(D5:D6,D8:D9)</f>
        <v>8.6109999999999992E-2</v>
      </c>
      <c r="E14" s="313">
        <f>D14-C14</f>
        <v>-2.9999999999999472E-4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9" priority="5">
      <formula>$J$44&lt;0</formula>
    </cfRule>
  </conditionalFormatting>
  <conditionalFormatting sqref="K43">
    <cfRule type="expression" dxfId="8" priority="4">
      <formula>$J$43&lt;0</formula>
    </cfRule>
  </conditionalFormatting>
  <conditionalFormatting sqref="L16">
    <cfRule type="expression" dxfId="7" priority="3">
      <formula>$J$16&lt;0</formula>
    </cfRule>
  </conditionalFormatting>
  <conditionalFormatting sqref="K45">
    <cfRule type="expression" dxfId="6" priority="2">
      <formula>$J$44&lt;0</formula>
    </cfRule>
  </conditionalFormatting>
  <conditionalFormatting sqref="K43:N45">
    <cfRule type="containsText" dxfId="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4"/>
  <sheetViews>
    <sheetView topLeftCell="A38" workbookViewId="0">
      <selection activeCell="A46" sqref="A46:L54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618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"&amp;'GVFA|0550-01'!FiscalYear-1&amp;" SALARY"</f>
        <v>FY 2022 SALARY</v>
      </c>
      <c r="F2" s="50" t="str">
        <f>"FY "&amp;'GVFA|0550-01'!FiscalYear-1&amp;" HEALTH BENEFITS"</f>
        <v>FY 2022 HEALTH BENEFITS</v>
      </c>
      <c r="G2" s="50" t="str">
        <f>"FY "&amp;'GVFA|0550-01'!FiscalYear-1&amp;" VAR BENEFITS"</f>
        <v>FY 2022 VAR BENEFITS</v>
      </c>
      <c r="H2" s="50" t="str">
        <f>"FY "&amp;'GVFA|0550-01'!FiscalYear-1&amp;" TOTAL"</f>
        <v>FY 2022 TOTAL</v>
      </c>
      <c r="I2" s="50" t="str">
        <f>"FY "&amp;'GVFA|0550-01'!FiscalYear&amp;" SALARY CHANGE"</f>
        <v>FY 2023 SALARY CHANGE</v>
      </c>
      <c r="J2" s="50" t="str">
        <f>"FY "&amp;'GVFA|0550-01'!FiscalYear&amp;" CHG HEALTH BENEFITS"</f>
        <v>FY 2023 CHG HEALTH BENEFITS</v>
      </c>
      <c r="K2" s="50" t="str">
        <f>"FY "&amp;'GVFA|0550-01'!FiscalYear&amp;"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[0]!GVFA055001col_INC_FTI</f>
        <v>61</v>
      </c>
      <c r="E4" s="218">
        <f>[0]!GVFA055001col_FTI_SALARY_PERM</f>
        <v>3116734.3999999985</v>
      </c>
      <c r="F4" s="218">
        <f>[0]!GVFA055001col_HEALTH_PERM</f>
        <v>710650</v>
      </c>
      <c r="G4" s="218">
        <f>[0]!GVFA055001col_TOT_VB_PERM</f>
        <v>667824.69848800031</v>
      </c>
      <c r="H4" s="219">
        <f>SUM(E4:G4)</f>
        <v>4495209.0984879993</v>
      </c>
      <c r="I4" s="219">
        <f>[0]!GVFA055001col_1_27TH_PP</f>
        <v>0</v>
      </c>
      <c r="J4" s="218">
        <f>[0]!GVFA055001col_HEALTH_PERM_CHG</f>
        <v>0</v>
      </c>
      <c r="K4" s="218">
        <f>[0]!GVFA055001col_TOT_VB_PERM_CHG</f>
        <v>-14982.100160000004</v>
      </c>
      <c r="L4" s="218">
        <f>SUM(J4:K4)</f>
        <v>-14982.100160000004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[0]!GVFA055001col_Group_Salary</f>
        <v>11837.6</v>
      </c>
      <c r="F5" s="218">
        <v>0</v>
      </c>
      <c r="G5" s="218">
        <f>[0]!GVFA055001col_Group_Ben</f>
        <v>6427.65</v>
      </c>
      <c r="H5" s="219">
        <f>SUM(E5:G5)</f>
        <v>18265.25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[0]!GVFA055001col_TOTAL_ELECT_PCN_FTI</f>
        <v>0</v>
      </c>
      <c r="E6" s="218">
        <f>[0]!GVFA055001col_FTI_SALARY_ELECT</f>
        <v>0</v>
      </c>
      <c r="F6" s="218">
        <f>[0]!GVFA055001col_HEALTH_ELECT</f>
        <v>0</v>
      </c>
      <c r="G6" s="218">
        <f>[0]!GVFA055001col_TOT_VB_ELECT</f>
        <v>0</v>
      </c>
      <c r="H6" s="219">
        <f>SUM(E6:G6)</f>
        <v>0</v>
      </c>
      <c r="I6" s="268"/>
      <c r="J6" s="218">
        <f>[0]!GVFA055001col_HEALTH_ELECT_CHG</f>
        <v>0</v>
      </c>
      <c r="K6" s="218">
        <f>[0]!GVFA055001col_TOT_VB_ELECT_CHG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61</v>
      </c>
      <c r="E7" s="221">
        <f>SUM(E4:E6)</f>
        <v>3128571.9999999986</v>
      </c>
      <c r="F7" s="221">
        <f>SUM(F4:F6)</f>
        <v>710650</v>
      </c>
      <c r="G7" s="221">
        <f>SUM(G4:G6)</f>
        <v>674252.34848800034</v>
      </c>
      <c r="H7" s="219">
        <f>SUM(E7:G7)</f>
        <v>4513474.3484879993</v>
      </c>
      <c r="I7" s="268"/>
      <c r="J7" s="219">
        <f>SUM(J4:J6)</f>
        <v>0</v>
      </c>
      <c r="K7" s="219">
        <f>SUM(K4:K6)</f>
        <v>-14982.100160000004</v>
      </c>
      <c r="L7" s="219">
        <f>SUM(L4:L6)</f>
        <v>-14982.100160000004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"&amp;'GVFA|0550-01'!FiscalYear-1</f>
        <v>FY 2022</v>
      </c>
      <c r="B9" s="158" t="s">
        <v>31</v>
      </c>
      <c r="C9" s="355">
        <v>5098300</v>
      </c>
      <c r="D9" s="55">
        <v>68</v>
      </c>
      <c r="E9" s="223">
        <f>IF('GVFA|0550-01'!OrigApprop=0,0,(E7/H7)*'GVFA|0550-01'!OrigApprop)</f>
        <v>3533951.3191081565</v>
      </c>
      <c r="F9" s="223">
        <f>IF('GVFA|0550-01'!OrigApprop=0,0,(F7/H7)*'GVFA|0550-01'!OrigApprop)</f>
        <v>802731.24765043368</v>
      </c>
      <c r="G9" s="223">
        <f>IF(E9=0,0,(G7/H7)*'GVFA|0550-01'!OrigApprop)</f>
        <v>761617.43324140925</v>
      </c>
      <c r="H9" s="223">
        <f>SUM(E9:G9)</f>
        <v>5098299.9999999991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7</v>
      </c>
      <c r="E10" s="162">
        <f>E9-E7</f>
        <v>405379.31910815788</v>
      </c>
      <c r="F10" s="162">
        <f>F9-F7</f>
        <v>92081.247650433681</v>
      </c>
      <c r="G10" s="162">
        <f>G9-G7</f>
        <v>87365.084753408912</v>
      </c>
      <c r="H10" s="162">
        <f>H9-H7</f>
        <v>584825.65151199978</v>
      </c>
      <c r="I10" s="269"/>
      <c r="J10" s="56" t="str">
        <f>IF('GVFA|0550-01'!OrigApprop=0,"ERROR! Enter Original Appropriation amount in DU 3.00!","Calculated "&amp;IF('GVFA|0550-01'!AdjustedTotal&gt;0,"overfunding ","underfunding ")&amp;"is "&amp;TEXT('GVFA|0550-01'!AdjustedTotal/'GVFA|0550-01'!AppropTotal,"#.0%;(#.0% );0% ;")&amp;" of Original Appropriation")</f>
        <v>Calculated overfunding is 11.5% of Original Appropriation</v>
      </c>
      <c r="K10" s="163"/>
      <c r="L10" s="164"/>
    </row>
    <row r="12" spans="1:12" x14ac:dyDescent="0.25">
      <c r="A12" s="395" t="s">
        <v>625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"&amp;'GVFB|0550-02'!FiscalYear-1&amp;" SALARY"</f>
        <v>FY 2022 SALARY</v>
      </c>
      <c r="F13" s="50" t="str">
        <f>"FY "&amp;'GVFB|0550-02'!FiscalYear-1&amp;" HEALTH BENEFITS"</f>
        <v>FY 2022 HEALTH BENEFITS</v>
      </c>
      <c r="G13" s="50" t="str">
        <f>"FY "&amp;'GVFB|0550-02'!FiscalYear-1&amp;" VAR BENEFITS"</f>
        <v>FY 2022 VAR BENEFITS</v>
      </c>
      <c r="H13" s="50" t="str">
        <f>"FY "&amp;'GVFB|0550-02'!FiscalYear-1&amp;" TOTAL"</f>
        <v>FY 2022 TOTAL</v>
      </c>
      <c r="I13" s="50" t="str">
        <f>"FY "&amp;'GVFB|0550-02'!FiscalYear&amp;" SALARY CHANGE"</f>
        <v>FY 2023 SALARY CHANGE</v>
      </c>
      <c r="J13" s="50" t="str">
        <f>"FY "&amp;'GVFB|0550-02'!FiscalYear&amp;" CHG HEALTH BENEFITS"</f>
        <v>FY 2023 CHG HEALTH BENEFITS</v>
      </c>
      <c r="K13" s="50" t="str">
        <f>"FY "&amp;'GVFB|0550-02'!FiscalYear&amp;"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[0]!GVFB055002col_INC_FTI</f>
        <v>3</v>
      </c>
      <c r="E15" s="218">
        <f>[0]!GVFB055002col_FTI_SALARY_PERM</f>
        <v>533208</v>
      </c>
      <c r="F15" s="218">
        <f>[0]!GVFB055002col_HEALTH_PERM</f>
        <v>34950</v>
      </c>
      <c r="G15" s="218">
        <f>[0]!GVFB055002col_TOT_VB_PERM</f>
        <v>99743.72306400002</v>
      </c>
      <c r="H15" s="219">
        <f>SUM(E15:G15)</f>
        <v>667901.72306400002</v>
      </c>
      <c r="I15" s="219">
        <f>[0]!GVFB055002col_1_27TH_PP</f>
        <v>0</v>
      </c>
      <c r="J15" s="218">
        <f>[0]!GVFB055002col_HEALTH_PERM_CHG</f>
        <v>0</v>
      </c>
      <c r="K15" s="218">
        <f>[0]!GVFB055002col_TOT_VB_PERM_CHG</f>
        <v>-2140.2815999999989</v>
      </c>
      <c r="L15" s="218">
        <f>SUM(J15:K15)</f>
        <v>-2140.2815999999989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[0]!GVFB055002col_Group_Salary</f>
        <v>0</v>
      </c>
      <c r="F16" s="218">
        <v>0</v>
      </c>
      <c r="G16" s="218">
        <f>[0]!GVFB055002col_Group_Ben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[0]!GVFB055002col_TOTAL_ELECT_PCN_FTI</f>
        <v>0</v>
      </c>
      <c r="E17" s="218">
        <f>[0]!GVFB055002col_FTI_SALARY_ELECT</f>
        <v>0</v>
      </c>
      <c r="F17" s="218">
        <f>[0]!GVFB055002col_HEALTH_ELECT</f>
        <v>0</v>
      </c>
      <c r="G17" s="218">
        <f>[0]!GVFB055002col_TOT_VB_ELECT</f>
        <v>0</v>
      </c>
      <c r="H17" s="219">
        <f>SUM(E17:G17)</f>
        <v>0</v>
      </c>
      <c r="I17" s="268"/>
      <c r="J17" s="218">
        <f>[0]!GVFB055002col_HEALTH_ELECT_CHG</f>
        <v>0</v>
      </c>
      <c r="K17" s="218">
        <f>[0]!GVFB055002col_TOT_VB_ELECT_CHG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3</v>
      </c>
      <c r="E18" s="221">
        <f>SUM(E15:E17)</f>
        <v>533208</v>
      </c>
      <c r="F18" s="221">
        <f>SUM(F15:F17)</f>
        <v>34950</v>
      </c>
      <c r="G18" s="221">
        <f>SUM(G15:G17)</f>
        <v>99743.72306400002</v>
      </c>
      <c r="H18" s="219">
        <f>SUM(E18:G18)</f>
        <v>667901.72306400002</v>
      </c>
      <c r="I18" s="268"/>
      <c r="J18" s="219">
        <f>SUM(J15:J17)</f>
        <v>0</v>
      </c>
      <c r="K18" s="219">
        <f>SUM(K15:K17)</f>
        <v>-2140.2815999999989</v>
      </c>
      <c r="L18" s="219">
        <f>SUM(L15:L17)</f>
        <v>-2140.2815999999989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"&amp;'GVFB|0550-02'!FiscalYear-1</f>
        <v>FY 2022</v>
      </c>
      <c r="B20" s="158" t="s">
        <v>31</v>
      </c>
      <c r="C20" s="355">
        <v>847800</v>
      </c>
      <c r="D20" s="55">
        <v>4</v>
      </c>
      <c r="E20" s="223">
        <f>IF('GVFB|0550-02'!OrigApprop=0,0,(E18/H18)*'GVFB|0550-02'!OrigApprop)</f>
        <v>676826.73481691722</v>
      </c>
      <c r="F20" s="223">
        <f>IF('GVFB|0550-02'!OrigApprop=0,0,(F18/H18)*'GVFB|0550-02'!OrigApprop)</f>
        <v>44363.727441919953</v>
      </c>
      <c r="G20" s="223">
        <f>IF(E20=0,0,(G18/H18)*'GVFB|0550-02'!OrigApprop)</f>
        <v>126609.53774116287</v>
      </c>
      <c r="H20" s="223">
        <f>SUM(E20:G20)</f>
        <v>847800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1</v>
      </c>
      <c r="E21" s="162">
        <f>E20-E18</f>
        <v>143618.73481691722</v>
      </c>
      <c r="F21" s="162">
        <f>F20-F18</f>
        <v>9413.727441919953</v>
      </c>
      <c r="G21" s="162">
        <f>G20-G18</f>
        <v>26865.814677162853</v>
      </c>
      <c r="H21" s="162">
        <f>H20-H18</f>
        <v>179898.27693599998</v>
      </c>
      <c r="I21" s="269"/>
      <c r="J21" s="56" t="str">
        <f>IF('GVFB|0550-02'!OrigApprop=0,"ERROR! Enter Original Appropriation amount in DU 3.00!","Calculated "&amp;IF('GVFB|0550-02'!AdjustedTotal&gt;0,"overfunding ","underfunding ")&amp;"is "&amp;TEXT('GVFB|0550-02'!AdjustedTotal/'GVFB|0550-02'!AppropTotal,"#.0%;(#.0% );0% ;")&amp;" of Original Appropriation")</f>
        <v>Calculated overfunding is 21.2% of Original Appropriation</v>
      </c>
      <c r="K21" s="163"/>
      <c r="L21" s="164"/>
    </row>
    <row r="23" spans="1:12" x14ac:dyDescent="0.25">
      <c r="A23" s="395" t="s">
        <v>628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"&amp;[0]!FiscalYear-1&amp;" SALARY"</f>
        <v>FY 2022 SALARY</v>
      </c>
      <c r="F24" s="50" t="str">
        <f>"FY "&amp;[0]!FiscalYear-1&amp;" HEALTH BENEFITS"</f>
        <v>FY 2022 HEALTH BENEFITS</v>
      </c>
      <c r="G24" s="50" t="str">
        <f>"FY "&amp;[0]!FiscalYear-1&amp;" VAR BENEFITS"</f>
        <v>FY 2022 VAR BENEFITS</v>
      </c>
      <c r="H24" s="50" t="str">
        <f>"FY "&amp;[0]!FiscalYear-1&amp;" TOTAL"</f>
        <v>FY 2022 TOTAL</v>
      </c>
      <c r="I24" s="50" t="str">
        <f>"FY "&amp;[0]!FiscalYear&amp;" SALARY CHANGE"</f>
        <v>FY 2023 SALARY CHANGE</v>
      </c>
      <c r="J24" s="50" t="str">
        <f>"FY "&amp;[0]!FiscalYear&amp;" CHG HEALTH BENEFITS"</f>
        <v>FY 2023 CHG HEALTH BENEFITS</v>
      </c>
      <c r="K24" s="50" t="str">
        <f>"FY "&amp;[0]!FiscalYear&amp;"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[0]!GVFC055002col_INC_FTI</f>
        <v>0</v>
      </c>
      <c r="E26" s="218">
        <f>[0]!GVFC055002col_FTI_SALARY_PERM</f>
        <v>0</v>
      </c>
      <c r="F26" s="218">
        <f>[0]!GVFC055002col_HEALTH_PERM</f>
        <v>0</v>
      </c>
      <c r="G26" s="218">
        <f>[0]!GVFC055002col_TOT_VB_PERM</f>
        <v>0</v>
      </c>
      <c r="H26" s="219">
        <f>SUM(E26:G26)</f>
        <v>0</v>
      </c>
      <c r="I26" s="219">
        <f>[0]!GVFC055002col_1_27TH_PP</f>
        <v>0</v>
      </c>
      <c r="J26" s="218">
        <f>[0]!GVFC055002col_HEALTH_PERM_CHG</f>
        <v>0</v>
      </c>
      <c r="K26" s="218">
        <f>[0]!GVFC055002col_TOT_VB_PERM_CHG</f>
        <v>0</v>
      </c>
      <c r="L26" s="218">
        <f>SUM(J26:K26)</f>
        <v>0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[0]!GVFC055002col_Group_Salary</f>
        <v>0</v>
      </c>
      <c r="F27" s="218">
        <v>0</v>
      </c>
      <c r="G27" s="218">
        <f>[0]!GVFC055002col_Group_Ben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[0]!GVFC055002col_TOTAL_ELECT_PCN_FTI</f>
        <v>0</v>
      </c>
      <c r="E28" s="218">
        <f>[0]!GVFC055002col_FTI_SALARY_ELECT</f>
        <v>0</v>
      </c>
      <c r="F28" s="218">
        <f>[0]!GVFC055002col_HEALTH_ELECT</f>
        <v>0</v>
      </c>
      <c r="G28" s="218">
        <f>[0]!GVFC055002col_TOT_VB_ELECT</f>
        <v>0</v>
      </c>
      <c r="H28" s="219">
        <f>SUM(E28:G28)</f>
        <v>0</v>
      </c>
      <c r="I28" s="268"/>
      <c r="J28" s="218">
        <f>[0]!GVFC055002col_HEALTH_ELECT_CHG</f>
        <v>0</v>
      </c>
      <c r="K28" s="218">
        <f>[0]!GVFC055002col_TOT_VB_ELECT_CHG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"&amp;[0]!FiscalYear-1</f>
        <v>FY 2022</v>
      </c>
      <c r="B31" s="158" t="s">
        <v>31</v>
      </c>
      <c r="C31" s="355">
        <v>847800</v>
      </c>
      <c r="D31" s="55">
        <v>4</v>
      </c>
      <c r="E31" s="223">
        <f>IF([0]!OrigApprop=0,0,(E29/H29)*[0]!OrigApprop)</f>
        <v>0</v>
      </c>
      <c r="F31" s="223">
        <f>IF([0]!OrigApprop=0,0,(F29/H29)*[0]!OrigApprop)</f>
        <v>0</v>
      </c>
      <c r="G31" s="223">
        <f>IF(E31=0,0,(G29/H29)*[0]!OrigApprop)</f>
        <v>0</v>
      </c>
      <c r="H31" s="223">
        <f>SUM(E31:G31)</f>
        <v>0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4</v>
      </c>
      <c r="E32" s="162">
        <f>E31-E29</f>
        <v>0</v>
      </c>
      <c r="F32" s="162">
        <f>F31-F29</f>
        <v>0</v>
      </c>
      <c r="G32" s="162">
        <f>G31-G29</f>
        <v>0</v>
      </c>
      <c r="H32" s="162">
        <f>H31-H29</f>
        <v>0</v>
      </c>
      <c r="I32" s="269"/>
      <c r="J32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32" s="163"/>
      <c r="L32" s="164"/>
    </row>
    <row r="34" spans="1:12" x14ac:dyDescent="0.25">
      <c r="A34" s="395" t="s">
        <v>634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"&amp;[0]!FiscalYear-1&amp;" SALARY"</f>
        <v>FY 2022 SALARY</v>
      </c>
      <c r="F35" s="50" t="str">
        <f>"FY "&amp;[0]!FiscalYear-1&amp;" HEALTH BENEFITS"</f>
        <v>FY 2022 HEALTH BENEFITS</v>
      </c>
      <c r="G35" s="50" t="str">
        <f>"FY "&amp;[0]!FiscalYear-1&amp;" VAR BENEFITS"</f>
        <v>FY 2022 VAR BENEFITS</v>
      </c>
      <c r="H35" s="50" t="str">
        <f>"FY "&amp;[0]!FiscalYear-1&amp;" TOTAL"</f>
        <v>FY 2022 TOTAL</v>
      </c>
      <c r="I35" s="50" t="str">
        <f>"FY "&amp;[0]!FiscalYear&amp;" SALARY CHANGE"</f>
        <v>FY 2023 SALARY CHANGE</v>
      </c>
      <c r="J35" s="50" t="str">
        <f>"FY "&amp;[0]!FiscalYear&amp;" CHG HEALTH BENEFITS"</f>
        <v>FY 2023 CHG HEALTH BENEFITS</v>
      </c>
      <c r="K35" s="50" t="str">
        <f>"FY "&amp;[0]!FiscalYear&amp;"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[0]!GVFE056000col_INC_FTI</f>
        <v>0</v>
      </c>
      <c r="E37" s="218">
        <f>[0]!GVFE056000col_FTI_SALARY_PERM</f>
        <v>0</v>
      </c>
      <c r="F37" s="218">
        <f>[0]!GVFE056000col_HEALTH_PERM</f>
        <v>0</v>
      </c>
      <c r="G37" s="218">
        <f>[0]!GVFE056000col_TOT_VB_PERM</f>
        <v>0</v>
      </c>
      <c r="H37" s="219">
        <f>SUM(E37:G37)</f>
        <v>0</v>
      </c>
      <c r="I37" s="219">
        <f>[0]!GVFE056000col_1_27TH_PP</f>
        <v>0</v>
      </c>
      <c r="J37" s="218">
        <f>[0]!GVFE056000col_HEALTH_PERM_CHG</f>
        <v>0</v>
      </c>
      <c r="K37" s="218">
        <f>[0]!GVFE056000col_TOT_VB_PERM_CHG</f>
        <v>0</v>
      </c>
      <c r="L37" s="218">
        <f>SUM(J37:K37)</f>
        <v>0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[0]!GVFE056000col_Group_Salary</f>
        <v>0</v>
      </c>
      <c r="F38" s="218">
        <v>0</v>
      </c>
      <c r="G38" s="218">
        <f>[0]!GVFE056000col_Group_Ben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[0]!GVFE056000col_TOTAL_ELECT_PCN_FTI</f>
        <v>0</v>
      </c>
      <c r="E39" s="218">
        <f>[0]!GVFE056000col_FTI_SALARY_ELECT</f>
        <v>0</v>
      </c>
      <c r="F39" s="218">
        <f>[0]!GVFE056000col_HEALTH_ELECT</f>
        <v>0</v>
      </c>
      <c r="G39" s="218">
        <f>[0]!GVFE056000col_TOT_VB_ELECT</f>
        <v>0</v>
      </c>
      <c r="H39" s="219">
        <f>SUM(E39:G39)</f>
        <v>0</v>
      </c>
      <c r="I39" s="268"/>
      <c r="J39" s="218">
        <f>[0]!GVFE056000col_HEALTH_ELECT_CHG</f>
        <v>0</v>
      </c>
      <c r="K39" s="218">
        <f>[0]!GVFE056000col_TOT_VB_ELECT_CHG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0</v>
      </c>
      <c r="E40" s="221">
        <f>SUM(E37:E39)</f>
        <v>0</v>
      </c>
      <c r="F40" s="221">
        <f>SUM(F37:F39)</f>
        <v>0</v>
      </c>
      <c r="G40" s="221">
        <f>SUM(G37:G39)</f>
        <v>0</v>
      </c>
      <c r="H40" s="219">
        <f>SUM(E40:G40)</f>
        <v>0</v>
      </c>
      <c r="I40" s="268"/>
      <c r="J40" s="219">
        <f>SUM(J37:J39)</f>
        <v>0</v>
      </c>
      <c r="K40" s="219">
        <f>SUM(K37:K39)</f>
        <v>0</v>
      </c>
      <c r="L40" s="219">
        <f>SUM(L37:L39)</f>
        <v>0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"&amp;[0]!FiscalYear-1</f>
        <v>FY 2022</v>
      </c>
      <c r="B42" s="158" t="s">
        <v>31</v>
      </c>
      <c r="C42" s="355">
        <v>66000</v>
      </c>
      <c r="D42" s="55">
        <v>1</v>
      </c>
      <c r="E42" s="223">
        <f>IF([0]!OrigApprop=0,0,(E40/H40)*[0]!OrigApprop)</f>
        <v>0</v>
      </c>
      <c r="F42" s="223">
        <f>IF([0]!OrigApprop=0,0,(F40/H40)*[0]!OrigApprop)</f>
        <v>0</v>
      </c>
      <c r="G42" s="223">
        <f>IF(E42=0,0,(G40/H40)*[0]!OrigApprop)</f>
        <v>0</v>
      </c>
      <c r="H42" s="223">
        <f>SUM(E42:G42)</f>
        <v>0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1</v>
      </c>
      <c r="E43" s="162">
        <f>E42-E40</f>
        <v>0</v>
      </c>
      <c r="F43" s="162">
        <f>F42-F40</f>
        <v>0</v>
      </c>
      <c r="G43" s="162">
        <f>G42-G40</f>
        <v>0</v>
      </c>
      <c r="H43" s="162">
        <f>H42-H40</f>
        <v>0</v>
      </c>
      <c r="I43" s="269"/>
      <c r="J43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43" s="163"/>
      <c r="L43" s="164"/>
    </row>
    <row r="45" spans="1:12" x14ac:dyDescent="0.25">
      <c r="A45" s="395" t="s">
        <v>637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3" t="s">
        <v>22</v>
      </c>
      <c r="B46" s="474"/>
      <c r="C46" s="370" t="s">
        <v>23</v>
      </c>
      <c r="D46" s="49" t="s">
        <v>24</v>
      </c>
      <c r="E46" s="50" t="str">
        <f>"FY "&amp;'GVFJ|0560-00'!FiscalYear-1&amp;" SALARY"</f>
        <v>FY 2022 SALARY</v>
      </c>
      <c r="F46" s="50" t="str">
        <f>"FY "&amp;'GVFJ|0560-00'!FiscalYear-1&amp;" HEALTH BENEFITS"</f>
        <v>FY 2022 HEALTH BENEFITS</v>
      </c>
      <c r="G46" s="50" t="str">
        <f>"FY "&amp;'GVFJ|0560-00'!FiscalYear-1&amp;" VAR BENEFITS"</f>
        <v>FY 2022 VAR BENEFITS</v>
      </c>
      <c r="H46" s="50" t="str">
        <f>"FY "&amp;'GVFJ|0560-00'!FiscalYear-1&amp;" TOTAL"</f>
        <v>FY 2022 TOTAL</v>
      </c>
      <c r="I46" s="50" t="str">
        <f>"FY "&amp;'GVFJ|0560-00'!FiscalYear&amp;" SALARY CHANGE"</f>
        <v>FY 2023 SALARY CHANGE</v>
      </c>
      <c r="J46" s="50" t="str">
        <f>"FY "&amp;'GVFJ|0560-00'!FiscalYear&amp;" CHG HEALTH BENEFITS"</f>
        <v>FY 2023 CHG HEALTH BENEFITS</v>
      </c>
      <c r="K46" s="50" t="str">
        <f>"FY "&amp;'GVFJ|0560-00'!FiscalYear&amp;" CHG VAR BENEFITS"</f>
        <v>FY 2023 CHG VAR BENEFITS</v>
      </c>
      <c r="L46" s="50" t="s">
        <v>25</v>
      </c>
    </row>
    <row r="47" spans="1:12" x14ac:dyDescent="0.25">
      <c r="A47" s="465" t="s">
        <v>26</v>
      </c>
      <c r="B47" s="46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4" t="s">
        <v>27</v>
      </c>
      <c r="B48" s="467"/>
      <c r="C48" s="217">
        <v>1</v>
      </c>
      <c r="D48" s="288">
        <f>[0]!GVFJ056000col_INC_FTI</f>
        <v>1</v>
      </c>
      <c r="E48" s="218">
        <f>[0]!GVFJ056000col_FTI_SALARY_PERM</f>
        <v>38667.199999999997</v>
      </c>
      <c r="F48" s="218">
        <f>[0]!GVFJ056000col_HEALTH_PERM</f>
        <v>11650</v>
      </c>
      <c r="G48" s="218">
        <f>[0]!GVFJ056000col_TOT_VB_PERM</f>
        <v>8361.588663999999</v>
      </c>
      <c r="H48" s="219">
        <f>SUM(E48:G48)</f>
        <v>58678.788663999992</v>
      </c>
      <c r="I48" s="219">
        <f>[0]!GVFJ056000col_1_27TH_PP</f>
        <v>0</v>
      </c>
      <c r="J48" s="218">
        <f>[0]!GVFJ056000col_HEALTH_PERM_CHG</f>
        <v>0</v>
      </c>
      <c r="K48" s="218">
        <f>[0]!GVFJ056000col_TOT_VB_PERM_CHG</f>
        <v>-201.06943999999999</v>
      </c>
      <c r="L48" s="218">
        <f>SUM(J48:K48)</f>
        <v>-201.06943999999999</v>
      </c>
    </row>
    <row r="49" spans="1:12" x14ac:dyDescent="0.25">
      <c r="A49" s="444" t="s">
        <v>28</v>
      </c>
      <c r="B49" s="467"/>
      <c r="C49" s="217">
        <v>2</v>
      </c>
      <c r="D49" s="288"/>
      <c r="E49" s="218">
        <f>[0]!GVFJ056000col_Group_Salary</f>
        <v>0</v>
      </c>
      <c r="F49" s="218">
        <v>0</v>
      </c>
      <c r="G49" s="218">
        <f>[0]!GVFJ056000col_Group_Ben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4" t="s">
        <v>29</v>
      </c>
      <c r="B50" s="445"/>
      <c r="C50" s="217">
        <v>3</v>
      </c>
      <c r="D50" s="288">
        <f>[0]!GVFJ056000col_TOTAL_ELECT_PCN_FTI</f>
        <v>0</v>
      </c>
      <c r="E50" s="218">
        <f>[0]!GVFJ056000col_FTI_SALARY_ELECT</f>
        <v>0</v>
      </c>
      <c r="F50" s="218">
        <f>[0]!GVFJ056000col_HEALTH_ELECT</f>
        <v>0</v>
      </c>
      <c r="G50" s="218">
        <f>[0]!GVFJ056000col_TOT_VB_ELECT</f>
        <v>0</v>
      </c>
      <c r="H50" s="219">
        <f>SUM(E50:G50)</f>
        <v>0</v>
      </c>
      <c r="I50" s="268"/>
      <c r="J50" s="218">
        <f>[0]!GVFJ056000col_HEALTH_ELECT_CHG</f>
        <v>0</v>
      </c>
      <c r="K50" s="218">
        <f>[0]!GVFJ056000col_TOT_VB_ELECT_CHG</f>
        <v>0</v>
      </c>
      <c r="L50" s="219">
        <f>SUM(J50:K50)</f>
        <v>0</v>
      </c>
    </row>
    <row r="51" spans="1:12" x14ac:dyDescent="0.25">
      <c r="A51" s="444" t="s">
        <v>30</v>
      </c>
      <c r="B51" s="467"/>
      <c r="C51" s="217"/>
      <c r="D51" s="220">
        <f>SUM(D48:D50)</f>
        <v>1</v>
      </c>
      <c r="E51" s="221">
        <f>SUM(E48:E50)</f>
        <v>38667.199999999997</v>
      </c>
      <c r="F51" s="221">
        <f>SUM(F48:F50)</f>
        <v>11650</v>
      </c>
      <c r="G51" s="221">
        <f>SUM(G48:G50)</f>
        <v>8361.588663999999</v>
      </c>
      <c r="H51" s="219">
        <f>SUM(E51:G51)</f>
        <v>58678.788663999992</v>
      </c>
      <c r="I51" s="268"/>
      <c r="J51" s="219">
        <f>SUM(J48:J50)</f>
        <v>0</v>
      </c>
      <c r="K51" s="219">
        <f>SUM(K48:K50)</f>
        <v>-201.06943999999999</v>
      </c>
      <c r="L51" s="219">
        <f>SUM(L48:L50)</f>
        <v>-201.06943999999999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"&amp;'GVFJ|0560-00'!FiscalYear-1</f>
        <v>FY 2022</v>
      </c>
      <c r="B53" s="158" t="s">
        <v>31</v>
      </c>
      <c r="C53" s="355">
        <v>66000</v>
      </c>
      <c r="D53" s="55">
        <v>1</v>
      </c>
      <c r="E53" s="223">
        <f>IF('GVFJ|0560-00'!OrigApprop=0,0,(E51/H51)*'GVFJ|0560-00'!OrigApprop)</f>
        <v>43491.613547327681</v>
      </c>
      <c r="F53" s="223">
        <f>IF('GVFJ|0560-00'!OrigApprop=0,0,(F51/H51)*'GVFJ|0560-00'!OrigApprop)</f>
        <v>13103.542481130455</v>
      </c>
      <c r="G53" s="223">
        <f>IF(E53=0,0,(G51/H51)*'GVFJ|0560-00'!OrigApprop)</f>
        <v>9404.8439715418735</v>
      </c>
      <c r="H53" s="223">
        <f>SUM(E53:G53)</f>
        <v>66000.000000000015</v>
      </c>
      <c r="I53" s="268"/>
      <c r="J53" s="224"/>
      <c r="K53" s="224"/>
      <c r="L53" s="224"/>
    </row>
    <row r="54" spans="1:12" x14ac:dyDescent="0.25">
      <c r="A54" s="454" t="s">
        <v>32</v>
      </c>
      <c r="B54" s="455"/>
      <c r="C54" s="160" t="s">
        <v>33</v>
      </c>
      <c r="D54" s="161">
        <f>D53-D51</f>
        <v>0</v>
      </c>
      <c r="E54" s="162">
        <f>E53-E51</f>
        <v>4824.4135473276838</v>
      </c>
      <c r="F54" s="162">
        <f>F53-F51</f>
        <v>1453.5424811304547</v>
      </c>
      <c r="G54" s="162">
        <f>G53-G51</f>
        <v>1043.2553075418746</v>
      </c>
      <c r="H54" s="162">
        <f>H53-H51</f>
        <v>7321.2113360000221</v>
      </c>
      <c r="I54" s="269"/>
      <c r="J54" s="56" t="str">
        <f>IF('GVFJ|0560-00'!OrigApprop=0,"ERROR! Enter Original Appropriation amount in DU 3.00!","Calculated "&amp;IF('GVFJ|0560-00'!AdjustedTotal&gt;0,"overfunding ","underfunding ")&amp;"is "&amp;TEXT('GVFJ|0560-00'!AdjustedTotal/'GVFJ|0560-00'!AppropTotal,"#.0%;(#.0% );0% ;")&amp;" of Original Appropriation")</f>
        <v>Calculated overfunding is 11.1% of Original Appropriation</v>
      </c>
      <c r="K54" s="163"/>
      <c r="L54" s="164"/>
    </row>
  </sheetData>
  <mergeCells count="35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48:B48"/>
    <mergeCell ref="A49:B49"/>
    <mergeCell ref="A50:B50"/>
    <mergeCell ref="A51:B51"/>
    <mergeCell ref="A54:B54"/>
  </mergeCells>
  <conditionalFormatting sqref="J10">
    <cfRule type="expression" dxfId="4" priority="5">
      <formula>$J$16&lt;0</formula>
    </cfRule>
  </conditionalFormatting>
  <conditionalFormatting sqref="J21">
    <cfRule type="expression" dxfId="3" priority="4">
      <formula>$J$16&lt;0</formula>
    </cfRule>
  </conditionalFormatting>
  <conditionalFormatting sqref="J32">
    <cfRule type="expression" dxfId="2" priority="3">
      <formula>$J$16&lt;0</formula>
    </cfRule>
  </conditionalFormatting>
  <conditionalFormatting sqref="J43">
    <cfRule type="expression" dxfId="1" priority="2">
      <formula>$J$16&lt;0</formula>
    </cfRule>
  </conditionalFormatting>
  <conditionalFormatting sqref="J54">
    <cfRule type="expression" dxfId="0" priority="1">
      <formula>$J$16&lt;0</formula>
    </cfRule>
  </conditionalFormatting>
  <pageMargins left="0.7" right="0.7" top="0.75" bottom="0.75" header="0.3" footer="0.3"/>
  <pageSetup scale="53" orientation="landscape" r:id="rId1"/>
  <headerFooter>
    <oddHeader>&amp;L&amp;"Arial"&amp;14 Office of the Governor&amp;R&amp;"Arial"&amp;10 Agency 183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2"/>
  <sheetViews>
    <sheetView workbookViewId="0">
      <selection activeCell="E8" sqref="E8:M22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641</v>
      </c>
      <c r="G5" s="475"/>
      <c r="H5" s="476" t="s">
        <v>639</v>
      </c>
      <c r="I5" s="475" t="s">
        <v>642</v>
      </c>
      <c r="J5" s="475"/>
      <c r="K5" s="476" t="s">
        <v>640</v>
      </c>
      <c r="L5" s="475" t="s">
        <v>643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644</v>
      </c>
      <c r="D7" s="250"/>
    </row>
    <row r="8" spans="1:13" x14ac:dyDescent="0.25">
      <c r="C8" t="s">
        <v>616</v>
      </c>
      <c r="D8" s="250"/>
      <c r="E8" s="402">
        <f>Data!AS94</f>
        <v>61</v>
      </c>
      <c r="F8" s="402">
        <f>Data!AT94</f>
        <v>2938042.0199999996</v>
      </c>
      <c r="G8" s="402">
        <f>Data!AU94</f>
        <v>1303910.1299999999</v>
      </c>
      <c r="H8" s="402">
        <f>Data!AV94</f>
        <v>3116734.3999999985</v>
      </c>
      <c r="I8" s="402">
        <f>Data!AW94</f>
        <v>710650</v>
      </c>
      <c r="J8" s="402">
        <f>Data!AX94</f>
        <v>667824.69848800031</v>
      </c>
      <c r="K8" s="402">
        <f>Data!AY94</f>
        <v>3116734.3999999985</v>
      </c>
      <c r="L8" s="402">
        <f>Data!AZ94</f>
        <v>710650</v>
      </c>
      <c r="M8" s="402">
        <f>Data!BA94</f>
        <v>652842.59832799993</v>
      </c>
    </row>
    <row r="9" spans="1:13" x14ac:dyDescent="0.25">
      <c r="C9" t="s">
        <v>623</v>
      </c>
      <c r="D9" s="250"/>
      <c r="E9" s="402">
        <f>Data!AS95</f>
        <v>3</v>
      </c>
      <c r="F9" s="402">
        <f>Data!AT95</f>
        <v>525642.04</v>
      </c>
      <c r="G9" s="402">
        <f>Data!AU95</f>
        <v>130977.06999999999</v>
      </c>
      <c r="H9" s="402">
        <f>Data!AV95</f>
        <v>533208</v>
      </c>
      <c r="I9" s="402">
        <f>Data!AW95</f>
        <v>34950</v>
      </c>
      <c r="J9" s="402">
        <f>Data!AX95</f>
        <v>99743.72306400002</v>
      </c>
      <c r="K9" s="402">
        <f>Data!AY95</f>
        <v>533208</v>
      </c>
      <c r="L9" s="402">
        <f>Data!AZ95</f>
        <v>34950</v>
      </c>
      <c r="M9" s="402">
        <f>Data!BA95</f>
        <v>97603.441464000018</v>
      </c>
    </row>
    <row r="10" spans="1:13" x14ac:dyDescent="0.25">
      <c r="B10" t="s">
        <v>645</v>
      </c>
      <c r="D10" s="250"/>
      <c r="E10" s="403">
        <f>Data!AS96</f>
        <v>64</v>
      </c>
      <c r="F10" s="403">
        <f>Data!AT96</f>
        <v>3463684.0599999996</v>
      </c>
      <c r="G10" s="403">
        <f>Data!AU96</f>
        <v>1434887.2</v>
      </c>
      <c r="H10" s="403">
        <f>Data!AV96</f>
        <v>3649942.3999999985</v>
      </c>
      <c r="I10" s="403">
        <f>Data!AW96</f>
        <v>745600</v>
      </c>
      <c r="J10" s="403">
        <f>Data!AX96</f>
        <v>767568.42155200033</v>
      </c>
      <c r="K10" s="403">
        <f>Data!AY96</f>
        <v>3649942.3999999985</v>
      </c>
      <c r="L10" s="403">
        <f>Data!AZ96</f>
        <v>745600</v>
      </c>
      <c r="M10" s="403">
        <f>Data!BA96</f>
        <v>750446.03979199997</v>
      </c>
    </row>
    <row r="11" spans="1:13" x14ac:dyDescent="0.25">
      <c r="C11" t="s">
        <v>632</v>
      </c>
      <c r="D11" s="250"/>
      <c r="E11" s="402">
        <f>Data!AS97</f>
        <v>1</v>
      </c>
      <c r="F11" s="402">
        <f>Data!AT97</f>
        <v>36161.56</v>
      </c>
      <c r="G11" s="402">
        <f>Data!AU97</f>
        <v>19228.939999999999</v>
      </c>
      <c r="H11" s="402">
        <f>Data!AV97</f>
        <v>38667.199999999997</v>
      </c>
      <c r="I11" s="402">
        <f>Data!AW97</f>
        <v>11650</v>
      </c>
      <c r="J11" s="402">
        <f>Data!AX97</f>
        <v>8361.588663999999</v>
      </c>
      <c r="K11" s="402">
        <f>Data!AY97</f>
        <v>38667.199999999997</v>
      </c>
      <c r="L11" s="402">
        <f>Data!AZ97</f>
        <v>11650</v>
      </c>
      <c r="M11" s="402">
        <f>Data!BA97</f>
        <v>8160.5192239999988</v>
      </c>
    </row>
    <row r="12" spans="1:13" x14ac:dyDescent="0.25">
      <c r="B12" t="s">
        <v>646</v>
      </c>
      <c r="D12" s="250"/>
      <c r="E12" s="403">
        <f>Data!AS98</f>
        <v>1</v>
      </c>
      <c r="F12" s="403">
        <f>Data!AT98</f>
        <v>36161.56</v>
      </c>
      <c r="G12" s="403">
        <f>Data!AU98</f>
        <v>19228.939999999999</v>
      </c>
      <c r="H12" s="403">
        <f>Data!AV98</f>
        <v>38667.199999999997</v>
      </c>
      <c r="I12" s="403">
        <f>Data!AW98</f>
        <v>11650</v>
      </c>
      <c r="J12" s="403">
        <f>Data!AX98</f>
        <v>8361.588663999999</v>
      </c>
      <c r="K12" s="403">
        <f>Data!AY98</f>
        <v>38667.199999999997</v>
      </c>
      <c r="L12" s="403">
        <f>Data!AZ98</f>
        <v>11650</v>
      </c>
      <c r="M12" s="403">
        <f>Data!BA98</f>
        <v>8160.5192239999988</v>
      </c>
    </row>
    <row r="13" spans="1:13" x14ac:dyDescent="0.25">
      <c r="D13" s="250"/>
      <c r="E13" s="402">
        <f>Data!AS99</f>
        <v>0</v>
      </c>
      <c r="F13" s="402">
        <f>Data!AT99</f>
        <v>0</v>
      </c>
      <c r="G13" s="402">
        <f>Data!AU99</f>
        <v>0</v>
      </c>
      <c r="H13" s="402">
        <f>Data!AV99</f>
        <v>0</v>
      </c>
      <c r="I13" s="402">
        <f>Data!AW99</f>
        <v>0</v>
      </c>
      <c r="J13" s="402">
        <f>Data!AX99</f>
        <v>0</v>
      </c>
      <c r="K13" s="402">
        <f>Data!AY99</f>
        <v>0</v>
      </c>
      <c r="L13" s="402">
        <f>Data!AZ99</f>
        <v>0</v>
      </c>
      <c r="M13" s="402">
        <f>Data!BA99</f>
        <v>0</v>
      </c>
    </row>
    <row r="14" spans="1:13" x14ac:dyDescent="0.25">
      <c r="A14" s="396" t="s">
        <v>647</v>
      </c>
      <c r="E14" s="404">
        <f>Data!AS100</f>
        <v>65</v>
      </c>
      <c r="F14" s="404">
        <f>Data!AT100</f>
        <v>3499845.6199999996</v>
      </c>
      <c r="G14" s="404">
        <f>Data!AU100</f>
        <v>1454116.14</v>
      </c>
      <c r="H14" s="404">
        <f>Data!AV100</f>
        <v>3688609.5999999987</v>
      </c>
      <c r="I14" s="404">
        <f>Data!AW100</f>
        <v>757250</v>
      </c>
      <c r="J14" s="404">
        <f>Data!AX100</f>
        <v>775930.01021600037</v>
      </c>
      <c r="K14" s="404">
        <f>Data!AY100</f>
        <v>3688609.5999999987</v>
      </c>
      <c r="L14" s="404">
        <f>Data!AZ100</f>
        <v>757250</v>
      </c>
      <c r="M14" s="404">
        <f>Data!BA100</f>
        <v>758606.55901600001</v>
      </c>
    </row>
    <row r="15" spans="1:13" x14ac:dyDescent="0.25">
      <c r="E15" s="402">
        <f>Data!AS101</f>
        <v>0</v>
      </c>
      <c r="F15" s="402">
        <f>Data!AT101</f>
        <v>0</v>
      </c>
      <c r="G15" s="402">
        <f>Data!AU101</f>
        <v>0</v>
      </c>
      <c r="H15" s="402">
        <f>Data!AV101</f>
        <v>0</v>
      </c>
      <c r="I15" s="402">
        <f>Data!AW101</f>
        <v>0</v>
      </c>
      <c r="J15" s="402">
        <f>Data!AX101</f>
        <v>0</v>
      </c>
      <c r="K15" s="402">
        <f>Data!AY101</f>
        <v>0</v>
      </c>
      <c r="L15" s="402">
        <f>Data!AZ101</f>
        <v>0</v>
      </c>
      <c r="M15" s="402">
        <f>Data!BA101</f>
        <v>0</v>
      </c>
    </row>
    <row r="16" spans="1:13" x14ac:dyDescent="0.25">
      <c r="A16" s="392" t="s">
        <v>648</v>
      </c>
      <c r="E16" s="402">
        <f>Data!AS102</f>
        <v>0</v>
      </c>
      <c r="F16" s="402">
        <f>Data!AT102</f>
        <v>0</v>
      </c>
      <c r="G16" s="402">
        <f>Data!AU102</f>
        <v>0</v>
      </c>
      <c r="H16" s="402">
        <f>Data!AV102</f>
        <v>0</v>
      </c>
      <c r="I16" s="402">
        <f>Data!AW102</f>
        <v>0</v>
      </c>
      <c r="J16" s="402">
        <f>Data!AX102</f>
        <v>0</v>
      </c>
      <c r="K16" s="402">
        <f>Data!AY102</f>
        <v>0</v>
      </c>
      <c r="L16" s="402">
        <f>Data!AZ102</f>
        <v>0</v>
      </c>
      <c r="M16" s="402">
        <f>Data!BA102</f>
        <v>0</v>
      </c>
    </row>
    <row r="17" spans="1:13" x14ac:dyDescent="0.25">
      <c r="C17" t="s">
        <v>616</v>
      </c>
      <c r="E17" s="402">
        <f>Data!AS103</f>
        <v>0</v>
      </c>
      <c r="F17" s="402">
        <f>Data!AT103</f>
        <v>11837.6</v>
      </c>
      <c r="G17" s="402">
        <f>Data!AU103</f>
        <v>6427.65</v>
      </c>
      <c r="H17" s="402">
        <f>Data!AV103</f>
        <v>11837.6</v>
      </c>
      <c r="I17" s="402">
        <f>Data!AW103</f>
        <v>0</v>
      </c>
      <c r="J17" s="402">
        <f>Data!AX103</f>
        <v>6427.65</v>
      </c>
      <c r="K17" s="402">
        <f>Data!AY103</f>
        <v>11837.6</v>
      </c>
      <c r="L17" s="402">
        <f>Data!AZ103</f>
        <v>0</v>
      </c>
      <c r="M17" s="402">
        <f>Data!BA103</f>
        <v>6427.65</v>
      </c>
    </row>
    <row r="18" spans="1:13" x14ac:dyDescent="0.25">
      <c r="B18" t="s">
        <v>645</v>
      </c>
      <c r="E18" s="403">
        <f>Data!AS104</f>
        <v>0</v>
      </c>
      <c r="F18" s="403">
        <f>Data!AT104</f>
        <v>11837.6</v>
      </c>
      <c r="G18" s="403">
        <f>Data!AU104</f>
        <v>6427.65</v>
      </c>
      <c r="H18" s="403">
        <f>Data!AV104</f>
        <v>11837.6</v>
      </c>
      <c r="I18" s="403">
        <f>Data!AW104</f>
        <v>0</v>
      </c>
      <c r="J18" s="403">
        <f>Data!AX104</f>
        <v>6427.65</v>
      </c>
      <c r="K18" s="403">
        <f>Data!AY104</f>
        <v>11837.6</v>
      </c>
      <c r="L18" s="403">
        <f>Data!AZ104</f>
        <v>0</v>
      </c>
      <c r="M18" s="403">
        <f>Data!BA104</f>
        <v>6427.65</v>
      </c>
    </row>
    <row r="19" spans="1:13" x14ac:dyDescent="0.25">
      <c r="E19" s="402">
        <f>Data!AS105</f>
        <v>0</v>
      </c>
      <c r="F19" s="402">
        <f>Data!AT105</f>
        <v>0</v>
      </c>
      <c r="G19" s="402">
        <f>Data!AU105</f>
        <v>0</v>
      </c>
      <c r="H19" s="402">
        <f>Data!AV105</f>
        <v>0</v>
      </c>
      <c r="I19" s="402">
        <f>Data!AW105</f>
        <v>0</v>
      </c>
      <c r="J19" s="402">
        <f>Data!AX105</f>
        <v>0</v>
      </c>
      <c r="K19" s="402">
        <f>Data!AY105</f>
        <v>0</v>
      </c>
      <c r="L19" s="402">
        <f>Data!AZ105</f>
        <v>0</v>
      </c>
      <c r="M19" s="402">
        <f>Data!BA105</f>
        <v>0</v>
      </c>
    </row>
    <row r="20" spans="1:13" x14ac:dyDescent="0.25">
      <c r="A20" s="396" t="s">
        <v>649</v>
      </c>
      <c r="E20" s="404">
        <f>Data!AS106</f>
        <v>0</v>
      </c>
      <c r="F20" s="404">
        <f>Data!AT106</f>
        <v>11837.6</v>
      </c>
      <c r="G20" s="404">
        <f>Data!AU106</f>
        <v>6427.65</v>
      </c>
      <c r="H20" s="404">
        <f>Data!AV106</f>
        <v>11837.6</v>
      </c>
      <c r="I20" s="404">
        <f>Data!AW106</f>
        <v>0</v>
      </c>
      <c r="J20" s="404">
        <f>Data!AX106</f>
        <v>6427.65</v>
      </c>
      <c r="K20" s="404">
        <f>Data!AY106</f>
        <v>11837.6</v>
      </c>
      <c r="L20" s="404">
        <f>Data!AZ106</f>
        <v>0</v>
      </c>
      <c r="M20" s="404">
        <f>Data!BA106</f>
        <v>6427.65</v>
      </c>
    </row>
    <row r="21" spans="1:13" x14ac:dyDescent="0.25">
      <c r="E21" s="402">
        <f>Data!AS107</f>
        <v>0</v>
      </c>
      <c r="F21" s="402">
        <f>Data!AT107</f>
        <v>0</v>
      </c>
      <c r="G21" s="402">
        <f>Data!AU107</f>
        <v>0</v>
      </c>
      <c r="H21" s="402">
        <f>Data!AV107</f>
        <v>0</v>
      </c>
      <c r="I21" s="402">
        <f>Data!AW107</f>
        <v>0</v>
      </c>
      <c r="J21" s="402">
        <f>Data!AX107</f>
        <v>0</v>
      </c>
      <c r="K21" s="402">
        <f>Data!AY107</f>
        <v>0</v>
      </c>
      <c r="L21" s="402">
        <f>Data!AZ107</f>
        <v>0</v>
      </c>
      <c r="M21" s="402">
        <f>Data!BA107</f>
        <v>0</v>
      </c>
    </row>
    <row r="22" spans="1:13" x14ac:dyDescent="0.25">
      <c r="A22" s="397" t="s">
        <v>650</v>
      </c>
      <c r="E22" s="400">
        <f>Data!AS108</f>
        <v>65</v>
      </c>
      <c r="F22" s="401">
        <f>Data!AT108</f>
        <v>3511683.2199999997</v>
      </c>
      <c r="G22" s="401">
        <f>Data!AU108</f>
        <v>1460543.7899999998</v>
      </c>
      <c r="H22" s="401">
        <f>Data!AV108</f>
        <v>3700447.1999999988</v>
      </c>
      <c r="I22" s="401">
        <f>Data!AW108</f>
        <v>757250</v>
      </c>
      <c r="J22" s="401">
        <f>Data!AX108</f>
        <v>782357.6602160004</v>
      </c>
      <c r="K22" s="401">
        <f>Data!AY108</f>
        <v>3700447.1999999988</v>
      </c>
      <c r="L22" s="401">
        <f>Data!AZ108</f>
        <v>757250</v>
      </c>
      <c r="M22" s="401">
        <f>Data!BA108</f>
        <v>765034.20901600004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183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647</vt:i4>
      </vt:variant>
    </vt:vector>
  </HeadingPairs>
  <TitlesOfParts>
    <vt:vector size="655" baseType="lpstr">
      <vt:lpstr>GVFA|0550-01</vt:lpstr>
      <vt:lpstr>GVFB|0550-02</vt:lpstr>
      <vt:lpstr>GVFJ|0560-00</vt:lpstr>
      <vt:lpstr>Data</vt:lpstr>
      <vt:lpstr>Benefits</vt:lpstr>
      <vt:lpstr>B6</vt:lpstr>
      <vt:lpstr>Summary</vt:lpstr>
      <vt:lpstr>FundSummary</vt:lpstr>
      <vt:lpstr>'GVFA|0550-01'!AdjGroupHlth</vt:lpstr>
      <vt:lpstr>'GVFB|0550-02'!AdjGroupHlth</vt:lpstr>
      <vt:lpstr>'GVFJ|0560-00'!AdjGroupHlth</vt:lpstr>
      <vt:lpstr>AdjGroupHlth</vt:lpstr>
      <vt:lpstr>'GVFA|0550-01'!AdjGroupSalary</vt:lpstr>
      <vt:lpstr>'GVFB|0550-02'!AdjGroupSalary</vt:lpstr>
      <vt:lpstr>'GVFJ|0560-00'!AdjGroupSalary</vt:lpstr>
      <vt:lpstr>AdjGroupSalary</vt:lpstr>
      <vt:lpstr>'GVFA|0550-01'!AdjGroupVB</vt:lpstr>
      <vt:lpstr>'GVFB|0550-02'!AdjGroupVB</vt:lpstr>
      <vt:lpstr>'GVFJ|0560-00'!AdjGroupVB</vt:lpstr>
      <vt:lpstr>AdjGroupVB</vt:lpstr>
      <vt:lpstr>'GVFA|0550-01'!AdjGroupVBBY</vt:lpstr>
      <vt:lpstr>'GVFB|0550-02'!AdjGroupVBBY</vt:lpstr>
      <vt:lpstr>'GVFJ|0560-00'!AdjGroupVBBY</vt:lpstr>
      <vt:lpstr>AdjGroupVBBY</vt:lpstr>
      <vt:lpstr>'GVFA|0550-01'!AdjPermHlth</vt:lpstr>
      <vt:lpstr>'GVFB|0550-02'!AdjPermHlth</vt:lpstr>
      <vt:lpstr>'GVFJ|0560-00'!AdjPermHlth</vt:lpstr>
      <vt:lpstr>AdjPermHlth</vt:lpstr>
      <vt:lpstr>'GVFA|0550-01'!AdjPermHlthBY</vt:lpstr>
      <vt:lpstr>'GVFB|0550-02'!AdjPermHlthBY</vt:lpstr>
      <vt:lpstr>'GVFJ|0560-00'!AdjPermHlthBY</vt:lpstr>
      <vt:lpstr>AdjPermHlthBY</vt:lpstr>
      <vt:lpstr>'GVFA|0550-01'!AdjPermSalary</vt:lpstr>
      <vt:lpstr>'GVFB|0550-02'!AdjPermSalary</vt:lpstr>
      <vt:lpstr>'GVFJ|0560-00'!AdjPermSalary</vt:lpstr>
      <vt:lpstr>AdjPermSalary</vt:lpstr>
      <vt:lpstr>'GVFA|0550-01'!AdjPermVB</vt:lpstr>
      <vt:lpstr>'GVFB|0550-02'!AdjPermVB</vt:lpstr>
      <vt:lpstr>'GVFJ|0560-00'!AdjPermVB</vt:lpstr>
      <vt:lpstr>AdjPermVB</vt:lpstr>
      <vt:lpstr>'GVFA|0550-01'!AdjPermVBBY</vt:lpstr>
      <vt:lpstr>'GVFB|0550-02'!AdjPermVBBY</vt:lpstr>
      <vt:lpstr>'GVFJ|0560-00'!AdjPermVBBY</vt:lpstr>
      <vt:lpstr>AdjPermVBBY</vt:lpstr>
      <vt:lpstr>'GVFA|0550-01'!AdjustedTotal</vt:lpstr>
      <vt:lpstr>'GVFB|0550-02'!AdjustedTotal</vt:lpstr>
      <vt:lpstr>'GVFJ|0560-00'!AdjustedTotal</vt:lpstr>
      <vt:lpstr>AdjustedTotal</vt:lpstr>
      <vt:lpstr>'GVFA|0550-01'!AgencyNum</vt:lpstr>
      <vt:lpstr>'GVFB|0550-02'!AgencyNum</vt:lpstr>
      <vt:lpstr>'GVFJ|0560-00'!AgencyNum</vt:lpstr>
      <vt:lpstr>AgencyNum</vt:lpstr>
      <vt:lpstr>'GVFA|0550-01'!AppropFTP</vt:lpstr>
      <vt:lpstr>'GVFB|0550-02'!AppropFTP</vt:lpstr>
      <vt:lpstr>'GVFJ|0560-00'!AppropFTP</vt:lpstr>
      <vt:lpstr>AppropFTP</vt:lpstr>
      <vt:lpstr>'GVFA|0550-01'!AppropTotal</vt:lpstr>
      <vt:lpstr>'GVFB|0550-02'!AppropTotal</vt:lpstr>
      <vt:lpstr>'GVFJ|0560-00'!AppropTotal</vt:lpstr>
      <vt:lpstr>AppropTotal</vt:lpstr>
      <vt:lpstr>'GVFA|0550-01'!AtZHealth</vt:lpstr>
      <vt:lpstr>'GVFB|0550-02'!AtZHealth</vt:lpstr>
      <vt:lpstr>'GVFJ|0560-00'!AtZHealth</vt:lpstr>
      <vt:lpstr>AtZHealth</vt:lpstr>
      <vt:lpstr>'GVFA|0550-01'!AtZSalary</vt:lpstr>
      <vt:lpstr>'GVFB|0550-02'!AtZSalary</vt:lpstr>
      <vt:lpstr>'GVFJ|0560-00'!AtZSalary</vt:lpstr>
      <vt:lpstr>AtZSalary</vt:lpstr>
      <vt:lpstr>'GVFA|0550-01'!AtZTotal</vt:lpstr>
      <vt:lpstr>'GVFB|0550-02'!AtZTotal</vt:lpstr>
      <vt:lpstr>'GVFJ|0560-00'!AtZTotal</vt:lpstr>
      <vt:lpstr>AtZTotal</vt:lpstr>
      <vt:lpstr>'GVFA|0550-01'!AtZVarBen</vt:lpstr>
      <vt:lpstr>'GVFB|0550-02'!AtZVarBen</vt:lpstr>
      <vt:lpstr>'GVFJ|0560-00'!AtZVarBen</vt:lpstr>
      <vt:lpstr>AtZVarBen</vt:lpstr>
      <vt:lpstr>'GVFA|0550-01'!BudgetUnit</vt:lpstr>
      <vt:lpstr>'GVFB|0550-02'!BudgetUnit</vt:lpstr>
      <vt:lpstr>'GVFJ|0560-00'!BudgetUnit</vt:lpstr>
      <vt:lpstr>BudgetUnit</vt:lpstr>
      <vt:lpstr>BudgetYear</vt:lpstr>
      <vt:lpstr>CECGroup</vt:lpstr>
      <vt:lpstr>'GVFA|0550-01'!CECOrigElectSalary</vt:lpstr>
      <vt:lpstr>'GVFB|0550-02'!CECOrigElectSalary</vt:lpstr>
      <vt:lpstr>'GVFJ|0560-00'!CECOrigElectSalary</vt:lpstr>
      <vt:lpstr>CECOrigElectSalary</vt:lpstr>
      <vt:lpstr>'GVFA|0550-01'!CECOrigElectVB</vt:lpstr>
      <vt:lpstr>'GVFB|0550-02'!CECOrigElectVB</vt:lpstr>
      <vt:lpstr>'GVFJ|0560-00'!CECOrigElectVB</vt:lpstr>
      <vt:lpstr>CECOrigElectVB</vt:lpstr>
      <vt:lpstr>'GVFA|0550-01'!CECOrigGroupSalary</vt:lpstr>
      <vt:lpstr>'GVFB|0550-02'!CECOrigGroupSalary</vt:lpstr>
      <vt:lpstr>'GVFJ|0560-00'!CECOrigGroupSalary</vt:lpstr>
      <vt:lpstr>CECOrigGroupSalary</vt:lpstr>
      <vt:lpstr>'GVFA|0550-01'!CECOrigGroupVB</vt:lpstr>
      <vt:lpstr>'GVFB|0550-02'!CECOrigGroupVB</vt:lpstr>
      <vt:lpstr>'GVFJ|0560-00'!CECOrigGroupVB</vt:lpstr>
      <vt:lpstr>CECOrigGroupVB</vt:lpstr>
      <vt:lpstr>'GVFA|0550-01'!CECOrigPermSalary</vt:lpstr>
      <vt:lpstr>'GVFB|0550-02'!CECOrigPermSalary</vt:lpstr>
      <vt:lpstr>'GVFJ|0560-00'!CECOrigPermSalary</vt:lpstr>
      <vt:lpstr>CECOrigPermSalary</vt:lpstr>
      <vt:lpstr>'GVFA|0550-01'!CECOrigPermVB</vt:lpstr>
      <vt:lpstr>'GVFB|0550-02'!CECOrigPermVB</vt:lpstr>
      <vt:lpstr>'GVFJ|0560-00'!CECOrigPermVB</vt:lpstr>
      <vt:lpstr>CECOrigPermVB</vt:lpstr>
      <vt:lpstr>CECPerm</vt:lpstr>
      <vt:lpstr>'GVFA|0550-01'!CECpermCalc</vt:lpstr>
      <vt:lpstr>'GVFB|0550-02'!CECpermCalc</vt:lpstr>
      <vt:lpstr>'GVFJ|0560-00'!CECpermCalc</vt:lpstr>
      <vt:lpstr>CECpermCalc</vt:lpstr>
      <vt:lpstr>'GVFA|0550-01'!Department</vt:lpstr>
      <vt:lpstr>'GVFB|0550-02'!Department</vt:lpstr>
      <vt:lpstr>'GVFJ|0560-00'!Department</vt:lpstr>
      <vt:lpstr>Department</vt:lpstr>
      <vt:lpstr>DHR</vt:lpstr>
      <vt:lpstr>DHRBY</vt:lpstr>
      <vt:lpstr>DHRCHG</vt:lpstr>
      <vt:lpstr>'GVFA|0550-01'!Division</vt:lpstr>
      <vt:lpstr>'GVFB|0550-02'!Division</vt:lpstr>
      <vt:lpstr>'GVFJ|0560-00'!Division</vt:lpstr>
      <vt:lpstr>Division</vt:lpstr>
      <vt:lpstr>'GVFA|0550-01'!DUCECElect</vt:lpstr>
      <vt:lpstr>'GVFB|0550-02'!DUCECElect</vt:lpstr>
      <vt:lpstr>'GVFJ|0560-00'!DUCECElect</vt:lpstr>
      <vt:lpstr>DUCECElect</vt:lpstr>
      <vt:lpstr>'GVFA|0550-01'!DUCECGroup</vt:lpstr>
      <vt:lpstr>'GVFB|0550-02'!DUCECGroup</vt:lpstr>
      <vt:lpstr>'GVFJ|0560-00'!DUCECGroup</vt:lpstr>
      <vt:lpstr>DUCECGroup</vt:lpstr>
      <vt:lpstr>'GVFA|0550-01'!DUCECPerm</vt:lpstr>
      <vt:lpstr>'GVFB|0550-02'!DUCECPerm</vt:lpstr>
      <vt:lpstr>'GVFJ|0560-00'!DUCECPerm</vt:lpstr>
      <vt:lpstr>DUCECPerm</vt:lpstr>
      <vt:lpstr>'GVFA|0550-01'!DUEleven</vt:lpstr>
      <vt:lpstr>'GVFB|0550-02'!DUEleven</vt:lpstr>
      <vt:lpstr>'GVFJ|0560-00'!DUEleven</vt:lpstr>
      <vt:lpstr>DUEleven</vt:lpstr>
      <vt:lpstr>'GVFA|0550-01'!DUHealthBen</vt:lpstr>
      <vt:lpstr>'GVFB|0550-02'!DUHealthBen</vt:lpstr>
      <vt:lpstr>'GVFJ|0560-00'!DUHealthBen</vt:lpstr>
      <vt:lpstr>DUHealthBen</vt:lpstr>
      <vt:lpstr>'GVFA|0550-01'!DUNine</vt:lpstr>
      <vt:lpstr>'GVFB|0550-02'!DUNine</vt:lpstr>
      <vt:lpstr>'GVFJ|0560-00'!DUNine</vt:lpstr>
      <vt:lpstr>DUNine</vt:lpstr>
      <vt:lpstr>'GVFA|0550-01'!DUThirteen</vt:lpstr>
      <vt:lpstr>'GVFB|0550-02'!DUThirteen</vt:lpstr>
      <vt:lpstr>'GVFJ|0560-00'!DUThirteen</vt:lpstr>
      <vt:lpstr>DUThirteen</vt:lpstr>
      <vt:lpstr>'GVFA|0550-01'!DUVariableBen</vt:lpstr>
      <vt:lpstr>'GVFB|0550-02'!DUVariableBen</vt:lpstr>
      <vt:lpstr>'GVFJ|0560-00'!DUVariableBen</vt:lpstr>
      <vt:lpstr>DUVariableBen</vt:lpstr>
      <vt:lpstr>'GVFA|0550-01'!Elect_chg_health</vt:lpstr>
      <vt:lpstr>'GVFB|0550-02'!Elect_chg_health</vt:lpstr>
      <vt:lpstr>'GVFJ|0560-00'!Elect_chg_health</vt:lpstr>
      <vt:lpstr>Elect_chg_health</vt:lpstr>
      <vt:lpstr>'GVFA|0550-01'!Elect_chg_Var</vt:lpstr>
      <vt:lpstr>'GVFB|0550-02'!Elect_chg_Var</vt:lpstr>
      <vt:lpstr>'GVFJ|0560-00'!Elect_chg_Var</vt:lpstr>
      <vt:lpstr>Elect_chg_Var</vt:lpstr>
      <vt:lpstr>'GVFA|0550-01'!elect_FTP</vt:lpstr>
      <vt:lpstr>'GVFB|0550-02'!elect_FTP</vt:lpstr>
      <vt:lpstr>'GVFJ|0560-00'!elect_FTP</vt:lpstr>
      <vt:lpstr>elect_FTP</vt:lpstr>
      <vt:lpstr>'GVFA|0550-01'!Elect_health</vt:lpstr>
      <vt:lpstr>'GVFB|0550-02'!Elect_health</vt:lpstr>
      <vt:lpstr>'GVFJ|0560-00'!Elect_health</vt:lpstr>
      <vt:lpstr>Elect_health</vt:lpstr>
      <vt:lpstr>'GVFA|0550-01'!Elect_name</vt:lpstr>
      <vt:lpstr>'GVFB|0550-02'!Elect_name</vt:lpstr>
      <vt:lpstr>'GVFJ|0560-00'!Elect_name</vt:lpstr>
      <vt:lpstr>Elect_name</vt:lpstr>
      <vt:lpstr>'GVFA|0550-01'!Elect_salary</vt:lpstr>
      <vt:lpstr>'GVFB|0550-02'!Elect_salary</vt:lpstr>
      <vt:lpstr>'GVFJ|0560-00'!Elect_salary</vt:lpstr>
      <vt:lpstr>Elect_salary</vt:lpstr>
      <vt:lpstr>'GVFA|0550-01'!Elect_Var</vt:lpstr>
      <vt:lpstr>'GVFB|0550-02'!Elect_Var</vt:lpstr>
      <vt:lpstr>'GVFJ|0560-00'!Elect_Var</vt:lpstr>
      <vt:lpstr>Elect_Var</vt:lpstr>
      <vt:lpstr>'GVFA|0550-01'!Elect_VarBen</vt:lpstr>
      <vt:lpstr>'GVFB|0550-02'!Elect_VarBen</vt:lpstr>
      <vt:lpstr>'GVFJ|0560-00'!Elect_VarBen</vt:lpstr>
      <vt:lpstr>Elect_VarBen</vt:lpstr>
      <vt:lpstr>ElectVB</vt:lpstr>
      <vt:lpstr>ElectVBBY</vt:lpstr>
      <vt:lpstr>ElectVBCHG</vt:lpstr>
      <vt:lpstr>FillRate_Avg</vt:lpstr>
      <vt:lpstr>'GVFA|0550-01'!FiscalYear</vt:lpstr>
      <vt:lpstr>'GVFB|0550-02'!FiscalYear</vt:lpstr>
      <vt:lpstr>'GVFJ|0560-00'!FiscalYear</vt:lpstr>
      <vt:lpstr>FiscalYear</vt:lpstr>
      <vt:lpstr>'GVFA|0550-01'!FundName</vt:lpstr>
      <vt:lpstr>'GVFB|0550-02'!FundName</vt:lpstr>
      <vt:lpstr>'GVFJ|0560-00'!FundName</vt:lpstr>
      <vt:lpstr>FundName</vt:lpstr>
      <vt:lpstr>'GVFA|0550-01'!FundNum</vt:lpstr>
      <vt:lpstr>'GVFB|0550-02'!FundNum</vt:lpstr>
      <vt:lpstr>'GVFJ|0560-00'!FundNum</vt:lpstr>
      <vt:lpstr>FundNum</vt:lpstr>
      <vt:lpstr>'GVFA|0550-01'!FundNumber</vt:lpstr>
      <vt:lpstr>'GVFB|0550-02'!FundNumber</vt:lpstr>
      <vt:lpstr>'GVFJ|0560-00'!FundNumber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'GVFA|0550-01'!Group_name</vt:lpstr>
      <vt:lpstr>'GVFB|0550-02'!Group_name</vt:lpstr>
      <vt:lpstr>'GVFJ|0560-00'!Group_name</vt:lpstr>
      <vt:lpstr>Group_name</vt:lpstr>
      <vt:lpstr>'GVFA|0550-01'!GroupFxdBen</vt:lpstr>
      <vt:lpstr>'GVFB|0550-02'!GroupFxdBen</vt:lpstr>
      <vt:lpstr>'GVFJ|0560-00'!GroupFxdBen</vt:lpstr>
      <vt:lpstr>GroupFxdBen</vt:lpstr>
      <vt:lpstr>'GVFA|0550-01'!GroupSalary</vt:lpstr>
      <vt:lpstr>'GVFB|0550-02'!GroupSalary</vt:lpstr>
      <vt:lpstr>'GVFJ|0560-00'!GroupSalary</vt:lpstr>
      <vt:lpstr>GroupSalary</vt:lpstr>
      <vt:lpstr>'GVFA|0550-01'!GroupVarBen</vt:lpstr>
      <vt:lpstr>'GVFB|0550-02'!GroupVarBen</vt:lpstr>
      <vt:lpstr>'GVFJ|0560-00'!GroupVarBen</vt:lpstr>
      <vt:lpstr>GroupVarBen</vt:lpstr>
      <vt:lpstr>GroupVB</vt:lpstr>
      <vt:lpstr>GroupVBBY</vt:lpstr>
      <vt:lpstr>GroupVBCHG</vt:lpstr>
      <vt:lpstr>GVFA055001col_1_27TH_PP</vt:lpstr>
      <vt:lpstr>GVFA055001col_DHR</vt:lpstr>
      <vt:lpstr>GVFA055001col_DHR_BY</vt:lpstr>
      <vt:lpstr>GVFA055001col_DHR_CHG</vt:lpstr>
      <vt:lpstr>GVFA055001col_FTI_SALARY_ELECT</vt:lpstr>
      <vt:lpstr>GVFA055001col_FTI_SALARY_PERM</vt:lpstr>
      <vt:lpstr>GVFA055001col_FTI_SALARY_SSDI</vt:lpstr>
      <vt:lpstr>GVFA055001col_Group_Ben</vt:lpstr>
      <vt:lpstr>GVFA055001col_Group_Salary</vt:lpstr>
      <vt:lpstr>GVFA055001col_HEALTH_ELECT</vt:lpstr>
      <vt:lpstr>GVFA055001col_HEALTH_ELECT_BY</vt:lpstr>
      <vt:lpstr>GVFA055001col_HEALTH_ELECT_CHG</vt:lpstr>
      <vt:lpstr>GVFA055001col_HEALTH_PERM</vt:lpstr>
      <vt:lpstr>GVFA055001col_HEALTH_PERM_BY</vt:lpstr>
      <vt:lpstr>GVFA055001col_HEALTH_PERM_CHG</vt:lpstr>
      <vt:lpstr>GVFA055001col_INC_FTI</vt:lpstr>
      <vt:lpstr>GVFA055001col_LIFE_INS</vt:lpstr>
      <vt:lpstr>GVFA055001col_LIFE_INS_BY</vt:lpstr>
      <vt:lpstr>GVFA055001col_LIFE_INS_CHG</vt:lpstr>
      <vt:lpstr>GVFA055001col_RETIREMENT</vt:lpstr>
      <vt:lpstr>GVFA055001col_RETIREMENT_BY</vt:lpstr>
      <vt:lpstr>GVFA055001col_RETIREMENT_CHG</vt:lpstr>
      <vt:lpstr>GVFA055001col_ROWS_PER_PCN</vt:lpstr>
      <vt:lpstr>GVFA055001col_SICK</vt:lpstr>
      <vt:lpstr>GVFA055001col_SICK_BY</vt:lpstr>
      <vt:lpstr>GVFA055001col_SICK_CHG</vt:lpstr>
      <vt:lpstr>GVFA055001col_SSDI</vt:lpstr>
      <vt:lpstr>GVFA055001col_SSDI_BY</vt:lpstr>
      <vt:lpstr>GVFA055001col_SSDI_CHG</vt:lpstr>
      <vt:lpstr>GVFA055001col_SSHI</vt:lpstr>
      <vt:lpstr>GVFA055001col_SSHI_BY</vt:lpstr>
      <vt:lpstr>GVFA055001col_SSHI_CHGv</vt:lpstr>
      <vt:lpstr>GVFA055001col_TOT_VB_ELECT</vt:lpstr>
      <vt:lpstr>GVFA055001col_TOT_VB_ELECT_BY</vt:lpstr>
      <vt:lpstr>GVFA055001col_TOT_VB_ELECT_CHG</vt:lpstr>
      <vt:lpstr>GVFA055001col_TOT_VB_PERM</vt:lpstr>
      <vt:lpstr>GVFA055001col_TOT_VB_PERM_BY</vt:lpstr>
      <vt:lpstr>GVFA055001col_TOT_VB_PERM_CHG</vt:lpstr>
      <vt:lpstr>GVFA055001col_TOTAL_ELECT_PCN_FTI</vt:lpstr>
      <vt:lpstr>GVFA055001col_TOTAL_ELECT_PCN_FTI_ALT</vt:lpstr>
      <vt:lpstr>GVFA055001col_TOTAL_PERM_PCN_FTI</vt:lpstr>
      <vt:lpstr>GVFA055001col_UNEMP_INS</vt:lpstr>
      <vt:lpstr>GVFA055001col_UNEMP_INS_BY</vt:lpstr>
      <vt:lpstr>GVFA055001col_UNEMP_INS_CHG</vt:lpstr>
      <vt:lpstr>GVFA055001col_WORKERS_COMP</vt:lpstr>
      <vt:lpstr>GVFA055001col_WORKERS_COMP_BY</vt:lpstr>
      <vt:lpstr>GVFA055001col_WORKERS_COMP_CHG</vt:lpstr>
      <vt:lpstr>GVFB055002col_1_27TH_PP</vt:lpstr>
      <vt:lpstr>GVFB055002col_DHR</vt:lpstr>
      <vt:lpstr>GVFB055002col_DHR_BY</vt:lpstr>
      <vt:lpstr>GVFB055002col_DHR_CHG</vt:lpstr>
      <vt:lpstr>GVFB055002col_FTI_SALARY_ELECT</vt:lpstr>
      <vt:lpstr>GVFB055002col_FTI_SALARY_PERM</vt:lpstr>
      <vt:lpstr>GVFB055002col_FTI_SALARY_SSDI</vt:lpstr>
      <vt:lpstr>GVFB055002col_Group_Ben</vt:lpstr>
      <vt:lpstr>GVFB055002col_Group_Salary</vt:lpstr>
      <vt:lpstr>GVFB055002col_HEALTH_ELECT</vt:lpstr>
      <vt:lpstr>GVFB055002col_HEALTH_ELECT_BY</vt:lpstr>
      <vt:lpstr>GVFB055002col_HEALTH_ELECT_CHG</vt:lpstr>
      <vt:lpstr>GVFB055002col_HEALTH_PERM</vt:lpstr>
      <vt:lpstr>GVFB055002col_HEALTH_PERM_BY</vt:lpstr>
      <vt:lpstr>GVFB055002col_HEALTH_PERM_CHG</vt:lpstr>
      <vt:lpstr>GVFB055002col_INC_FTI</vt:lpstr>
      <vt:lpstr>GVFB055002col_LIFE_INS</vt:lpstr>
      <vt:lpstr>GVFB055002col_LIFE_INS_BY</vt:lpstr>
      <vt:lpstr>GVFB055002col_LIFE_INS_CHG</vt:lpstr>
      <vt:lpstr>GVFB055002col_RETIREMENT</vt:lpstr>
      <vt:lpstr>GVFB055002col_RETIREMENT_BY</vt:lpstr>
      <vt:lpstr>GVFB055002col_RETIREMENT_CHG</vt:lpstr>
      <vt:lpstr>GVFB055002col_ROWS_PER_PCN</vt:lpstr>
      <vt:lpstr>GVFB055002col_SICK</vt:lpstr>
      <vt:lpstr>GVFB055002col_SICK_BY</vt:lpstr>
      <vt:lpstr>GVFB055002col_SICK_CHG</vt:lpstr>
      <vt:lpstr>GVFB055002col_SSDI</vt:lpstr>
      <vt:lpstr>GVFB055002col_SSDI_BY</vt:lpstr>
      <vt:lpstr>GVFB055002col_SSDI_CHG</vt:lpstr>
      <vt:lpstr>GVFB055002col_SSHI</vt:lpstr>
      <vt:lpstr>GVFB055002col_SSHI_BY</vt:lpstr>
      <vt:lpstr>GVFB055002col_SSHI_CHGv</vt:lpstr>
      <vt:lpstr>GVFB055002col_TOT_VB_ELECT</vt:lpstr>
      <vt:lpstr>GVFB055002col_TOT_VB_ELECT_BY</vt:lpstr>
      <vt:lpstr>GVFB055002col_TOT_VB_ELECT_CHG</vt:lpstr>
      <vt:lpstr>GVFB055002col_TOT_VB_PERM</vt:lpstr>
      <vt:lpstr>GVFB055002col_TOT_VB_PERM_BY</vt:lpstr>
      <vt:lpstr>GVFB055002col_TOT_VB_PERM_CHG</vt:lpstr>
      <vt:lpstr>GVFB055002col_TOTAL_ELECT_PCN_FTI</vt:lpstr>
      <vt:lpstr>GVFB055002col_TOTAL_ELECT_PCN_FTI_ALT</vt:lpstr>
      <vt:lpstr>GVFB055002col_TOTAL_PERM_PCN_FTI</vt:lpstr>
      <vt:lpstr>GVFB055002col_UNEMP_INS</vt:lpstr>
      <vt:lpstr>GVFB055002col_UNEMP_INS_BY</vt:lpstr>
      <vt:lpstr>GVFB055002col_UNEMP_INS_CHG</vt:lpstr>
      <vt:lpstr>GVFB055002col_WORKERS_COMP</vt:lpstr>
      <vt:lpstr>GVFB055002col_WORKERS_COMP_BY</vt:lpstr>
      <vt:lpstr>GVFB055002col_WORKERS_COMP_CHG</vt:lpstr>
      <vt:lpstr>GVFC055002col_1_27TH_PP</vt:lpstr>
      <vt:lpstr>GVFC055002col_DHR</vt:lpstr>
      <vt:lpstr>GVFC055002col_DHR_BY</vt:lpstr>
      <vt:lpstr>GVFC055002col_DHR_CHG</vt:lpstr>
      <vt:lpstr>GVFC055002col_FTI_SALARY_ELECT</vt:lpstr>
      <vt:lpstr>GVFC055002col_FTI_SALARY_PERM</vt:lpstr>
      <vt:lpstr>GVFC055002col_FTI_SALARY_SSDI</vt:lpstr>
      <vt:lpstr>GVFC055002col_Group_Ben</vt:lpstr>
      <vt:lpstr>GVFC055002col_Group_Salary</vt:lpstr>
      <vt:lpstr>GVFC055002col_HEALTH_ELECT</vt:lpstr>
      <vt:lpstr>GVFC055002col_HEALTH_ELECT_BY</vt:lpstr>
      <vt:lpstr>GVFC055002col_HEALTH_ELECT_CHG</vt:lpstr>
      <vt:lpstr>GVFC055002col_HEALTH_PERM</vt:lpstr>
      <vt:lpstr>GVFC055002col_HEALTH_PERM_BY</vt:lpstr>
      <vt:lpstr>GVFC055002col_HEALTH_PERM_CHG</vt:lpstr>
      <vt:lpstr>GVFC055002col_INC_FTI</vt:lpstr>
      <vt:lpstr>GVFC055002col_LIFE_INS</vt:lpstr>
      <vt:lpstr>GVFC055002col_LIFE_INS_BY</vt:lpstr>
      <vt:lpstr>GVFC055002col_LIFE_INS_CHG</vt:lpstr>
      <vt:lpstr>GVFC055002col_RETIREMENT</vt:lpstr>
      <vt:lpstr>GVFC055002col_RETIREMENT_BY</vt:lpstr>
      <vt:lpstr>GVFC055002col_RETIREMENT_CHG</vt:lpstr>
      <vt:lpstr>GVFC055002col_ROWS_PER_PCN</vt:lpstr>
      <vt:lpstr>GVFC055002col_SICK</vt:lpstr>
      <vt:lpstr>GVFC055002col_SICK_BY</vt:lpstr>
      <vt:lpstr>GVFC055002col_SICK_CHG</vt:lpstr>
      <vt:lpstr>GVFC055002col_SSDI</vt:lpstr>
      <vt:lpstr>GVFC055002col_SSDI_BY</vt:lpstr>
      <vt:lpstr>GVFC055002col_SSDI_CHG</vt:lpstr>
      <vt:lpstr>GVFC055002col_SSHI</vt:lpstr>
      <vt:lpstr>GVFC055002col_SSHI_BY</vt:lpstr>
      <vt:lpstr>GVFC055002col_SSHI_CHGv</vt:lpstr>
      <vt:lpstr>GVFC055002col_TOT_VB_ELECT</vt:lpstr>
      <vt:lpstr>GVFC055002col_TOT_VB_ELECT_BY</vt:lpstr>
      <vt:lpstr>GVFC055002col_TOT_VB_ELECT_CHG</vt:lpstr>
      <vt:lpstr>GVFC055002col_TOT_VB_PERM</vt:lpstr>
      <vt:lpstr>GVFC055002col_TOT_VB_PERM_BY</vt:lpstr>
      <vt:lpstr>GVFC055002col_TOT_VB_PERM_CHG</vt:lpstr>
      <vt:lpstr>GVFC055002col_TOTAL_ELECT_PCN_FTI</vt:lpstr>
      <vt:lpstr>GVFC055002col_TOTAL_ELECT_PCN_FTI_ALT</vt:lpstr>
      <vt:lpstr>GVFC055002col_TOTAL_PERM_PCN_FTI</vt:lpstr>
      <vt:lpstr>GVFC055002col_UNEMP_INS</vt:lpstr>
      <vt:lpstr>GVFC055002col_UNEMP_INS_BY</vt:lpstr>
      <vt:lpstr>GVFC055002col_UNEMP_INS_CHG</vt:lpstr>
      <vt:lpstr>GVFC055002col_WORKERS_COMP</vt:lpstr>
      <vt:lpstr>GVFC055002col_WORKERS_COMP_BY</vt:lpstr>
      <vt:lpstr>GVFC055002col_WORKERS_COMP_CHG</vt:lpstr>
      <vt:lpstr>GVFE056000col_1_27TH_PP</vt:lpstr>
      <vt:lpstr>GVFE056000col_DHR</vt:lpstr>
      <vt:lpstr>GVFE056000col_DHR_BY</vt:lpstr>
      <vt:lpstr>GVFE056000col_DHR_CHG</vt:lpstr>
      <vt:lpstr>GVFE056000col_FTI_SALARY_ELECT</vt:lpstr>
      <vt:lpstr>GVFE056000col_FTI_SALARY_PERM</vt:lpstr>
      <vt:lpstr>GVFE056000col_FTI_SALARY_SSDI</vt:lpstr>
      <vt:lpstr>GVFE056000col_Group_Ben</vt:lpstr>
      <vt:lpstr>GVFE056000col_Group_Salary</vt:lpstr>
      <vt:lpstr>GVFE056000col_HEALTH_ELECT</vt:lpstr>
      <vt:lpstr>GVFE056000col_HEALTH_ELECT_BY</vt:lpstr>
      <vt:lpstr>GVFE056000col_HEALTH_ELECT_CHG</vt:lpstr>
      <vt:lpstr>GVFE056000col_HEALTH_PERM</vt:lpstr>
      <vt:lpstr>GVFE056000col_HEALTH_PERM_BY</vt:lpstr>
      <vt:lpstr>GVFE056000col_HEALTH_PERM_CHG</vt:lpstr>
      <vt:lpstr>GVFE056000col_INC_FTI</vt:lpstr>
      <vt:lpstr>GVFE056000col_LIFE_INS</vt:lpstr>
      <vt:lpstr>GVFE056000col_LIFE_INS_BY</vt:lpstr>
      <vt:lpstr>GVFE056000col_LIFE_INS_CHG</vt:lpstr>
      <vt:lpstr>GVFE056000col_RETIREMENT</vt:lpstr>
      <vt:lpstr>GVFE056000col_RETIREMENT_BY</vt:lpstr>
      <vt:lpstr>GVFE056000col_RETIREMENT_CHG</vt:lpstr>
      <vt:lpstr>GVFE056000col_ROWS_PER_PCN</vt:lpstr>
      <vt:lpstr>GVFE056000col_SICK</vt:lpstr>
      <vt:lpstr>GVFE056000col_SICK_BY</vt:lpstr>
      <vt:lpstr>GVFE056000col_SICK_CHG</vt:lpstr>
      <vt:lpstr>GVFE056000col_SSDI</vt:lpstr>
      <vt:lpstr>GVFE056000col_SSDI_BY</vt:lpstr>
      <vt:lpstr>GVFE056000col_SSDI_CHG</vt:lpstr>
      <vt:lpstr>GVFE056000col_SSHI</vt:lpstr>
      <vt:lpstr>GVFE056000col_SSHI_BY</vt:lpstr>
      <vt:lpstr>GVFE056000col_SSHI_CHGv</vt:lpstr>
      <vt:lpstr>GVFE056000col_TOT_VB_ELECT</vt:lpstr>
      <vt:lpstr>GVFE056000col_TOT_VB_ELECT_BY</vt:lpstr>
      <vt:lpstr>GVFE056000col_TOT_VB_ELECT_CHG</vt:lpstr>
      <vt:lpstr>GVFE056000col_TOT_VB_PERM</vt:lpstr>
      <vt:lpstr>GVFE056000col_TOT_VB_PERM_BY</vt:lpstr>
      <vt:lpstr>GVFE056000col_TOT_VB_PERM_CHG</vt:lpstr>
      <vt:lpstr>GVFE056000col_TOTAL_ELECT_PCN_FTI</vt:lpstr>
      <vt:lpstr>GVFE056000col_TOTAL_ELECT_PCN_FTI_ALT</vt:lpstr>
      <vt:lpstr>GVFE056000col_TOTAL_PERM_PCN_FTI</vt:lpstr>
      <vt:lpstr>GVFE056000col_UNEMP_INS</vt:lpstr>
      <vt:lpstr>GVFE056000col_UNEMP_INS_BY</vt:lpstr>
      <vt:lpstr>GVFE056000col_UNEMP_INS_CHG</vt:lpstr>
      <vt:lpstr>GVFE056000col_WORKERS_COMP</vt:lpstr>
      <vt:lpstr>GVFE056000col_WORKERS_COMP_BY</vt:lpstr>
      <vt:lpstr>GVFE056000col_WORKERS_COMP_CHG</vt:lpstr>
      <vt:lpstr>GVFJ056000col_1_27TH_PP</vt:lpstr>
      <vt:lpstr>GVFJ056000col_DHR</vt:lpstr>
      <vt:lpstr>GVFJ056000col_DHR_BY</vt:lpstr>
      <vt:lpstr>GVFJ056000col_DHR_CHG</vt:lpstr>
      <vt:lpstr>GVFJ056000col_FTI_SALARY_ELECT</vt:lpstr>
      <vt:lpstr>GVFJ056000col_FTI_SALARY_PERM</vt:lpstr>
      <vt:lpstr>GVFJ056000col_FTI_SALARY_SSDI</vt:lpstr>
      <vt:lpstr>GVFJ056000col_Group_Ben</vt:lpstr>
      <vt:lpstr>GVFJ056000col_Group_Salary</vt:lpstr>
      <vt:lpstr>GVFJ056000col_HEALTH_ELECT</vt:lpstr>
      <vt:lpstr>GVFJ056000col_HEALTH_ELECT_BY</vt:lpstr>
      <vt:lpstr>GVFJ056000col_HEALTH_ELECT_CHG</vt:lpstr>
      <vt:lpstr>GVFJ056000col_HEALTH_PERM</vt:lpstr>
      <vt:lpstr>GVFJ056000col_HEALTH_PERM_BY</vt:lpstr>
      <vt:lpstr>GVFJ056000col_HEALTH_PERM_CHG</vt:lpstr>
      <vt:lpstr>GVFJ056000col_INC_FTI</vt:lpstr>
      <vt:lpstr>GVFJ056000col_LIFE_INS</vt:lpstr>
      <vt:lpstr>GVFJ056000col_LIFE_INS_BY</vt:lpstr>
      <vt:lpstr>GVFJ056000col_LIFE_INS_CHG</vt:lpstr>
      <vt:lpstr>GVFJ056000col_RETIREMENT</vt:lpstr>
      <vt:lpstr>GVFJ056000col_RETIREMENT_BY</vt:lpstr>
      <vt:lpstr>GVFJ056000col_RETIREMENT_CHG</vt:lpstr>
      <vt:lpstr>GVFJ056000col_ROWS_PER_PCN</vt:lpstr>
      <vt:lpstr>GVFJ056000col_SICK</vt:lpstr>
      <vt:lpstr>GVFJ056000col_SICK_BY</vt:lpstr>
      <vt:lpstr>GVFJ056000col_SICK_CHG</vt:lpstr>
      <vt:lpstr>GVFJ056000col_SSDI</vt:lpstr>
      <vt:lpstr>GVFJ056000col_SSDI_BY</vt:lpstr>
      <vt:lpstr>GVFJ056000col_SSDI_CHG</vt:lpstr>
      <vt:lpstr>GVFJ056000col_SSHI</vt:lpstr>
      <vt:lpstr>GVFJ056000col_SSHI_BY</vt:lpstr>
      <vt:lpstr>GVFJ056000col_SSHI_CHGv</vt:lpstr>
      <vt:lpstr>GVFJ056000col_TOT_VB_ELECT</vt:lpstr>
      <vt:lpstr>GVFJ056000col_TOT_VB_ELECT_BY</vt:lpstr>
      <vt:lpstr>GVFJ056000col_TOT_VB_ELECT_CHG</vt:lpstr>
      <vt:lpstr>GVFJ056000col_TOT_VB_PERM</vt:lpstr>
      <vt:lpstr>GVFJ056000col_TOT_VB_PERM_BY</vt:lpstr>
      <vt:lpstr>GVFJ056000col_TOT_VB_PERM_CHG</vt:lpstr>
      <vt:lpstr>GVFJ056000col_TOTAL_ELECT_PCN_FTI</vt:lpstr>
      <vt:lpstr>GVFJ056000col_TOTAL_ELECT_PCN_FTI_ALT</vt:lpstr>
      <vt:lpstr>GVFJ056000col_TOTAL_PERM_PCN_FTI</vt:lpstr>
      <vt:lpstr>GVFJ056000col_UNEMP_INS</vt:lpstr>
      <vt:lpstr>GVFJ056000col_UNEMP_INS_BY</vt:lpstr>
      <vt:lpstr>GVFJ056000col_UNEMP_INS_CHG</vt:lpstr>
      <vt:lpstr>GVFJ056000col_WORKERS_COMP</vt:lpstr>
      <vt:lpstr>GVFJ056000col_WORKERS_COMP_BY</vt:lpstr>
      <vt:lpstr>GVFJ056000col_WORKERS_COMP_CHG</vt:lpstr>
      <vt:lpstr>Health</vt:lpstr>
      <vt:lpstr>HealthBY</vt:lpstr>
      <vt:lpstr>HealthCHG</vt:lpstr>
      <vt:lpstr>Life</vt:lpstr>
      <vt:lpstr>LifeBY</vt:lpstr>
      <vt:lpstr>LifeCHG</vt:lpstr>
      <vt:lpstr>'GVFA|0550-01'!LUMAFund</vt:lpstr>
      <vt:lpstr>'GVFB|0550-02'!LUMAFund</vt:lpstr>
      <vt:lpstr>'GVFJ|0560-00'!LUMAFund</vt:lpstr>
      <vt:lpstr>LUMAFund</vt:lpstr>
      <vt:lpstr>MAXSSDI</vt:lpstr>
      <vt:lpstr>MAXSSDIBY</vt:lpstr>
      <vt:lpstr>'GVFA|0550-01'!NEW_AdjGroup</vt:lpstr>
      <vt:lpstr>'GVFB|0550-02'!NEW_AdjGroup</vt:lpstr>
      <vt:lpstr>'GVFJ|0560-00'!NEW_AdjGroup</vt:lpstr>
      <vt:lpstr>NEW_AdjGroup</vt:lpstr>
      <vt:lpstr>'GVFA|0550-01'!NEW_AdjGroupSalary</vt:lpstr>
      <vt:lpstr>'GVFB|0550-02'!NEW_AdjGroupSalary</vt:lpstr>
      <vt:lpstr>'GVFJ|0560-00'!NEW_AdjGroupSalary</vt:lpstr>
      <vt:lpstr>NEW_AdjGroupSalary</vt:lpstr>
      <vt:lpstr>'GVFA|0550-01'!NEW_AdjGroupVB</vt:lpstr>
      <vt:lpstr>'GVFB|0550-02'!NEW_AdjGroupVB</vt:lpstr>
      <vt:lpstr>'GVFJ|0560-00'!NEW_AdjGroupVB</vt:lpstr>
      <vt:lpstr>NEW_AdjGroupVB</vt:lpstr>
      <vt:lpstr>'GVFA|0550-01'!NEW_AdjONLYGroup</vt:lpstr>
      <vt:lpstr>'GVFB|0550-02'!NEW_AdjONLYGroup</vt:lpstr>
      <vt:lpstr>'GVFJ|0560-00'!NEW_AdjONLYGroup</vt:lpstr>
      <vt:lpstr>NEW_AdjONLYGroup</vt:lpstr>
      <vt:lpstr>'GVFA|0550-01'!NEW_AdjONLYGroupSalary</vt:lpstr>
      <vt:lpstr>'GVFB|0550-02'!NEW_AdjONLYGroupSalary</vt:lpstr>
      <vt:lpstr>'GVFJ|0560-00'!NEW_AdjONLYGroupSalary</vt:lpstr>
      <vt:lpstr>NEW_AdjONLYGroupSalary</vt:lpstr>
      <vt:lpstr>'GVFA|0550-01'!NEW_AdjONLYGroupVB</vt:lpstr>
      <vt:lpstr>'GVFB|0550-02'!NEW_AdjONLYGroupVB</vt:lpstr>
      <vt:lpstr>'GVFJ|0560-00'!NEW_AdjONLYGroupVB</vt:lpstr>
      <vt:lpstr>NEW_AdjONLYGroupVB</vt:lpstr>
      <vt:lpstr>'GVFA|0550-01'!NEW_AdjONLYPerm</vt:lpstr>
      <vt:lpstr>'GVFB|0550-02'!NEW_AdjONLYPerm</vt:lpstr>
      <vt:lpstr>'GVFJ|0560-00'!NEW_AdjONLYPerm</vt:lpstr>
      <vt:lpstr>NEW_AdjONLYPerm</vt:lpstr>
      <vt:lpstr>'GVFA|0550-01'!NEW_AdjONLYPermSalary</vt:lpstr>
      <vt:lpstr>'GVFB|0550-02'!NEW_AdjONLYPermSalary</vt:lpstr>
      <vt:lpstr>'GVFJ|0560-00'!NEW_AdjONLYPermSalary</vt:lpstr>
      <vt:lpstr>NEW_AdjONLYPermSalary</vt:lpstr>
      <vt:lpstr>'GVFA|0550-01'!NEW_AdjONLYPermVB</vt:lpstr>
      <vt:lpstr>'GVFB|0550-02'!NEW_AdjONLYPermVB</vt:lpstr>
      <vt:lpstr>'GVFJ|0560-00'!NEW_AdjONLYPermVB</vt:lpstr>
      <vt:lpstr>NEW_AdjONLYPermVB</vt:lpstr>
      <vt:lpstr>'GVFA|0550-01'!NEW_AdjPerm</vt:lpstr>
      <vt:lpstr>'GVFB|0550-02'!NEW_AdjPerm</vt:lpstr>
      <vt:lpstr>'GVFJ|0560-00'!NEW_AdjPerm</vt:lpstr>
      <vt:lpstr>NEW_AdjPerm</vt:lpstr>
      <vt:lpstr>'GVFA|0550-01'!NEW_AdjPermSalary</vt:lpstr>
      <vt:lpstr>'GVFB|0550-02'!NEW_AdjPermSalary</vt:lpstr>
      <vt:lpstr>'GVFJ|0560-00'!NEW_AdjPermSalary</vt:lpstr>
      <vt:lpstr>NEW_AdjPermSalary</vt:lpstr>
      <vt:lpstr>'GVFA|0550-01'!NEW_AdjPermVB</vt:lpstr>
      <vt:lpstr>'GVFB|0550-02'!NEW_AdjPermVB</vt:lpstr>
      <vt:lpstr>'GVFJ|0560-00'!NEW_AdjPermVB</vt:lpstr>
      <vt:lpstr>NEW_AdjPermVB</vt:lpstr>
      <vt:lpstr>'GVFA|0550-01'!NEW_GroupFilled</vt:lpstr>
      <vt:lpstr>'GVFB|0550-02'!NEW_GroupFilled</vt:lpstr>
      <vt:lpstr>'GVFJ|0560-00'!NEW_GroupFilled</vt:lpstr>
      <vt:lpstr>NEW_GroupFilled</vt:lpstr>
      <vt:lpstr>'GVFA|0550-01'!NEW_GroupSalaryFilled</vt:lpstr>
      <vt:lpstr>'GVFB|0550-02'!NEW_GroupSalaryFilled</vt:lpstr>
      <vt:lpstr>'GVFJ|0560-00'!NEW_GroupSalaryFilled</vt:lpstr>
      <vt:lpstr>NEW_GroupSalaryFilled</vt:lpstr>
      <vt:lpstr>'GVFA|0550-01'!NEW_GroupVBFilled</vt:lpstr>
      <vt:lpstr>'GVFB|0550-02'!NEW_GroupVBFilled</vt:lpstr>
      <vt:lpstr>'GVFJ|0560-00'!NEW_GroupVBFilled</vt:lpstr>
      <vt:lpstr>NEW_GroupVBFilled</vt:lpstr>
      <vt:lpstr>'GVFA|0550-01'!NEW_PermFilled</vt:lpstr>
      <vt:lpstr>'GVFB|0550-02'!NEW_PermFilled</vt:lpstr>
      <vt:lpstr>'GVFJ|0560-00'!NEW_PermFilled</vt:lpstr>
      <vt:lpstr>NEW_PermFilled</vt:lpstr>
      <vt:lpstr>'GVFA|0550-01'!NEW_PermSalaryFilled</vt:lpstr>
      <vt:lpstr>'GVFB|0550-02'!NEW_PermSalaryFilled</vt:lpstr>
      <vt:lpstr>'GVFJ|0560-00'!NEW_PermSalaryFilled</vt:lpstr>
      <vt:lpstr>NEW_PermSalaryFilled</vt:lpstr>
      <vt:lpstr>'GVFA|0550-01'!NEW_PermVBFilled</vt:lpstr>
      <vt:lpstr>'GVFB|0550-02'!NEW_PermVBFilled</vt:lpstr>
      <vt:lpstr>'GVFJ|0560-00'!NEW_PermVBFilled</vt:lpstr>
      <vt:lpstr>NEW_PermVBFilled</vt:lpstr>
      <vt:lpstr>'GVFA|0550-01'!OneTimePC_Total</vt:lpstr>
      <vt:lpstr>'GVFB|0550-02'!OneTimePC_Total</vt:lpstr>
      <vt:lpstr>'GVFJ|0560-00'!OneTimePC_Total</vt:lpstr>
      <vt:lpstr>OneTimePC_Total</vt:lpstr>
      <vt:lpstr>'GVFA|0550-01'!OrigApprop</vt:lpstr>
      <vt:lpstr>'GVFB|0550-02'!OrigApprop</vt:lpstr>
      <vt:lpstr>'GVFJ|0560-00'!OrigApprop</vt:lpstr>
      <vt:lpstr>OrigApprop</vt:lpstr>
      <vt:lpstr>'GVFA|0550-01'!perm_name</vt:lpstr>
      <vt:lpstr>'GVFB|0550-02'!perm_name</vt:lpstr>
      <vt:lpstr>'GVFJ|0560-00'!perm_name</vt:lpstr>
      <vt:lpstr>perm_name</vt:lpstr>
      <vt:lpstr>'GVFA|0550-01'!PermFTP</vt:lpstr>
      <vt:lpstr>'GVFB|0550-02'!PermFTP</vt:lpstr>
      <vt:lpstr>'GVFJ|0560-00'!PermFTP</vt:lpstr>
      <vt:lpstr>PermFTP</vt:lpstr>
      <vt:lpstr>'GVFA|0550-01'!PermFxdBen</vt:lpstr>
      <vt:lpstr>'GVFB|0550-02'!PermFxdBen</vt:lpstr>
      <vt:lpstr>'GVFJ|0560-00'!PermFxdBen</vt:lpstr>
      <vt:lpstr>PermFxdBen</vt:lpstr>
      <vt:lpstr>'GVFA|0550-01'!PermFxdBenChg</vt:lpstr>
      <vt:lpstr>'GVFB|0550-02'!PermFxdBenChg</vt:lpstr>
      <vt:lpstr>'GVFJ|0560-00'!PermFxdBenChg</vt:lpstr>
      <vt:lpstr>PermFxdBenChg</vt:lpstr>
      <vt:lpstr>'GVFA|0550-01'!PermFxdChg</vt:lpstr>
      <vt:lpstr>'GVFB|0550-02'!PermFxdChg</vt:lpstr>
      <vt:lpstr>'GVFJ|0560-00'!PermFxdChg</vt:lpstr>
      <vt:lpstr>PermFxdChg</vt:lpstr>
      <vt:lpstr>'GVFA|0550-01'!PermSalary</vt:lpstr>
      <vt:lpstr>'GVFB|0550-02'!PermSalary</vt:lpstr>
      <vt:lpstr>'GVFJ|0560-00'!PermSalary</vt:lpstr>
      <vt:lpstr>PermSalary</vt:lpstr>
      <vt:lpstr>'GVFA|0550-01'!PermVarBen</vt:lpstr>
      <vt:lpstr>'GVFB|0550-02'!PermVarBen</vt:lpstr>
      <vt:lpstr>'GVFJ|0560-00'!PermVarBen</vt:lpstr>
      <vt:lpstr>PermVarBen</vt:lpstr>
      <vt:lpstr>'GVFA|0550-01'!PermVarBenChg</vt:lpstr>
      <vt:lpstr>'GVFB|0550-02'!PermVarBenChg</vt:lpstr>
      <vt:lpstr>'GVFJ|0560-00'!PermVarBenChg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'GVFA|0550-01'!Print_Area</vt:lpstr>
      <vt:lpstr>'GVFB|0550-02'!Print_Area</vt:lpstr>
      <vt:lpstr>'GVFJ|0560-00'!Print_Area</vt:lpstr>
      <vt:lpstr>'GVFA|0550-01'!Prog_Unadjusted_Total</vt:lpstr>
      <vt:lpstr>'GVFB|0550-02'!Prog_Unadjusted_Total</vt:lpstr>
      <vt:lpstr>'GVFJ|0560-00'!Prog_Unadjusted_Total</vt:lpstr>
      <vt:lpstr>Prog_Unadjusted_Total</vt:lpstr>
      <vt:lpstr>'GVFA|0550-01'!Program</vt:lpstr>
      <vt:lpstr>'GVFB|0550-02'!Program</vt:lpstr>
      <vt:lpstr>'GVFJ|0560-00'!Program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'GVFA|0550-01'!RoundedAppropSalary</vt:lpstr>
      <vt:lpstr>'GVFB|0550-02'!RoundedAppropSalary</vt:lpstr>
      <vt:lpstr>'GVFJ|0560-00'!RoundedAppropSalary</vt:lpstr>
      <vt:lpstr>RoundedAppropSalary</vt:lpstr>
      <vt:lpstr>'GVFA|0550-01'!SalaryChg</vt:lpstr>
      <vt:lpstr>'GVFB|0550-02'!SalaryChg</vt:lpstr>
      <vt:lpstr>'GVFJ|0560-00'!SalaryChg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185 B6</dc:title>
  <dc:subject>B6</dc:subject>
  <dc:creator>Shane Winslow</dc:creator>
  <cp:lastModifiedBy>Christine Otto</cp:lastModifiedBy>
  <cp:lastPrinted>2019-06-21T15:46:35Z</cp:lastPrinted>
  <dcterms:created xsi:type="dcterms:W3CDTF">2013-05-01T19:55:41Z</dcterms:created>
  <dcterms:modified xsi:type="dcterms:W3CDTF">2021-07-15T14:51:15Z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