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91CCC881-BCA4-415F-BCC5-75C3DC0ACE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VLA|0001-00" sheetId="12" r:id="rId1"/>
    <sheet name="GVLA|0348-00" sheetId="13" r:id="rId2"/>
    <sheet name="GVLA|0426-00" sheetId="14" r:id="rId3"/>
    <sheet name="Data" sheetId="5" r:id="rId4"/>
    <sheet name="Benefits" sheetId="7" r:id="rId5"/>
    <sheet name="B6" sheetId="9" r:id="rId6"/>
    <sheet name="Summary" sheetId="10" r:id="rId7"/>
    <sheet name="FundSummary" sheetId="11" r:id="rId8"/>
  </sheets>
  <definedNames>
    <definedName name="AdjGroupHlth" localSheetId="0">'GVLA|0001-00'!$H$39</definedName>
    <definedName name="AdjGroupHlth" localSheetId="1">'GVLA|0348-00'!$H$39</definedName>
    <definedName name="AdjGroupHlth" localSheetId="2">'GVLA|0426-00'!$H$39</definedName>
    <definedName name="AdjGroupHlth">'B6'!$H$39</definedName>
    <definedName name="AdjGroupSalary" localSheetId="0">'GVLA|0001-00'!$G$39</definedName>
    <definedName name="AdjGroupSalary" localSheetId="1">'GVLA|0348-00'!$G$39</definedName>
    <definedName name="AdjGroupSalary" localSheetId="2">'GVLA|0426-00'!$G$39</definedName>
    <definedName name="AdjGroupSalary">'B6'!$G$39</definedName>
    <definedName name="AdjGroupVB" localSheetId="0">'GVLA|0001-00'!$I$39</definedName>
    <definedName name="AdjGroupVB" localSheetId="1">'GVLA|0348-00'!$I$39</definedName>
    <definedName name="AdjGroupVB" localSheetId="2">'GVLA|0426-00'!$I$39</definedName>
    <definedName name="AdjGroupVB">'B6'!$I$39</definedName>
    <definedName name="AdjGroupVBBY" localSheetId="0">'GVLA|0001-00'!$M$39</definedName>
    <definedName name="AdjGroupVBBY" localSheetId="1">'GVLA|0348-00'!$M$39</definedName>
    <definedName name="AdjGroupVBBY" localSheetId="2">'GVLA|0426-00'!$M$39</definedName>
    <definedName name="AdjGroupVBBY">'B6'!$M$39</definedName>
    <definedName name="AdjPermHlth" localSheetId="0">'GVLA|0001-00'!$H$38</definedName>
    <definedName name="AdjPermHlth" localSheetId="1">'GVLA|0348-00'!$H$38</definedName>
    <definedName name="AdjPermHlth" localSheetId="2">'GVLA|0426-00'!$H$38</definedName>
    <definedName name="AdjPermHlth">'B6'!$H$38</definedName>
    <definedName name="AdjPermHlthBY" localSheetId="0">'GVLA|0001-00'!$L$38</definedName>
    <definedName name="AdjPermHlthBY" localSheetId="1">'GVLA|0348-00'!$L$38</definedName>
    <definedName name="AdjPermHlthBY" localSheetId="2">'GVLA|0426-00'!$L$38</definedName>
    <definedName name="AdjPermHlthBY">'B6'!$L$38</definedName>
    <definedName name="AdjPermSalary" localSheetId="0">'GVLA|0001-00'!$G$38</definedName>
    <definedName name="AdjPermSalary" localSheetId="1">'GVLA|0348-00'!$G$38</definedName>
    <definedName name="AdjPermSalary" localSheetId="2">'GVLA|0426-00'!$G$38</definedName>
    <definedName name="AdjPermSalary">'B6'!$G$38</definedName>
    <definedName name="AdjPermVB" localSheetId="0">'GVLA|0001-00'!$I$38</definedName>
    <definedName name="AdjPermVB" localSheetId="1">'GVLA|0348-00'!$I$38</definedName>
    <definedName name="AdjPermVB" localSheetId="2">'GVLA|0426-00'!$I$38</definedName>
    <definedName name="AdjPermVB">'B6'!$I$38</definedName>
    <definedName name="AdjPermVBBY" localSheetId="0">'GVLA|0001-00'!$M$38</definedName>
    <definedName name="AdjPermVBBY" localSheetId="1">'GVLA|0348-00'!$M$38</definedName>
    <definedName name="AdjPermVBBY" localSheetId="2">'GVLA|0426-00'!$M$38</definedName>
    <definedName name="AdjPermVBBY">'B6'!$M$38</definedName>
    <definedName name="AdjustedTotal" localSheetId="0">'GVLA|0001-00'!$J$16</definedName>
    <definedName name="AdjustedTotal" localSheetId="1">'GVLA|0348-00'!$J$16</definedName>
    <definedName name="AdjustedTotal" localSheetId="2">'GVLA|0426-00'!$J$16</definedName>
    <definedName name="AdjustedTotal">'B6'!$J$16</definedName>
    <definedName name="AgencyNum" localSheetId="0">'GVLA|0001-00'!$M$1</definedName>
    <definedName name="AgencyNum" localSheetId="1">'GVLA|0348-00'!$M$1</definedName>
    <definedName name="AgencyNum" localSheetId="2">'GVLA|0426-00'!$M$1</definedName>
    <definedName name="AgencyNum">'B6'!$M$1</definedName>
    <definedName name="AppropFTP" localSheetId="0">'GVLA|0001-00'!$F$15</definedName>
    <definedName name="AppropFTP" localSheetId="1">'GVLA|0348-00'!$F$15</definedName>
    <definedName name="AppropFTP" localSheetId="2">'GVLA|0426-00'!$F$15</definedName>
    <definedName name="AppropFTP">'B6'!$F$15</definedName>
    <definedName name="AppropTotal" localSheetId="0">'GVLA|0001-00'!$J$15</definedName>
    <definedName name="AppropTotal" localSheetId="1">'GVLA|0348-00'!$J$15</definedName>
    <definedName name="AppropTotal" localSheetId="2">'GVLA|0426-00'!$J$15</definedName>
    <definedName name="AppropTotal">'B6'!$J$15</definedName>
    <definedName name="AtZHealth" localSheetId="0">'GVLA|0001-00'!$H$45</definedName>
    <definedName name="AtZHealth" localSheetId="1">'GVLA|0348-00'!$H$45</definedName>
    <definedName name="AtZHealth" localSheetId="2">'GVLA|0426-00'!$H$45</definedName>
    <definedName name="AtZHealth">'B6'!$H$45</definedName>
    <definedName name="AtZSalary" localSheetId="0">'GVLA|0001-00'!$G$45</definedName>
    <definedName name="AtZSalary" localSheetId="1">'GVLA|0348-00'!$G$45</definedName>
    <definedName name="AtZSalary" localSheetId="2">'GVLA|0426-00'!$G$45</definedName>
    <definedName name="AtZSalary">'B6'!$G$45</definedName>
    <definedName name="AtZTotal" localSheetId="0">'GVLA|0001-00'!$J$45</definedName>
    <definedName name="AtZTotal" localSheetId="1">'GVLA|0348-00'!$J$45</definedName>
    <definedName name="AtZTotal" localSheetId="2">'GVLA|0426-00'!$J$45</definedName>
    <definedName name="AtZTotal">'B6'!$J$45</definedName>
    <definedName name="AtZVarBen" localSheetId="0">'GVLA|0001-00'!$I$45</definedName>
    <definedName name="AtZVarBen" localSheetId="1">'GVLA|0348-00'!$I$45</definedName>
    <definedName name="AtZVarBen" localSheetId="2">'GVLA|0426-00'!$I$45</definedName>
    <definedName name="AtZVarBen">'B6'!$I$45</definedName>
    <definedName name="BudgetUnit" localSheetId="0">'GVLA|0001-00'!$M$3</definedName>
    <definedName name="BudgetUnit" localSheetId="1">'GVLA|0348-00'!$M$3</definedName>
    <definedName name="BudgetUnit" localSheetId="2">'GVLA|0426-00'!$M$3</definedName>
    <definedName name="BudgetUnit">'B6'!$M$3</definedName>
    <definedName name="BudgetYear">Benefits!$D$4</definedName>
    <definedName name="CECGroup">Benefits!$C$39</definedName>
    <definedName name="CECOrigElectSalary" localSheetId="0">'GVLA|0001-00'!$G$74</definedName>
    <definedName name="CECOrigElectSalary" localSheetId="1">'GVLA|0348-00'!$G$74</definedName>
    <definedName name="CECOrigElectSalary" localSheetId="2">'GVLA|0426-00'!$G$74</definedName>
    <definedName name="CECOrigElectSalary">'B6'!$G$74</definedName>
    <definedName name="CECOrigElectVB" localSheetId="0">'GVLA|0001-00'!$I$74</definedName>
    <definedName name="CECOrigElectVB" localSheetId="1">'GVLA|0348-00'!$I$74</definedName>
    <definedName name="CECOrigElectVB" localSheetId="2">'GVLA|0426-00'!$I$74</definedName>
    <definedName name="CECOrigElectVB">'B6'!$I$74</definedName>
    <definedName name="CECOrigGroupSalary" localSheetId="0">'GVLA|0001-00'!$G$73</definedName>
    <definedName name="CECOrigGroupSalary" localSheetId="1">'GVLA|0348-00'!$G$73</definedName>
    <definedName name="CECOrigGroupSalary" localSheetId="2">'GVLA|0426-00'!$G$73</definedName>
    <definedName name="CECOrigGroupSalary">'B6'!$G$73</definedName>
    <definedName name="CECOrigGroupVB" localSheetId="0">'GVLA|0001-00'!$I$73</definedName>
    <definedName name="CECOrigGroupVB" localSheetId="1">'GVLA|0348-00'!$I$73</definedName>
    <definedName name="CECOrigGroupVB" localSheetId="2">'GVLA|0426-00'!$I$73</definedName>
    <definedName name="CECOrigGroupVB">'B6'!$I$73</definedName>
    <definedName name="CECOrigPermSalary" localSheetId="0">'GVLA|0001-00'!$G$72</definedName>
    <definedName name="CECOrigPermSalary" localSheetId="1">'GVLA|0348-00'!$G$72</definedName>
    <definedName name="CECOrigPermSalary" localSheetId="2">'GVLA|0426-00'!$G$72</definedName>
    <definedName name="CECOrigPermSalary">'B6'!$G$72</definedName>
    <definedName name="CECOrigPermVB" localSheetId="0">'GVLA|0001-00'!$I$72</definedName>
    <definedName name="CECOrigPermVB" localSheetId="1">'GVLA|0348-00'!$I$72</definedName>
    <definedName name="CECOrigPermVB" localSheetId="2">'GVLA|0426-00'!$I$72</definedName>
    <definedName name="CECOrigPermVB">'B6'!$I$72</definedName>
    <definedName name="CECPerm">Benefits!$C$38</definedName>
    <definedName name="CECpermCalc" localSheetId="0">'GVLA|0001-00'!$E$72</definedName>
    <definedName name="CECpermCalc" localSheetId="1">'GVLA|0348-00'!$E$72</definedName>
    <definedName name="CECpermCalc" localSheetId="2">'GVLA|0426-00'!$E$72</definedName>
    <definedName name="CECpermCalc">'B6'!$E$72</definedName>
    <definedName name="Department" localSheetId="0">'GVLA|0001-00'!$D$1</definedName>
    <definedName name="Department" localSheetId="1">'GVLA|0348-00'!$D$1</definedName>
    <definedName name="Department" localSheetId="2">'GVLA|0426-00'!$D$1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'GVLA|0001-00'!$D$2</definedName>
    <definedName name="Division" localSheetId="1">'GVLA|0348-00'!$D$2</definedName>
    <definedName name="Division" localSheetId="2">'GVLA|0426-00'!$D$2</definedName>
    <definedName name="Division">'B6'!$D$2</definedName>
    <definedName name="DUCECElect" localSheetId="0">'GVLA|0001-00'!$J$74</definedName>
    <definedName name="DUCECElect" localSheetId="1">'GVLA|0348-00'!$J$74</definedName>
    <definedName name="DUCECElect" localSheetId="2">'GVLA|0426-00'!$J$74</definedName>
    <definedName name="DUCECElect">'B6'!$J$74</definedName>
    <definedName name="DUCECGroup" localSheetId="0">'GVLA|0001-00'!$J$73</definedName>
    <definedName name="DUCECGroup" localSheetId="1">'GVLA|0348-00'!$J$73</definedName>
    <definedName name="DUCECGroup" localSheetId="2">'GVLA|0426-00'!$J$73</definedName>
    <definedName name="DUCECGroup">'B6'!$J$73</definedName>
    <definedName name="DUCECPerm" localSheetId="0">'GVLA|0001-00'!$J$72</definedName>
    <definedName name="DUCECPerm" localSheetId="1">'GVLA|0348-00'!$J$72</definedName>
    <definedName name="DUCECPerm" localSheetId="2">'GVLA|0426-00'!$J$72</definedName>
    <definedName name="DUCECPerm">'B6'!$J$72</definedName>
    <definedName name="DUEleven" localSheetId="0">'GVLA|0001-00'!$J$75</definedName>
    <definedName name="DUEleven" localSheetId="1">'GVLA|0348-00'!$J$75</definedName>
    <definedName name="DUEleven" localSheetId="2">'GVLA|0426-00'!$J$75</definedName>
    <definedName name="DUEleven">'B6'!$J$75</definedName>
    <definedName name="DUHealthBen" localSheetId="0">'GVLA|0001-00'!$J$68</definedName>
    <definedName name="DUHealthBen" localSheetId="1">'GVLA|0348-00'!$J$68</definedName>
    <definedName name="DUHealthBen" localSheetId="2">'GVLA|0426-00'!$J$68</definedName>
    <definedName name="DUHealthBen">'B6'!$J$68</definedName>
    <definedName name="DUNine" localSheetId="0">'GVLA|0001-00'!$J$67</definedName>
    <definedName name="DUNine" localSheetId="1">'GVLA|0348-00'!$J$67</definedName>
    <definedName name="DUNine" localSheetId="2">'GVLA|0426-00'!$J$67</definedName>
    <definedName name="DUNine">'B6'!$J$67</definedName>
    <definedName name="DUThirteen" localSheetId="0">'GVLA|0001-00'!$J$80</definedName>
    <definedName name="DUThirteen" localSheetId="1">'GVLA|0348-00'!$J$80</definedName>
    <definedName name="DUThirteen" localSheetId="2">'GVLA|0426-00'!$J$80</definedName>
    <definedName name="DUThirteen">'B6'!$J$80</definedName>
    <definedName name="DUVariableBen" localSheetId="0">'GVLA|0001-00'!$J$69</definedName>
    <definedName name="DUVariableBen" localSheetId="1">'GVLA|0348-00'!$J$69</definedName>
    <definedName name="DUVariableBen" localSheetId="2">'GVLA|0426-00'!$J$69</definedName>
    <definedName name="DUVariableBen">'B6'!$J$69</definedName>
    <definedName name="Elect_chg_health" localSheetId="0">'GVLA|0001-00'!$L$12</definedName>
    <definedName name="Elect_chg_health" localSheetId="1">'GVLA|0348-00'!$L$12</definedName>
    <definedName name="Elect_chg_health" localSheetId="2">'GVLA|0426-00'!$L$12</definedName>
    <definedName name="Elect_chg_health">'B6'!$L$12</definedName>
    <definedName name="Elect_chg_Var" localSheetId="0">'GVLA|0001-00'!$M$12</definedName>
    <definedName name="Elect_chg_Var" localSheetId="1">'GVLA|0348-00'!$M$12</definedName>
    <definedName name="Elect_chg_Var" localSheetId="2">'GVLA|0426-00'!$M$12</definedName>
    <definedName name="Elect_chg_Var">'B6'!$M$12</definedName>
    <definedName name="elect_FTP" localSheetId="0">'GVLA|0001-00'!$F$12</definedName>
    <definedName name="elect_FTP" localSheetId="1">'GVLA|0348-00'!$F$12</definedName>
    <definedName name="elect_FTP" localSheetId="2">'GVLA|0426-00'!$F$12</definedName>
    <definedName name="elect_FTP">'B6'!$F$12</definedName>
    <definedName name="Elect_health" localSheetId="0">'GVLA|0001-00'!$H$12</definedName>
    <definedName name="Elect_health" localSheetId="1">'GVLA|0348-00'!$H$12</definedName>
    <definedName name="Elect_health" localSheetId="2">'GVLA|0426-00'!$H$12</definedName>
    <definedName name="Elect_health">'B6'!$H$12</definedName>
    <definedName name="Elect_name" localSheetId="0">'GVLA|0001-00'!$C$12</definedName>
    <definedName name="Elect_name" localSheetId="1">'GVLA|0348-00'!$C$12</definedName>
    <definedName name="Elect_name" localSheetId="2">'GVLA|0426-00'!$C$12</definedName>
    <definedName name="Elect_name">'B6'!$C$12</definedName>
    <definedName name="Elect_salary" localSheetId="0">'GVLA|0001-00'!$G$12</definedName>
    <definedName name="Elect_salary" localSheetId="1">'GVLA|0348-00'!$G$12</definedName>
    <definedName name="Elect_salary" localSheetId="2">'GVLA|0426-00'!$G$12</definedName>
    <definedName name="Elect_salary">'B6'!$G$12</definedName>
    <definedName name="Elect_Var" localSheetId="0">'GVLA|0001-00'!$I$12</definedName>
    <definedName name="Elect_Var" localSheetId="1">'GVLA|0348-00'!$I$12</definedName>
    <definedName name="Elect_Var" localSheetId="2">'GVLA|0426-00'!$I$12</definedName>
    <definedName name="Elect_Var">'B6'!$I$12</definedName>
    <definedName name="Elect_VarBen" localSheetId="0">'GVLA|0001-00'!$I$12</definedName>
    <definedName name="Elect_VarBen" localSheetId="1">'GVLA|0348-00'!$I$12</definedName>
    <definedName name="Elect_VarBen" localSheetId="2">'GVLA|0426-00'!$I$12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'GVLA|0001-00'!#REF!</definedName>
    <definedName name="FillRateAvg_B6" localSheetId="1">'GVLA|0348-00'!#REF!</definedName>
    <definedName name="FillRateAvg_B6" localSheetId="2">'GVLA|0426-00'!#REF!</definedName>
    <definedName name="FillRateAvg_B6">'B6'!#REF!</definedName>
    <definedName name="FiscalYear" localSheetId="0">'GVLA|0001-00'!$M$4</definedName>
    <definedName name="FiscalYear" localSheetId="1">'GVLA|0348-00'!$M$4</definedName>
    <definedName name="FiscalYear" localSheetId="2">'GVLA|0426-00'!$M$4</definedName>
    <definedName name="FiscalYear">'B6'!$M$4</definedName>
    <definedName name="FundName" localSheetId="0">'GVLA|0001-00'!$I$5</definedName>
    <definedName name="FundName" localSheetId="1">'GVLA|0348-00'!$I$5</definedName>
    <definedName name="FundName" localSheetId="2">'GVLA|0426-00'!$I$5</definedName>
    <definedName name="FundName">'B6'!$I$5</definedName>
    <definedName name="FundNum" localSheetId="0">'GVLA|0001-00'!$N$5</definedName>
    <definedName name="FundNum" localSheetId="1">'GVLA|0348-00'!$N$5</definedName>
    <definedName name="FundNum" localSheetId="2">'GVLA|0426-00'!$N$5</definedName>
    <definedName name="FundNum">'B6'!$N$5</definedName>
    <definedName name="FundNumber" localSheetId="0">'GVLA|0001-00'!$N$5</definedName>
    <definedName name="FundNumber" localSheetId="1">'GVLA|0348-00'!$N$5</definedName>
    <definedName name="FundNumber" localSheetId="2">'GVLA|0426-00'!$N$5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'GVLA|0001-00'!$C$11</definedName>
    <definedName name="Group_name" localSheetId="1">'GVLA|0348-00'!$C$11</definedName>
    <definedName name="Group_name" localSheetId="2">'GVLA|0426-00'!$C$11</definedName>
    <definedName name="Group_name">'B6'!$C$11</definedName>
    <definedName name="GroupFxdBen" localSheetId="0">'GVLA|0001-00'!$H$11</definedName>
    <definedName name="GroupFxdBen" localSheetId="1">'GVLA|0348-00'!$H$11</definedName>
    <definedName name="GroupFxdBen" localSheetId="2">'GVLA|0426-00'!$H$11</definedName>
    <definedName name="GroupFxdBen">'B6'!$H$11</definedName>
    <definedName name="GroupSalary" localSheetId="0">'GVLA|0001-00'!$G$11</definedName>
    <definedName name="GroupSalary" localSheetId="1">'GVLA|0348-00'!$G$11</definedName>
    <definedName name="GroupSalary" localSheetId="2">'GVLA|0426-00'!$G$11</definedName>
    <definedName name="GroupSalary">'B6'!$G$11</definedName>
    <definedName name="GroupVarBen" localSheetId="0">'GVLA|0001-00'!$I$11</definedName>
    <definedName name="GroupVarBen" localSheetId="1">'GVLA|0348-00'!$I$11</definedName>
    <definedName name="GroupVarBen" localSheetId="2">'GVLA|0426-00'!$I$11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GVLA000100col_1_27TH_PP">Data!$BA$88</definedName>
    <definedName name="GVLA000100col_DHR">Data!$BI$88</definedName>
    <definedName name="GVLA000100col_DHR_BY">Data!$BU$88</definedName>
    <definedName name="GVLA000100col_DHR_CHG">Data!$CG$88</definedName>
    <definedName name="GVLA000100col_FTI_SALARY_ELECT">Data!$AZ$88</definedName>
    <definedName name="GVLA000100col_FTI_SALARY_PERM">Data!$AY$88</definedName>
    <definedName name="GVLA000100col_FTI_SALARY_SSDI">Data!$AX$88</definedName>
    <definedName name="GVLA000100col_Group_Ben">Data!$CM$88</definedName>
    <definedName name="GVLA000100col_Group_Salary">Data!$CL$88</definedName>
    <definedName name="GVLA000100col_HEALTH_ELECT">Data!$BC$88</definedName>
    <definedName name="GVLA000100col_HEALTH_ELECT_BY">Data!$BO$88</definedName>
    <definedName name="GVLA000100col_HEALTH_ELECT_CHG">Data!$CA$88</definedName>
    <definedName name="GVLA000100col_HEALTH_PERM">Data!$BB$88</definedName>
    <definedName name="GVLA000100col_HEALTH_PERM_BY">Data!$BN$88</definedName>
    <definedName name="GVLA000100col_HEALTH_PERM_CHG">Data!$BZ$88</definedName>
    <definedName name="GVLA000100col_INC_FTI">Data!$AS$88</definedName>
    <definedName name="GVLA000100col_LIFE_INS">Data!$BG$88</definedName>
    <definedName name="GVLA000100col_LIFE_INS_BY">Data!$BS$88</definedName>
    <definedName name="GVLA000100col_LIFE_INS_CHG">Data!$CE$88</definedName>
    <definedName name="GVLA000100col_RETIREMENT">Data!$BF$88</definedName>
    <definedName name="GVLA000100col_RETIREMENT_BY">Data!$BR$88</definedName>
    <definedName name="GVLA000100col_RETIREMENT_CHG">Data!$CD$88</definedName>
    <definedName name="GVLA000100col_ROWS_PER_PCN">Data!$AW$88</definedName>
    <definedName name="GVLA000100col_SICK">Data!$BK$88</definedName>
    <definedName name="GVLA000100col_SICK_BY">Data!$BW$88</definedName>
    <definedName name="GVLA000100col_SICK_CHG">Data!$CI$88</definedName>
    <definedName name="GVLA000100col_SSDI">Data!$BD$88</definedName>
    <definedName name="GVLA000100col_SSDI_BY">Data!$BP$88</definedName>
    <definedName name="GVLA000100col_SSDI_CHG">Data!$CB$88</definedName>
    <definedName name="GVLA000100col_SSHI">Data!$BE$88</definedName>
    <definedName name="GVLA000100col_SSHI_BY">Data!$BQ$88</definedName>
    <definedName name="GVLA000100col_SSHI_CHGv">Data!$CC$88</definedName>
    <definedName name="GVLA000100col_TOT_VB_ELECT">Data!$BM$88</definedName>
    <definedName name="GVLA000100col_TOT_VB_ELECT_BY">Data!$BY$88</definedName>
    <definedName name="GVLA000100col_TOT_VB_ELECT_CHG">Data!$CK$88</definedName>
    <definedName name="GVLA000100col_TOT_VB_PERM">Data!$BL$88</definedName>
    <definedName name="GVLA000100col_TOT_VB_PERM_BY">Data!$BX$88</definedName>
    <definedName name="GVLA000100col_TOT_VB_PERM_CHG">Data!$CJ$88</definedName>
    <definedName name="GVLA000100col_TOTAL_ELECT_PCN_FTI">Data!$AT$88</definedName>
    <definedName name="GVLA000100col_TOTAL_ELECT_PCN_FTI_ALT">Data!$AV$88</definedName>
    <definedName name="GVLA000100col_TOTAL_PERM_PCN_FTI">Data!$AU$88</definedName>
    <definedName name="GVLA000100col_UNEMP_INS">Data!$BH$88</definedName>
    <definedName name="GVLA000100col_UNEMP_INS_BY">Data!$BT$88</definedName>
    <definedName name="GVLA000100col_UNEMP_INS_CHG">Data!$CF$88</definedName>
    <definedName name="GVLA000100col_WORKERS_COMP">Data!$BJ$88</definedName>
    <definedName name="GVLA000100col_WORKERS_COMP_BY">Data!$BV$88</definedName>
    <definedName name="GVLA000100col_WORKERS_COMP_CHG">Data!$CH$88</definedName>
    <definedName name="GVLA034800col_1_27TH_PP">Data!$BA$90</definedName>
    <definedName name="GVLA034800col_DHR">Data!$BI$90</definedName>
    <definedName name="GVLA034800col_DHR_BY">Data!$BU$90</definedName>
    <definedName name="GVLA034800col_DHR_CHG">Data!$CG$90</definedName>
    <definedName name="GVLA034800col_FTI_SALARY_ELECT">Data!$AZ$90</definedName>
    <definedName name="GVLA034800col_FTI_SALARY_PERM">Data!$AY$90</definedName>
    <definedName name="GVLA034800col_FTI_SALARY_SSDI">Data!$AX$90</definedName>
    <definedName name="GVLA034800col_Group_Ben">Data!$CM$90</definedName>
    <definedName name="GVLA034800col_Group_Salary">Data!$CL$90</definedName>
    <definedName name="GVLA034800col_HEALTH_ELECT">Data!$BC$90</definedName>
    <definedName name="GVLA034800col_HEALTH_ELECT_BY">Data!$BO$90</definedName>
    <definedName name="GVLA034800col_HEALTH_ELECT_CHG">Data!$CA$90</definedName>
    <definedName name="GVLA034800col_HEALTH_PERM">Data!$BB$90</definedName>
    <definedName name="GVLA034800col_HEALTH_PERM_BY">Data!$BN$90</definedName>
    <definedName name="GVLA034800col_HEALTH_PERM_CHG">Data!$BZ$90</definedName>
    <definedName name="GVLA034800col_INC_FTI">Data!$AS$90</definedName>
    <definedName name="GVLA034800col_LIFE_INS">Data!$BG$90</definedName>
    <definedName name="GVLA034800col_LIFE_INS_BY">Data!$BS$90</definedName>
    <definedName name="GVLA034800col_LIFE_INS_CHG">Data!$CE$90</definedName>
    <definedName name="GVLA034800col_RETIREMENT">Data!$BF$90</definedName>
    <definedName name="GVLA034800col_RETIREMENT_BY">Data!$BR$90</definedName>
    <definedName name="GVLA034800col_RETIREMENT_CHG">Data!$CD$90</definedName>
    <definedName name="GVLA034800col_ROWS_PER_PCN">Data!$AW$90</definedName>
    <definedName name="GVLA034800col_SICK">Data!$BK$90</definedName>
    <definedName name="GVLA034800col_SICK_BY">Data!$BW$90</definedName>
    <definedName name="GVLA034800col_SICK_CHG">Data!$CI$90</definedName>
    <definedName name="GVLA034800col_SSDI">Data!$BD$90</definedName>
    <definedName name="GVLA034800col_SSDI_BY">Data!$BP$90</definedName>
    <definedName name="GVLA034800col_SSDI_CHG">Data!$CB$90</definedName>
    <definedName name="GVLA034800col_SSHI">Data!$BE$90</definedName>
    <definedName name="GVLA034800col_SSHI_BY">Data!$BQ$90</definedName>
    <definedName name="GVLA034800col_SSHI_CHGv">Data!$CC$90</definedName>
    <definedName name="GVLA034800col_TOT_VB_ELECT">Data!$BM$90</definedName>
    <definedName name="GVLA034800col_TOT_VB_ELECT_BY">Data!$BY$90</definedName>
    <definedName name="GVLA034800col_TOT_VB_ELECT_CHG">Data!$CK$90</definedName>
    <definedName name="GVLA034800col_TOT_VB_PERM">Data!$BL$90</definedName>
    <definedName name="GVLA034800col_TOT_VB_PERM_BY">Data!$BX$90</definedName>
    <definedName name="GVLA034800col_TOT_VB_PERM_CHG">Data!$CJ$90</definedName>
    <definedName name="GVLA034800col_TOTAL_ELECT_PCN_FTI">Data!$AT$90</definedName>
    <definedName name="GVLA034800col_TOTAL_ELECT_PCN_FTI_ALT">Data!$AV$90</definedName>
    <definedName name="GVLA034800col_TOTAL_PERM_PCN_FTI">Data!$AU$90</definedName>
    <definedName name="GVLA034800col_UNEMP_INS">Data!$BH$90</definedName>
    <definedName name="GVLA034800col_UNEMP_INS_BY">Data!$BT$90</definedName>
    <definedName name="GVLA034800col_UNEMP_INS_CHG">Data!$CF$90</definedName>
    <definedName name="GVLA034800col_WORKERS_COMP">Data!$BJ$90</definedName>
    <definedName name="GVLA034800col_WORKERS_COMP_BY">Data!$BV$90</definedName>
    <definedName name="GVLA034800col_WORKERS_COMP_CHG">Data!$CH$90</definedName>
    <definedName name="GVLA042600col_1_27TH_PP">Data!$BA$92</definedName>
    <definedName name="GVLA042600col_DHR">Data!$BI$92</definedName>
    <definedName name="GVLA042600col_DHR_BY">Data!$BU$92</definedName>
    <definedName name="GVLA042600col_DHR_CHG">Data!$CG$92</definedName>
    <definedName name="GVLA042600col_FTI_SALARY_ELECT">Data!$AZ$92</definedName>
    <definedName name="GVLA042600col_FTI_SALARY_PERM">Data!$AY$92</definedName>
    <definedName name="GVLA042600col_FTI_SALARY_SSDI">Data!$AX$92</definedName>
    <definedName name="GVLA042600col_Group_Ben">Data!$CM$92</definedName>
    <definedName name="GVLA042600col_Group_Salary">Data!$CL$92</definedName>
    <definedName name="GVLA042600col_HEALTH_ELECT">Data!$BC$92</definedName>
    <definedName name="GVLA042600col_HEALTH_ELECT_BY">Data!$BO$92</definedName>
    <definedName name="GVLA042600col_HEALTH_ELECT_CHG">Data!$CA$92</definedName>
    <definedName name="GVLA042600col_HEALTH_PERM">Data!$BB$92</definedName>
    <definedName name="GVLA042600col_HEALTH_PERM_BY">Data!$BN$92</definedName>
    <definedName name="GVLA042600col_HEALTH_PERM_CHG">Data!$BZ$92</definedName>
    <definedName name="GVLA042600col_INC_FTI">Data!$AS$92</definedName>
    <definedName name="GVLA042600col_LIFE_INS">Data!$BG$92</definedName>
    <definedName name="GVLA042600col_LIFE_INS_BY">Data!$BS$92</definedName>
    <definedName name="GVLA042600col_LIFE_INS_CHG">Data!$CE$92</definedName>
    <definedName name="GVLA042600col_RETIREMENT">Data!$BF$92</definedName>
    <definedName name="GVLA042600col_RETIREMENT_BY">Data!$BR$92</definedName>
    <definedName name="GVLA042600col_RETIREMENT_CHG">Data!$CD$92</definedName>
    <definedName name="GVLA042600col_ROWS_PER_PCN">Data!$AW$92</definedName>
    <definedName name="GVLA042600col_SICK">Data!$BK$92</definedName>
    <definedName name="GVLA042600col_SICK_BY">Data!$BW$92</definedName>
    <definedName name="GVLA042600col_SICK_CHG">Data!$CI$92</definedName>
    <definedName name="GVLA042600col_SSDI">Data!$BD$92</definedName>
    <definedName name="GVLA042600col_SSDI_BY">Data!$BP$92</definedName>
    <definedName name="GVLA042600col_SSDI_CHG">Data!$CB$92</definedName>
    <definedName name="GVLA042600col_SSHI">Data!$BE$92</definedName>
    <definedName name="GVLA042600col_SSHI_BY">Data!$BQ$92</definedName>
    <definedName name="GVLA042600col_SSHI_CHGv">Data!$CC$92</definedName>
    <definedName name="GVLA042600col_TOT_VB_ELECT">Data!$BM$92</definedName>
    <definedName name="GVLA042600col_TOT_VB_ELECT_BY">Data!$BY$92</definedName>
    <definedName name="GVLA042600col_TOT_VB_ELECT_CHG">Data!$CK$92</definedName>
    <definedName name="GVLA042600col_TOT_VB_PERM">Data!$BL$92</definedName>
    <definedName name="GVLA042600col_TOT_VB_PERM_BY">Data!$BX$92</definedName>
    <definedName name="GVLA042600col_TOT_VB_PERM_CHG">Data!$CJ$92</definedName>
    <definedName name="GVLA042600col_TOTAL_ELECT_PCN_FTI">Data!$AT$92</definedName>
    <definedName name="GVLA042600col_TOTAL_ELECT_PCN_FTI_ALT">Data!$AV$92</definedName>
    <definedName name="GVLA042600col_TOTAL_PERM_PCN_FTI">Data!$AU$92</definedName>
    <definedName name="GVLA042600col_UNEMP_INS">Data!$BH$92</definedName>
    <definedName name="GVLA042600col_UNEMP_INS_BY">Data!$BT$92</definedName>
    <definedName name="GVLA042600col_UNEMP_INS_CHG">Data!$CF$92</definedName>
    <definedName name="GVLA042600col_WORKERS_COMP">Data!$BJ$92</definedName>
    <definedName name="GVLA042600col_WORKERS_COMP_BY">Data!$BV$92</definedName>
    <definedName name="GVLA042600col_WORKERS_COMP_CHG">Data!$CH$92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'GVLA|0001-00'!$M$2</definedName>
    <definedName name="LUMAFund" localSheetId="1">'GVLA|0348-00'!$M$2</definedName>
    <definedName name="LUMAFund" localSheetId="2">'GVLA|0426-00'!$M$2</definedName>
    <definedName name="LUMAFund">'B6'!$M$2</definedName>
    <definedName name="MAXSSDI">Benefits!$F$5</definedName>
    <definedName name="MAXSSDIBY">Benefits!$G$5</definedName>
    <definedName name="NEW_AdjGroup" localSheetId="0">'GVLA|0001-00'!$AC$39</definedName>
    <definedName name="NEW_AdjGroup" localSheetId="1">'GVLA|0348-00'!$AC$39</definedName>
    <definedName name="NEW_AdjGroup" localSheetId="2">'GVLA|0426-00'!$AC$39</definedName>
    <definedName name="NEW_AdjGroup">'B6'!$AC$39</definedName>
    <definedName name="NEW_AdjGroupSalary" localSheetId="0">'GVLA|0001-00'!$AA$39</definedName>
    <definedName name="NEW_AdjGroupSalary" localSheetId="1">'GVLA|0348-00'!$AA$39</definedName>
    <definedName name="NEW_AdjGroupSalary" localSheetId="2">'GVLA|0426-00'!$AA$39</definedName>
    <definedName name="NEW_AdjGroupSalary">'B6'!$AA$39</definedName>
    <definedName name="NEW_AdjGroupVB" localSheetId="0">'GVLA|0001-00'!$AB$39</definedName>
    <definedName name="NEW_AdjGroupVB" localSheetId="1">'GVLA|0348-00'!$AB$39</definedName>
    <definedName name="NEW_AdjGroupVB" localSheetId="2">'GVLA|0426-00'!$AB$39</definedName>
    <definedName name="NEW_AdjGroupVB">'B6'!$AB$39</definedName>
    <definedName name="NEW_AdjONLYGroup" localSheetId="0">'GVLA|0001-00'!$AC$45</definedName>
    <definedName name="NEW_AdjONLYGroup" localSheetId="1">'GVLA|0348-00'!$AC$45</definedName>
    <definedName name="NEW_AdjONLYGroup" localSheetId="2">'GVLA|0426-00'!$AC$45</definedName>
    <definedName name="NEW_AdjONLYGroup">'B6'!$AC$45</definedName>
    <definedName name="NEW_AdjONLYGroupSalary" localSheetId="0">'GVLA|0001-00'!$AA$45</definedName>
    <definedName name="NEW_AdjONLYGroupSalary" localSheetId="1">'GVLA|0348-00'!$AA$45</definedName>
    <definedName name="NEW_AdjONLYGroupSalary" localSheetId="2">'GVLA|0426-00'!$AA$45</definedName>
    <definedName name="NEW_AdjONLYGroupSalary">'B6'!$AA$45</definedName>
    <definedName name="NEW_AdjONLYGroupVB" localSheetId="0">'GVLA|0001-00'!$AB$45</definedName>
    <definedName name="NEW_AdjONLYGroupVB" localSheetId="1">'GVLA|0348-00'!$AB$45</definedName>
    <definedName name="NEW_AdjONLYGroupVB" localSheetId="2">'GVLA|0426-00'!$AB$45</definedName>
    <definedName name="NEW_AdjONLYGroupVB">'B6'!$AB$45</definedName>
    <definedName name="NEW_AdjONLYPerm" localSheetId="0">'GVLA|0001-00'!$AC$44</definedName>
    <definedName name="NEW_AdjONLYPerm" localSheetId="1">'GVLA|0348-00'!$AC$44</definedName>
    <definedName name="NEW_AdjONLYPerm" localSheetId="2">'GVLA|0426-00'!$AC$44</definedName>
    <definedName name="NEW_AdjONLYPerm">'B6'!$AC$44</definedName>
    <definedName name="NEW_AdjONLYPermSalary" localSheetId="0">'GVLA|0001-00'!$AA$44</definedName>
    <definedName name="NEW_AdjONLYPermSalary" localSheetId="1">'GVLA|0348-00'!$AA$44</definedName>
    <definedName name="NEW_AdjONLYPermSalary" localSheetId="2">'GVLA|0426-00'!$AA$44</definedName>
    <definedName name="NEW_AdjONLYPermSalary">'B6'!$AA$44</definedName>
    <definedName name="NEW_AdjONLYPermVB" localSheetId="0">'GVLA|0001-00'!$AB$44</definedName>
    <definedName name="NEW_AdjONLYPermVB" localSheetId="1">'GVLA|0348-00'!$AB$44</definedName>
    <definedName name="NEW_AdjONLYPermVB" localSheetId="2">'GVLA|0426-00'!$AB$44</definedName>
    <definedName name="NEW_AdjONLYPermVB">'B6'!$AB$44</definedName>
    <definedName name="NEW_AdjPerm" localSheetId="0">'GVLA|0001-00'!$AC$38</definedName>
    <definedName name="NEW_AdjPerm" localSheetId="1">'GVLA|0348-00'!$AC$38</definedName>
    <definedName name="NEW_AdjPerm" localSheetId="2">'GVLA|0426-00'!$AC$38</definedName>
    <definedName name="NEW_AdjPerm">'B6'!$AC$38</definedName>
    <definedName name="NEW_AdjPermSalary" localSheetId="0">'GVLA|0001-00'!$AA$38</definedName>
    <definedName name="NEW_AdjPermSalary" localSheetId="1">'GVLA|0348-00'!$AA$38</definedName>
    <definedName name="NEW_AdjPermSalary" localSheetId="2">'GVLA|0426-00'!$AA$38</definedName>
    <definedName name="NEW_AdjPermSalary">'B6'!$AA$38</definedName>
    <definedName name="NEW_AdjPermVB" localSheetId="0">'GVLA|0001-00'!$AB$38</definedName>
    <definedName name="NEW_AdjPermVB" localSheetId="1">'GVLA|0348-00'!$AB$38</definedName>
    <definedName name="NEW_AdjPermVB" localSheetId="2">'GVLA|0426-00'!$AB$38</definedName>
    <definedName name="NEW_AdjPermVB">'B6'!$AB$38</definedName>
    <definedName name="NEW_GroupFilled" localSheetId="0">'GVLA|0001-00'!$AC$11</definedName>
    <definedName name="NEW_GroupFilled" localSheetId="1">'GVLA|0348-00'!$AC$11</definedName>
    <definedName name="NEW_GroupFilled" localSheetId="2">'GVLA|0426-00'!$AC$11</definedName>
    <definedName name="NEW_GroupFilled">'B6'!$AC$11</definedName>
    <definedName name="NEW_GroupSalaryFilled" localSheetId="0">'GVLA|0001-00'!$AA$11</definedName>
    <definedName name="NEW_GroupSalaryFilled" localSheetId="1">'GVLA|0348-00'!$AA$11</definedName>
    <definedName name="NEW_GroupSalaryFilled" localSheetId="2">'GVLA|0426-00'!$AA$11</definedName>
    <definedName name="NEW_GroupSalaryFilled">'B6'!$AA$11</definedName>
    <definedName name="NEW_GroupVBFilled" localSheetId="0">'GVLA|0001-00'!$AB$11</definedName>
    <definedName name="NEW_GroupVBFilled" localSheetId="1">'GVLA|0348-00'!$AB$11</definedName>
    <definedName name="NEW_GroupVBFilled" localSheetId="2">'GVLA|0426-00'!$AB$11</definedName>
    <definedName name="NEW_GroupVBFilled">'B6'!$AB$11</definedName>
    <definedName name="NEW_PermFilled" localSheetId="0">'GVLA|0001-00'!$AC$10</definedName>
    <definedName name="NEW_PermFilled" localSheetId="1">'GVLA|0348-00'!$AC$10</definedName>
    <definedName name="NEW_PermFilled" localSheetId="2">'GVLA|0426-00'!$AC$10</definedName>
    <definedName name="NEW_PermFilled">'B6'!$AC$10</definedName>
    <definedName name="NEW_PermSalaryFilled" localSheetId="0">'GVLA|0001-00'!$AA$10</definedName>
    <definedName name="NEW_PermSalaryFilled" localSheetId="1">'GVLA|0348-00'!$AA$10</definedName>
    <definedName name="NEW_PermSalaryFilled" localSheetId="2">'GVLA|0426-00'!$AA$10</definedName>
    <definedName name="NEW_PermSalaryFilled">'B6'!$AA$10</definedName>
    <definedName name="NEW_PermVBFilled" localSheetId="0">'GVLA|0001-00'!$AB$10</definedName>
    <definedName name="NEW_PermVBFilled" localSheetId="1">'GVLA|0348-00'!$AB$10</definedName>
    <definedName name="NEW_PermVBFilled" localSheetId="2">'GVLA|0426-00'!$AB$10</definedName>
    <definedName name="NEW_PermVBFilled">'B6'!$AB$10</definedName>
    <definedName name="OneTimePC_Total" localSheetId="0">'GVLA|0001-00'!$J$63</definedName>
    <definedName name="OneTimePC_Total" localSheetId="1">'GVLA|0348-00'!$J$63</definedName>
    <definedName name="OneTimePC_Total" localSheetId="2">'GVLA|0426-00'!$J$63</definedName>
    <definedName name="OneTimePC_Total">'B6'!$J$63</definedName>
    <definedName name="OrigApprop" localSheetId="0">'GVLA|0001-00'!$E$15</definedName>
    <definedName name="OrigApprop" localSheetId="1">'GVLA|0348-00'!$E$15</definedName>
    <definedName name="OrigApprop" localSheetId="2">'GVLA|0426-00'!$E$15</definedName>
    <definedName name="OrigApprop">'B6'!$E$15</definedName>
    <definedName name="perm_name" localSheetId="0">'GVLA|0001-00'!$C$10</definedName>
    <definedName name="perm_name" localSheetId="1">'GVLA|0348-00'!$C$10</definedName>
    <definedName name="perm_name" localSheetId="2">'GVLA|0426-00'!$C$10</definedName>
    <definedName name="perm_name">'B6'!$C$10</definedName>
    <definedName name="PermFTP" localSheetId="0">'GVLA|0001-00'!$F$10</definedName>
    <definedName name="PermFTP" localSheetId="1">'GVLA|0348-00'!$F$10</definedName>
    <definedName name="PermFTP" localSheetId="2">'GVLA|0426-00'!$F$10</definedName>
    <definedName name="PermFTP">'B6'!$F$10</definedName>
    <definedName name="PermFxdBen" localSheetId="0">'GVLA|0001-00'!$H$10</definedName>
    <definedName name="PermFxdBen" localSheetId="1">'GVLA|0348-00'!$H$10</definedName>
    <definedName name="PermFxdBen" localSheetId="2">'GVLA|0426-00'!$H$10</definedName>
    <definedName name="PermFxdBen">'B6'!$H$10</definedName>
    <definedName name="PermFxdBenChg" localSheetId="0">'GVLA|0001-00'!$L$10</definedName>
    <definedName name="PermFxdBenChg" localSheetId="1">'GVLA|0348-00'!$L$10</definedName>
    <definedName name="PermFxdBenChg" localSheetId="2">'GVLA|0426-00'!$L$10</definedName>
    <definedName name="PermFxdBenChg">'B6'!$L$10</definedName>
    <definedName name="PermFxdChg" localSheetId="0">'GVLA|0001-00'!$L$10</definedName>
    <definedName name="PermFxdChg" localSheetId="1">'GVLA|0348-00'!$L$10</definedName>
    <definedName name="PermFxdChg" localSheetId="2">'GVLA|0426-00'!$L$10</definedName>
    <definedName name="PermFxdChg">'B6'!$L$10</definedName>
    <definedName name="PermSalary" localSheetId="0">'GVLA|0001-00'!$G$10</definedName>
    <definedName name="PermSalary" localSheetId="1">'GVLA|0348-00'!$G$10</definedName>
    <definedName name="PermSalary" localSheetId="2">'GVLA|0426-00'!$G$10</definedName>
    <definedName name="PermSalary">'B6'!$G$10</definedName>
    <definedName name="PermVarBen" localSheetId="0">'GVLA|0001-00'!$I$10</definedName>
    <definedName name="PermVarBen" localSheetId="1">'GVLA|0348-00'!$I$10</definedName>
    <definedName name="PermVarBen" localSheetId="2">'GVLA|0426-00'!$I$10</definedName>
    <definedName name="PermVarBen">'B6'!$I$10</definedName>
    <definedName name="PermVarBenChg" localSheetId="0">'GVLA|0001-00'!$M$10</definedName>
    <definedName name="PermVarBenChg" localSheetId="1">'GVLA|0348-00'!$M$10</definedName>
    <definedName name="PermVarBenChg" localSheetId="2">'GVLA|0426-00'!$M$10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5">'B6'!$A$1:$N$81</definedName>
    <definedName name="_xlnm.Print_Area" localSheetId="4">Benefits!$A$1:$G$36</definedName>
    <definedName name="_xlnm.Print_Area" localSheetId="0">'GVLA|0001-00'!$A$1:$N$81</definedName>
    <definedName name="_xlnm.Print_Area" localSheetId="1">'GVLA|0348-00'!$A$1:$N$81</definedName>
    <definedName name="_xlnm.Print_Area" localSheetId="2">'GVLA|0426-00'!$A$1:$N$81</definedName>
    <definedName name="Prog_Unadjusted_Total" localSheetId="0">'GVLA|0001-00'!$C$8:$N$16</definedName>
    <definedName name="Prog_Unadjusted_Total" localSheetId="1">'GVLA|0348-00'!$C$8:$N$16</definedName>
    <definedName name="Prog_Unadjusted_Total" localSheetId="2">'GVLA|0426-00'!$C$8:$N$16</definedName>
    <definedName name="Prog_Unadjusted_Total">'B6'!$C$8:$N$16</definedName>
    <definedName name="Program" localSheetId="0">'GVLA|0001-00'!$D$3</definedName>
    <definedName name="Program" localSheetId="1">'GVLA|0348-00'!$D$3</definedName>
    <definedName name="Program" localSheetId="2">'GVLA|0426-00'!$D$3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'GVLA|0001-00'!$G$52</definedName>
    <definedName name="RoundedAppropSalary" localSheetId="1">'GVLA|0348-00'!$G$52</definedName>
    <definedName name="RoundedAppropSalary" localSheetId="2">'GVLA|0426-00'!$G$52</definedName>
    <definedName name="RoundedAppropSalary">'B6'!$G$52</definedName>
    <definedName name="SalaryChg" localSheetId="0">'GVLA|0001-00'!$K$10</definedName>
    <definedName name="SalaryChg" localSheetId="1">'GVLA|0348-00'!$K$10</definedName>
    <definedName name="SalaryChg" localSheetId="2">'GVLA|0426-00'!$K$10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'GVLA|0001-00'!#REF!</definedName>
    <definedName name="SubCECBase" localSheetId="1">'GVLA|0348-00'!#REF!</definedName>
    <definedName name="SubCECBase" localSheetId="2">'GVLA|0426-00'!#REF!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K12" i="11"/>
  <c r="L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K15" i="11"/>
  <c r="L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J23" i="11"/>
  <c r="K23" i="11"/>
  <c r="L23" i="11"/>
  <c r="M23" i="11"/>
  <c r="E24" i="11"/>
  <c r="F24" i="11"/>
  <c r="G24" i="11"/>
  <c r="H24" i="11"/>
  <c r="I24" i="11"/>
  <c r="J24" i="11"/>
  <c r="K24" i="11"/>
  <c r="L24" i="11"/>
  <c r="M24" i="11"/>
  <c r="E25" i="11"/>
  <c r="F25" i="11"/>
  <c r="G25" i="11"/>
  <c r="H25" i="11"/>
  <c r="I25" i="11"/>
  <c r="K25" i="11"/>
  <c r="L25" i="11"/>
  <c r="AZ117" i="5"/>
  <c r="AY117" i="5"/>
  <c r="AW117" i="5"/>
  <c r="AV117" i="5"/>
  <c r="AU117" i="5"/>
  <c r="AT117" i="5"/>
  <c r="AS117" i="5"/>
  <c r="BA115" i="5"/>
  <c r="AZ115" i="5"/>
  <c r="AY115" i="5"/>
  <c r="AX115" i="5"/>
  <c r="AW115" i="5"/>
  <c r="AV115" i="5"/>
  <c r="AU115" i="5"/>
  <c r="AT115" i="5"/>
  <c r="AS115" i="5"/>
  <c r="AZ107" i="5"/>
  <c r="AY107" i="5"/>
  <c r="AW107" i="5"/>
  <c r="AV107" i="5"/>
  <c r="AU107" i="5"/>
  <c r="AT107" i="5"/>
  <c r="AS107" i="5"/>
  <c r="AZ113" i="5"/>
  <c r="AW113" i="5"/>
  <c r="AZ111" i="5"/>
  <c r="AW111" i="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F52" i="14" s="1"/>
  <c r="F56" i="14" s="1"/>
  <c r="F60" i="14" s="1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N34" i="14" s="1"/>
  <c r="L34" i="14"/>
  <c r="J34" i="14"/>
  <c r="I34" i="14"/>
  <c r="H34" i="14"/>
  <c r="M33" i="14"/>
  <c r="N33" i="14" s="1"/>
  <c r="L33" i="14"/>
  <c r="J33" i="14"/>
  <c r="I33" i="14"/>
  <c r="H33" i="14"/>
  <c r="N32" i="14"/>
  <c r="M32" i="14"/>
  <c r="L32" i="14"/>
  <c r="J32" i="14"/>
  <c r="I32" i="14"/>
  <c r="H32" i="14"/>
  <c r="M30" i="14"/>
  <c r="L30" i="14"/>
  <c r="J30" i="14"/>
  <c r="I30" i="14"/>
  <c r="H30" i="14"/>
  <c r="M29" i="14"/>
  <c r="N29" i="14" s="1"/>
  <c r="L29" i="14"/>
  <c r="J29" i="14"/>
  <c r="I29" i="14"/>
  <c r="H29" i="14"/>
  <c r="M28" i="14"/>
  <c r="N28" i="14" s="1"/>
  <c r="L28" i="14"/>
  <c r="J28" i="14"/>
  <c r="I28" i="14"/>
  <c r="H28" i="14"/>
  <c r="M27" i="14"/>
  <c r="N27" i="14" s="1"/>
  <c r="L27" i="14"/>
  <c r="J27" i="14"/>
  <c r="I27" i="14"/>
  <c r="H27" i="14"/>
  <c r="M26" i="14"/>
  <c r="L26" i="14"/>
  <c r="J26" i="14"/>
  <c r="I26" i="14"/>
  <c r="H26" i="14"/>
  <c r="M25" i="14"/>
  <c r="N25" i="14" s="1"/>
  <c r="L25" i="14"/>
  <c r="J25" i="14"/>
  <c r="I25" i="14"/>
  <c r="H25" i="14"/>
  <c r="M24" i="14"/>
  <c r="N24" i="14" s="1"/>
  <c r="L24" i="14"/>
  <c r="J24" i="14"/>
  <c r="I24" i="14"/>
  <c r="H24" i="14"/>
  <c r="M23" i="14"/>
  <c r="N23" i="14" s="1"/>
  <c r="L23" i="14"/>
  <c r="J23" i="14"/>
  <c r="I23" i="14"/>
  <c r="H23" i="14"/>
  <c r="M22" i="14"/>
  <c r="L22" i="14"/>
  <c r="J22" i="14"/>
  <c r="I22" i="14"/>
  <c r="H22" i="14"/>
  <c r="M21" i="14"/>
  <c r="N21" i="14" s="1"/>
  <c r="L21" i="14"/>
  <c r="J21" i="14"/>
  <c r="I21" i="14"/>
  <c r="H21" i="14"/>
  <c r="M20" i="14"/>
  <c r="N20" i="14" s="1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F52" i="13" s="1"/>
  <c r="F56" i="13" s="1"/>
  <c r="F60" i="13" s="1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N34" i="13" s="1"/>
  <c r="L34" i="13"/>
  <c r="J34" i="13"/>
  <c r="I34" i="13"/>
  <c r="H34" i="13"/>
  <c r="M33" i="13"/>
  <c r="L33" i="13"/>
  <c r="J33" i="13"/>
  <c r="I33" i="13"/>
  <c r="H33" i="13"/>
  <c r="M32" i="13"/>
  <c r="L32" i="13"/>
  <c r="N32" i="13" s="1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N27" i="13" s="1"/>
  <c r="L27" i="13"/>
  <c r="J27" i="13"/>
  <c r="I27" i="13"/>
  <c r="H27" i="13"/>
  <c r="M26" i="13"/>
  <c r="L26" i="13"/>
  <c r="J26" i="13"/>
  <c r="I26" i="13"/>
  <c r="H26" i="13"/>
  <c r="M25" i="13"/>
  <c r="N25" i="13" s="1"/>
  <c r="L25" i="13"/>
  <c r="J25" i="13"/>
  <c r="I25" i="13"/>
  <c r="H25" i="13"/>
  <c r="M24" i="13"/>
  <c r="L24" i="13"/>
  <c r="J24" i="13"/>
  <c r="I24" i="13"/>
  <c r="H24" i="13"/>
  <c r="M23" i="13"/>
  <c r="L23" i="13"/>
  <c r="N23" i="13" s="1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N27" i="12" s="1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N24" i="12" s="1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91" i="5" s="1"/>
  <c r="CM92" i="5" s="1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91" i="5" s="1"/>
  <c r="CL92" i="5" s="1"/>
  <c r="CL2" i="5"/>
  <c r="AW84" i="5"/>
  <c r="AW91" i="5" s="1"/>
  <c r="AW92" i="5" s="1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T9" i="5" s="1"/>
  <c r="AS10" i="5"/>
  <c r="AX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T23" i="5" s="1"/>
  <c r="AS24" i="5"/>
  <c r="AX24" i="5" s="1"/>
  <c r="AS25" i="5"/>
  <c r="AT25" i="5" s="1"/>
  <c r="AS26" i="5"/>
  <c r="AX26" i="5" s="1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X40" i="5" s="1"/>
  <c r="AS41" i="5"/>
  <c r="AT41" i="5" s="1"/>
  <c r="AS42" i="5"/>
  <c r="AX42" i="5" s="1"/>
  <c r="AS43" i="5"/>
  <c r="AX43" i="5" s="1"/>
  <c r="AS44" i="5"/>
  <c r="AX44" i="5" s="1"/>
  <c r="AS45" i="5"/>
  <c r="AX45" i="5" s="1"/>
  <c r="AS46" i="5"/>
  <c r="AX46" i="5" s="1"/>
  <c r="AS47" i="5"/>
  <c r="AX47" i="5" s="1"/>
  <c r="AS48" i="5"/>
  <c r="AX48" i="5" s="1"/>
  <c r="AS49" i="5"/>
  <c r="AX49" i="5" s="1"/>
  <c r="AS50" i="5"/>
  <c r="AX50" i="5" s="1"/>
  <c r="AS51" i="5"/>
  <c r="AX51" i="5" s="1"/>
  <c r="AS52" i="5"/>
  <c r="AX52" i="5" s="1"/>
  <c r="AS53" i="5"/>
  <c r="AX53" i="5" s="1"/>
  <c r="AS54" i="5"/>
  <c r="AX54" i="5" s="1"/>
  <c r="AS55" i="5"/>
  <c r="AT55" i="5" s="1"/>
  <c r="AS56" i="5"/>
  <c r="AX56" i="5" s="1"/>
  <c r="AS57" i="5"/>
  <c r="AT57" i="5" s="1"/>
  <c r="AS58" i="5"/>
  <c r="AX58" i="5" s="1"/>
  <c r="AS59" i="5"/>
  <c r="AX59" i="5" s="1"/>
  <c r="AS60" i="5"/>
  <c r="AX60" i="5" s="1"/>
  <c r="AS61" i="5"/>
  <c r="AX61" i="5" s="1"/>
  <c r="AS62" i="5"/>
  <c r="AX62" i="5" s="1"/>
  <c r="AS63" i="5"/>
  <c r="AX63" i="5" s="1"/>
  <c r="AS64" i="5"/>
  <c r="AX64" i="5" s="1"/>
  <c r="AS65" i="5"/>
  <c r="AT65" i="5" s="1"/>
  <c r="AS66" i="5"/>
  <c r="AX66" i="5" s="1"/>
  <c r="AS67" i="5"/>
  <c r="AX67" i="5" s="1"/>
  <c r="AS68" i="5"/>
  <c r="AX68" i="5" s="1"/>
  <c r="AS69" i="5"/>
  <c r="AX69" i="5" s="1"/>
  <c r="AS70" i="5"/>
  <c r="AX70" i="5" s="1"/>
  <c r="AS71" i="5"/>
  <c r="AX71" i="5" s="1"/>
  <c r="AS72" i="5"/>
  <c r="AX72" i="5" s="1"/>
  <c r="AS73" i="5"/>
  <c r="AT73" i="5" s="1"/>
  <c r="AS74" i="5"/>
  <c r="AX74" i="5" s="1"/>
  <c r="AS75" i="5"/>
  <c r="AX75" i="5" s="1"/>
  <c r="AS76" i="5"/>
  <c r="AX76" i="5" s="1"/>
  <c r="AS77" i="5"/>
  <c r="AX77" i="5" s="1"/>
  <c r="AS78" i="5"/>
  <c r="AX78" i="5" s="1"/>
  <c r="AS79" i="5"/>
  <c r="AX79" i="5" s="1"/>
  <c r="AS80" i="5"/>
  <c r="AX80" i="5" s="1"/>
  <c r="AS81" i="5"/>
  <c r="AX81" i="5" s="1"/>
  <c r="AS82" i="5"/>
  <c r="AX82" i="5" s="1"/>
  <c r="AS83" i="5"/>
  <c r="AX83" i="5" s="1"/>
  <c r="AS84" i="5"/>
  <c r="AX84" i="5" s="1"/>
  <c r="AX91" i="5" s="1"/>
  <c r="AX92" i="5" s="1"/>
  <c r="AS2" i="5"/>
  <c r="AX2" i="5" s="1"/>
  <c r="N32" i="12" l="1"/>
  <c r="N28" i="12"/>
  <c r="N21" i="13"/>
  <c r="N29" i="13"/>
  <c r="N22" i="14"/>
  <c r="N25" i="12"/>
  <c r="N29" i="12"/>
  <c r="N26" i="13"/>
  <c r="N30" i="14"/>
  <c r="N23" i="12"/>
  <c r="N20" i="13"/>
  <c r="N24" i="13"/>
  <c r="N35" i="13"/>
  <c r="N33" i="13"/>
  <c r="G63" i="13"/>
  <c r="I63" i="13" s="1"/>
  <c r="N26" i="14"/>
  <c r="N35" i="14"/>
  <c r="AV112" i="5"/>
  <c r="AT104" i="5"/>
  <c r="AT105" i="5" s="1"/>
  <c r="AX112" i="5"/>
  <c r="AU104" i="5"/>
  <c r="AU105" i="5" s="1"/>
  <c r="AT110" i="5"/>
  <c r="AY112" i="5"/>
  <c r="AU110" i="5"/>
  <c r="AU111" i="5" s="1"/>
  <c r="BA112" i="5"/>
  <c r="AT100" i="5"/>
  <c r="AT101" i="5" s="1"/>
  <c r="AV110" i="5"/>
  <c r="AU100" i="5"/>
  <c r="AU101" i="5" s="1"/>
  <c r="AX110" i="5"/>
  <c r="AT102" i="5"/>
  <c r="AY110" i="5"/>
  <c r="AT112" i="5"/>
  <c r="AU102" i="5"/>
  <c r="BA110" i="5"/>
  <c r="AU112" i="5"/>
  <c r="G11" i="14"/>
  <c r="G39" i="14" s="1"/>
  <c r="AA39" i="14" s="1"/>
  <c r="E27" i="10"/>
  <c r="I11" i="14"/>
  <c r="I39" i="14" s="1"/>
  <c r="AB39" i="14" s="1"/>
  <c r="G27" i="10"/>
  <c r="N39" i="14"/>
  <c r="F67" i="14"/>
  <c r="N30" i="13"/>
  <c r="N20" i="12"/>
  <c r="N35" i="12"/>
  <c r="N22" i="13"/>
  <c r="N28" i="13"/>
  <c r="N39" i="13"/>
  <c r="F67" i="13"/>
  <c r="N30" i="12"/>
  <c r="N34" i="12"/>
  <c r="N26" i="12"/>
  <c r="N22" i="12"/>
  <c r="N33" i="12"/>
  <c r="N21" i="12"/>
  <c r="AW89" i="5"/>
  <c r="AW90" i="5" s="1"/>
  <c r="AT37" i="5"/>
  <c r="AV37" i="5" s="1"/>
  <c r="AT29" i="5"/>
  <c r="AV29" i="5" s="1"/>
  <c r="AT13" i="5"/>
  <c r="AV13" i="5" s="1"/>
  <c r="CM89" i="5"/>
  <c r="CM90" i="5" s="1"/>
  <c r="CL89" i="5"/>
  <c r="CL90" i="5" s="1"/>
  <c r="AT36" i="5"/>
  <c r="AV36" i="5" s="1"/>
  <c r="AT60" i="5"/>
  <c r="AV60" i="5" s="1"/>
  <c r="BC60" i="5" s="1"/>
  <c r="AT19" i="5"/>
  <c r="AY19" i="5" s="1"/>
  <c r="AT84" i="5"/>
  <c r="AS104" i="5" s="1"/>
  <c r="AS105" i="5" s="1"/>
  <c r="AT59" i="5"/>
  <c r="AY59" i="5" s="1"/>
  <c r="AT83" i="5"/>
  <c r="AV83" i="5" s="1"/>
  <c r="BO83" i="5" s="1"/>
  <c r="AT53" i="5"/>
  <c r="AV53" i="5" s="1"/>
  <c r="BO53" i="5" s="1"/>
  <c r="AT35" i="5"/>
  <c r="AV35" i="5" s="1"/>
  <c r="AT12" i="5"/>
  <c r="AY12" i="5" s="1"/>
  <c r="AT76" i="5"/>
  <c r="AV76" i="5" s="1"/>
  <c r="BC76" i="5" s="1"/>
  <c r="AT52" i="5"/>
  <c r="AV52" i="5" s="1"/>
  <c r="BO52" i="5" s="1"/>
  <c r="AT11" i="5"/>
  <c r="AV11" i="5" s="1"/>
  <c r="BC11" i="5" s="1"/>
  <c r="AT75" i="5"/>
  <c r="AY75" i="5" s="1"/>
  <c r="AT51" i="5"/>
  <c r="AV51" i="5" s="1"/>
  <c r="BO51" i="5" s="1"/>
  <c r="AT28" i="5"/>
  <c r="AZ28" i="5" s="1"/>
  <c r="AT5" i="5"/>
  <c r="AV5" i="5" s="1"/>
  <c r="AT68" i="5"/>
  <c r="AY68" i="5" s="1"/>
  <c r="AT45" i="5"/>
  <c r="CD45" i="5" s="1"/>
  <c r="AT27" i="5"/>
  <c r="AV27" i="5" s="1"/>
  <c r="AT4" i="5"/>
  <c r="AV4" i="5" s="1"/>
  <c r="CM87" i="5"/>
  <c r="CM88" i="5" s="1"/>
  <c r="AT67" i="5"/>
  <c r="AV67" i="5" s="1"/>
  <c r="BC67" i="5" s="1"/>
  <c r="AT44" i="5"/>
  <c r="BW44" i="5" s="1"/>
  <c r="AT21" i="5"/>
  <c r="AV21" i="5" s="1"/>
  <c r="AT3" i="5"/>
  <c r="AV3" i="5" s="1"/>
  <c r="N39" i="12"/>
  <c r="AT61" i="5"/>
  <c r="AV61" i="5" s="1"/>
  <c r="AT43" i="5"/>
  <c r="AY43" i="5" s="1"/>
  <c r="AT20" i="5"/>
  <c r="AV20" i="5" s="1"/>
  <c r="AW87" i="5"/>
  <c r="AW88" i="5" s="1"/>
  <c r="F67" i="12"/>
  <c r="CI65" i="5"/>
  <c r="CJ65" i="5"/>
  <c r="CF65" i="5"/>
  <c r="CH65" i="5"/>
  <c r="CG65" i="5"/>
  <c r="BY65" i="5"/>
  <c r="BX65" i="5"/>
  <c r="CC65" i="5"/>
  <c r="BW65" i="5"/>
  <c r="CD65" i="5"/>
  <c r="BR65" i="5"/>
  <c r="BZ65" i="5"/>
  <c r="BQ65" i="5"/>
  <c r="BV65" i="5"/>
  <c r="BL65" i="5"/>
  <c r="BH65" i="5"/>
  <c r="BT65" i="5"/>
  <c r="CE65" i="5"/>
  <c r="CA65" i="5"/>
  <c r="CK65" i="5"/>
  <c r="BM65" i="5"/>
  <c r="BK65" i="5"/>
  <c r="BU65" i="5"/>
  <c r="BJ65" i="5"/>
  <c r="BS65" i="5"/>
  <c r="BF65" i="5"/>
  <c r="BG65" i="5"/>
  <c r="BI65" i="5"/>
  <c r="AZ65" i="5"/>
  <c r="BE65" i="5"/>
  <c r="BA65" i="5"/>
  <c r="AY65" i="5"/>
  <c r="AU65" i="5"/>
  <c r="BN65" i="5" s="1"/>
  <c r="AV65" i="5"/>
  <c r="BC65" i="5" s="1"/>
  <c r="CI25" i="5"/>
  <c r="CJ25" i="5"/>
  <c r="CF25" i="5"/>
  <c r="BY25" i="5"/>
  <c r="CG25" i="5"/>
  <c r="CE25" i="5"/>
  <c r="CD25" i="5"/>
  <c r="CK25" i="5"/>
  <c r="CA25" i="5"/>
  <c r="BW25" i="5"/>
  <c r="BV25" i="5"/>
  <c r="BR25" i="5"/>
  <c r="CC25" i="5"/>
  <c r="BQ25" i="5"/>
  <c r="BK25" i="5"/>
  <c r="CH25" i="5"/>
  <c r="BX25" i="5"/>
  <c r="BH25" i="5"/>
  <c r="BS25" i="5"/>
  <c r="BG25" i="5"/>
  <c r="BU25" i="5"/>
  <c r="BZ25" i="5"/>
  <c r="BL25" i="5"/>
  <c r="BJ25" i="5"/>
  <c r="BM25" i="5"/>
  <c r="BF25" i="5"/>
  <c r="BT25" i="5"/>
  <c r="BI25" i="5"/>
  <c r="BA25" i="5"/>
  <c r="BE25" i="5"/>
  <c r="AY25" i="5"/>
  <c r="AZ25" i="5"/>
  <c r="AU25" i="5"/>
  <c r="BN25" i="5" s="1"/>
  <c r="AV25" i="5"/>
  <c r="BO25" i="5" s="1"/>
  <c r="CI73" i="5"/>
  <c r="CG73" i="5"/>
  <c r="CF73" i="5"/>
  <c r="BY73" i="5"/>
  <c r="CE73" i="5"/>
  <c r="CC73" i="5"/>
  <c r="CD73" i="5"/>
  <c r="BW73" i="5"/>
  <c r="BR73" i="5"/>
  <c r="BQ73" i="5"/>
  <c r="CK73" i="5"/>
  <c r="CA73" i="5"/>
  <c r="BH73" i="5"/>
  <c r="BU73" i="5"/>
  <c r="BS73" i="5"/>
  <c r="BT73" i="5"/>
  <c r="BF73" i="5"/>
  <c r="BJ73" i="5"/>
  <c r="BE73" i="5"/>
  <c r="BM73" i="5"/>
  <c r="BA73" i="5"/>
  <c r="BI73" i="5"/>
  <c r="BV73" i="5"/>
  <c r="BK73" i="5"/>
  <c r="BG73" i="5"/>
  <c r="AU73" i="5"/>
  <c r="BN73" i="5" s="1"/>
  <c r="AY73" i="5"/>
  <c r="AZ73" i="5"/>
  <c r="AV73" i="5"/>
  <c r="BC73" i="5" s="1"/>
  <c r="CI57" i="5"/>
  <c r="CF57" i="5"/>
  <c r="CD57" i="5"/>
  <c r="BY57" i="5"/>
  <c r="CE57" i="5"/>
  <c r="CA57" i="5"/>
  <c r="BW57" i="5"/>
  <c r="CK57" i="5"/>
  <c r="BV57" i="5"/>
  <c r="BR57" i="5"/>
  <c r="BQ57" i="5"/>
  <c r="CC57" i="5"/>
  <c r="BH57" i="5"/>
  <c r="BS57" i="5"/>
  <c r="BG57" i="5"/>
  <c r="BT57" i="5"/>
  <c r="BJ57" i="5"/>
  <c r="BK57" i="5"/>
  <c r="BF57" i="5"/>
  <c r="BM57" i="5"/>
  <c r="BA57" i="5"/>
  <c r="BI57" i="5"/>
  <c r="BU57" i="5"/>
  <c r="AY57" i="5"/>
  <c r="BE57" i="5"/>
  <c r="AU57" i="5"/>
  <c r="BB57" i="5" s="1"/>
  <c r="AZ57" i="5"/>
  <c r="AV57" i="5"/>
  <c r="BO57" i="5" s="1"/>
  <c r="CI41" i="5"/>
  <c r="CH41" i="5"/>
  <c r="CG41" i="5"/>
  <c r="CF41" i="5"/>
  <c r="BY41" i="5"/>
  <c r="BX41" i="5"/>
  <c r="CK41" i="5"/>
  <c r="CE41" i="5"/>
  <c r="CC41" i="5"/>
  <c r="BW41" i="5"/>
  <c r="BR41" i="5"/>
  <c r="BQ41" i="5"/>
  <c r="BK41" i="5"/>
  <c r="CJ41" i="5"/>
  <c r="CD41" i="5"/>
  <c r="BH41" i="5"/>
  <c r="CA41" i="5"/>
  <c r="BU41" i="5"/>
  <c r="BL41" i="5"/>
  <c r="BG41" i="5"/>
  <c r="BI41" i="5"/>
  <c r="BF41" i="5"/>
  <c r="BZ41" i="5"/>
  <c r="BV41" i="5"/>
  <c r="BE41" i="5"/>
  <c r="BA41" i="5"/>
  <c r="BM41" i="5"/>
  <c r="BS41" i="5"/>
  <c r="BJ41" i="5"/>
  <c r="BT41" i="5"/>
  <c r="AY41" i="5"/>
  <c r="AU41" i="5"/>
  <c r="BN41" i="5" s="1"/>
  <c r="AZ41" i="5"/>
  <c r="AV41" i="5"/>
  <c r="BO41" i="5" s="1"/>
  <c r="CD55" i="5"/>
  <c r="CK55" i="5"/>
  <c r="CI55" i="5"/>
  <c r="CF55" i="5"/>
  <c r="CA55" i="5"/>
  <c r="BW55" i="5"/>
  <c r="BT55" i="5"/>
  <c r="CE55" i="5"/>
  <c r="BS55" i="5"/>
  <c r="BY55" i="5"/>
  <c r="BR55" i="5"/>
  <c r="BJ55" i="5"/>
  <c r="BI55" i="5"/>
  <c r="BU55" i="5"/>
  <c r="BE55" i="5"/>
  <c r="CC55" i="5"/>
  <c r="BV55" i="5"/>
  <c r="BK55" i="5"/>
  <c r="BM55" i="5"/>
  <c r="BH55" i="5"/>
  <c r="BF55" i="5"/>
  <c r="BQ55" i="5"/>
  <c r="BG55" i="5"/>
  <c r="BA55" i="5"/>
  <c r="AV55" i="5"/>
  <c r="BC55" i="5" s="1"/>
  <c r="AY55" i="5"/>
  <c r="AZ55" i="5"/>
  <c r="AU55" i="5"/>
  <c r="BN55" i="5" s="1"/>
  <c r="CD23" i="5"/>
  <c r="CK23" i="5"/>
  <c r="CI23" i="5"/>
  <c r="CH23" i="5"/>
  <c r="CF23" i="5"/>
  <c r="CA23" i="5"/>
  <c r="BZ23" i="5"/>
  <c r="CC23" i="5"/>
  <c r="BW23" i="5"/>
  <c r="BT23" i="5"/>
  <c r="BS23" i="5"/>
  <c r="CG23" i="5"/>
  <c r="BV23" i="5"/>
  <c r="BR23" i="5"/>
  <c r="BJ23" i="5"/>
  <c r="CE23" i="5"/>
  <c r="BI23" i="5"/>
  <c r="CJ23" i="5"/>
  <c r="BX23" i="5"/>
  <c r="BQ23" i="5"/>
  <c r="BK23" i="5"/>
  <c r="BE23" i="5"/>
  <c r="BM23" i="5"/>
  <c r="BY23" i="5"/>
  <c r="BG23" i="5"/>
  <c r="BL23" i="5"/>
  <c r="BF23" i="5"/>
  <c r="BU23" i="5"/>
  <c r="BA23" i="5"/>
  <c r="BH23" i="5"/>
  <c r="AY23" i="5"/>
  <c r="AZ23" i="5"/>
  <c r="AV23" i="5"/>
  <c r="BC23" i="5" s="1"/>
  <c r="AU23" i="5"/>
  <c r="BN23" i="5" s="1"/>
  <c r="CI9" i="5"/>
  <c r="CH9" i="5"/>
  <c r="CG9" i="5"/>
  <c r="CF9" i="5"/>
  <c r="BY9" i="5"/>
  <c r="BX9" i="5"/>
  <c r="CE9" i="5"/>
  <c r="CC9" i="5"/>
  <c r="BW9" i="5"/>
  <c r="BR9" i="5"/>
  <c r="BZ9" i="5"/>
  <c r="BQ9" i="5"/>
  <c r="BK9" i="5"/>
  <c r="BV9" i="5"/>
  <c r="BH9" i="5"/>
  <c r="CJ9" i="5"/>
  <c r="BU9" i="5"/>
  <c r="BG9" i="5"/>
  <c r="CK9" i="5"/>
  <c r="BL9" i="5"/>
  <c r="CD9" i="5"/>
  <c r="CA9" i="5"/>
  <c r="BS9" i="5"/>
  <c r="BM9" i="5"/>
  <c r="BJ9" i="5"/>
  <c r="BF9" i="5"/>
  <c r="BT9" i="5"/>
  <c r="BE9" i="5"/>
  <c r="AZ9" i="5"/>
  <c r="BI9" i="5"/>
  <c r="BA9" i="5"/>
  <c r="AY9" i="5"/>
  <c r="AU9" i="5"/>
  <c r="BB9" i="5" s="1"/>
  <c r="AV9" i="5"/>
  <c r="BO9" i="5" s="1"/>
  <c r="AT80" i="5"/>
  <c r="AT72" i="5"/>
  <c r="AT64" i="5"/>
  <c r="AT56" i="5"/>
  <c r="AT48" i="5"/>
  <c r="AT40" i="5"/>
  <c r="AT32" i="5"/>
  <c r="AT24" i="5"/>
  <c r="AT16" i="5"/>
  <c r="AT8" i="5"/>
  <c r="AT79" i="5"/>
  <c r="AT63" i="5"/>
  <c r="AT47" i="5"/>
  <c r="AT31" i="5"/>
  <c r="AT15" i="5"/>
  <c r="AT78" i="5"/>
  <c r="AT70" i="5"/>
  <c r="AT62" i="5"/>
  <c r="AT54" i="5"/>
  <c r="AT46" i="5"/>
  <c r="AT38" i="5"/>
  <c r="AT30" i="5"/>
  <c r="AT22" i="5"/>
  <c r="AT14" i="5"/>
  <c r="AT6" i="5"/>
  <c r="AX9" i="5"/>
  <c r="BD9" i="5" s="1"/>
  <c r="AX23" i="5"/>
  <c r="BD23" i="5" s="1"/>
  <c r="AX65" i="5"/>
  <c r="AT2" i="5"/>
  <c r="AT77" i="5"/>
  <c r="AT69" i="5"/>
  <c r="CI13" i="5"/>
  <c r="AX25" i="5"/>
  <c r="BD25" i="5" s="1"/>
  <c r="AX41" i="5"/>
  <c r="AX55" i="5"/>
  <c r="BD55" i="5" s="1"/>
  <c r="AX57" i="5"/>
  <c r="BD57" i="5" s="1"/>
  <c r="AT82" i="5"/>
  <c r="AT74" i="5"/>
  <c r="AT66" i="5"/>
  <c r="AT58" i="5"/>
  <c r="AT50" i="5"/>
  <c r="AT42" i="5"/>
  <c r="AT34" i="5"/>
  <c r="AT26" i="5"/>
  <c r="AT18" i="5"/>
  <c r="AT10" i="5"/>
  <c r="AX73" i="5"/>
  <c r="BD73" i="5" s="1"/>
  <c r="AT81" i="5"/>
  <c r="AT49" i="5"/>
  <c r="AT33" i="5"/>
  <c r="AT17" i="5"/>
  <c r="AT71" i="5"/>
  <c r="AT39" i="5"/>
  <c r="AT7" i="5"/>
  <c r="CL87" i="5"/>
  <c r="CL88" i="5" s="1"/>
  <c r="C12" i="7"/>
  <c r="G63" i="14" s="1"/>
  <c r="I63" i="14" s="1"/>
  <c r="C13" i="7"/>
  <c r="C14" i="7"/>
  <c r="E51" i="9"/>
  <c r="G63" i="12" l="1"/>
  <c r="I63" i="12" s="1"/>
  <c r="BO3" i="5"/>
  <c r="BT83" i="5"/>
  <c r="AZ3" i="5"/>
  <c r="BH12" i="5"/>
  <c r="CC75" i="5"/>
  <c r="BG51" i="5"/>
  <c r="BI52" i="5"/>
  <c r="BA59" i="5"/>
  <c r="BP59" i="5" s="1"/>
  <c r="BF29" i="5"/>
  <c r="BE59" i="5"/>
  <c r="BU59" i="5"/>
  <c r="CI29" i="5"/>
  <c r="AX111" i="5"/>
  <c r="AY20" i="5"/>
  <c r="BX12" i="5"/>
  <c r="CK60" i="5"/>
  <c r="AU3" i="5"/>
  <c r="BN3" i="5" s="1"/>
  <c r="AU53" i="5"/>
  <c r="BN53" i="5" s="1"/>
  <c r="BF83" i="5"/>
  <c r="CF83" i="5"/>
  <c r="BJ60" i="5"/>
  <c r="CA51" i="5"/>
  <c r="BM83" i="5"/>
  <c r="BA111" i="5"/>
  <c r="AY83" i="5"/>
  <c r="BJ83" i="5"/>
  <c r="BC13" i="5"/>
  <c r="BV83" i="5"/>
  <c r="BH13" i="5"/>
  <c r="CC83" i="5"/>
  <c r="BF75" i="5"/>
  <c r="BW75" i="5"/>
  <c r="CI59" i="5"/>
  <c r="BS83" i="5"/>
  <c r="BM75" i="5"/>
  <c r="BK13" i="5"/>
  <c r="BU60" i="5"/>
  <c r="BX75" i="5"/>
  <c r="BO60" i="5"/>
  <c r="BD19" i="5"/>
  <c r="CD19" i="5"/>
  <c r="BT28" i="5"/>
  <c r="CE51" i="5"/>
  <c r="BY83" i="5"/>
  <c r="BW20" i="5"/>
  <c r="BV13" i="5"/>
  <c r="BK83" i="5"/>
  <c r="BU75" i="5"/>
  <c r="BI76" i="5"/>
  <c r="CD13" i="5"/>
  <c r="BS52" i="5"/>
  <c r="BE27" i="5"/>
  <c r="BQ59" i="5"/>
  <c r="BK75" i="5"/>
  <c r="CK75" i="5"/>
  <c r="BS29" i="5"/>
  <c r="AU19" i="5"/>
  <c r="BN19" i="5" s="1"/>
  <c r="BI59" i="5"/>
  <c r="BQ75" i="5"/>
  <c r="CG20" i="5"/>
  <c r="BZ29" i="5"/>
  <c r="CK19" i="5"/>
  <c r="BW59" i="5"/>
  <c r="BR75" i="5"/>
  <c r="CI52" i="5"/>
  <c r="BX19" i="5"/>
  <c r="BY52" i="5"/>
  <c r="CA19" i="5"/>
  <c r="CA52" i="5"/>
  <c r="AZ61" i="5"/>
  <c r="BG19" i="5"/>
  <c r="BL27" i="5"/>
  <c r="BY59" i="5"/>
  <c r="BJ75" i="5"/>
  <c r="BZ20" i="5"/>
  <c r="AU29" i="5"/>
  <c r="BN29" i="5" s="1"/>
  <c r="BZ19" i="5"/>
  <c r="BG59" i="5"/>
  <c r="BE75" i="5"/>
  <c r="BY75" i="5"/>
  <c r="BW52" i="5"/>
  <c r="BA29" i="5"/>
  <c r="BP29" i="5" s="1"/>
  <c r="BV84" i="5"/>
  <c r="BV91" i="5" s="1"/>
  <c r="BV92" i="5" s="1"/>
  <c r="BM12" i="5"/>
  <c r="BJ68" i="5"/>
  <c r="BU19" i="5"/>
  <c r="BC36" i="5"/>
  <c r="CE52" i="5"/>
  <c r="BS68" i="5"/>
  <c r="BI36" i="5"/>
  <c r="AY111" i="5"/>
  <c r="BH3" i="5"/>
  <c r="BY36" i="5"/>
  <c r="BS37" i="5"/>
  <c r="AU37" i="5"/>
  <c r="BN37" i="5" s="1"/>
  <c r="BE51" i="5"/>
  <c r="BC37" i="5"/>
  <c r="BQ51" i="5"/>
  <c r="BA11" i="5"/>
  <c r="BP11" i="5" s="1"/>
  <c r="BI60" i="5"/>
  <c r="AZ51" i="5"/>
  <c r="BA83" i="5"/>
  <c r="BP83" i="5" s="1"/>
  <c r="BR19" i="5"/>
  <c r="BH59" i="5"/>
  <c r="BV59" i="5"/>
  <c r="CG75" i="5"/>
  <c r="BE20" i="5"/>
  <c r="BJ52" i="5"/>
  <c r="CE76" i="5"/>
  <c r="BX13" i="5"/>
  <c r="CD29" i="5"/>
  <c r="AU61" i="5"/>
  <c r="BB61" i="5" s="1"/>
  <c r="BQ60" i="5"/>
  <c r="AU27" i="5"/>
  <c r="BN27" i="5" s="1"/>
  <c r="CK27" i="5"/>
  <c r="BO37" i="5"/>
  <c r="BT60" i="5"/>
  <c r="BI11" i="5"/>
  <c r="BR27" i="5"/>
  <c r="BR60" i="5"/>
  <c r="BF37" i="5"/>
  <c r="BG44" i="5"/>
  <c r="CK11" i="5"/>
  <c r="BU44" i="5"/>
  <c r="CI60" i="5"/>
  <c r="AY84" i="5"/>
  <c r="AY91" i="5" s="1"/>
  <c r="AY92" i="5" s="1"/>
  <c r="G10" i="14" s="1"/>
  <c r="CD11" i="5"/>
  <c r="CC19" i="5"/>
  <c r="BA52" i="5"/>
  <c r="BP52" i="5" s="1"/>
  <c r="BD76" i="5"/>
  <c r="CI76" i="5"/>
  <c r="CI3" i="5"/>
  <c r="BF60" i="5"/>
  <c r="BK84" i="5"/>
  <c r="BK91" i="5" s="1"/>
  <c r="BK92" i="5" s="1"/>
  <c r="BU37" i="5"/>
  <c r="BY60" i="5"/>
  <c r="CJ68" i="5"/>
  <c r="BQ11" i="5"/>
  <c r="BJ76" i="5"/>
  <c r="BU84" i="5"/>
  <c r="BU91" i="5" s="1"/>
  <c r="BU92" i="5" s="1"/>
  <c r="CD37" i="5"/>
  <c r="BV12" i="5"/>
  <c r="BK60" i="5"/>
  <c r="BM60" i="5"/>
  <c r="AU83" i="5"/>
  <c r="BN83" i="5" s="1"/>
  <c r="AZ52" i="5"/>
  <c r="BK51" i="5"/>
  <c r="BH83" i="5"/>
  <c r="AY27" i="5"/>
  <c r="BD11" i="5"/>
  <c r="BF19" i="5"/>
  <c r="CE19" i="5"/>
  <c r="BM52" i="5"/>
  <c r="BQ76" i="5"/>
  <c r="BS84" i="5"/>
  <c r="BS91" i="5" s="1"/>
  <c r="BS92" i="5" s="1"/>
  <c r="BO13" i="5"/>
  <c r="AY113" i="5"/>
  <c r="AV68" i="5"/>
  <c r="BO68" i="5" s="1"/>
  <c r="BB65" i="5"/>
  <c r="AZ12" i="5"/>
  <c r="CD12" i="5"/>
  <c r="BR12" i="5"/>
  <c r="BZ12" i="5"/>
  <c r="BT68" i="5"/>
  <c r="BH68" i="5"/>
  <c r="CA68" i="5"/>
  <c r="AZ36" i="5"/>
  <c r="BE3" i="5"/>
  <c r="BJ3" i="5"/>
  <c r="CA3" i="5"/>
  <c r="CC3" i="5"/>
  <c r="AZ11" i="5"/>
  <c r="BM4" i="5"/>
  <c r="BU36" i="5"/>
  <c r="BW36" i="5"/>
  <c r="BV36" i="5"/>
  <c r="CC36" i="5"/>
  <c r="BI84" i="5"/>
  <c r="BI91" i="5" s="1"/>
  <c r="BI92" i="5" s="1"/>
  <c r="AV12" i="5"/>
  <c r="BC12" i="5" s="1"/>
  <c r="BD37" i="5"/>
  <c r="BX37" i="5"/>
  <c r="CF36" i="5"/>
  <c r="CK36" i="5"/>
  <c r="BF68" i="5"/>
  <c r="BI3" i="5"/>
  <c r="CC11" i="5"/>
  <c r="CA36" i="5"/>
  <c r="AU36" i="5"/>
  <c r="BN36" i="5" s="1"/>
  <c r="BF12" i="5"/>
  <c r="BD12" i="5"/>
  <c r="BS12" i="5"/>
  <c r="CI12" i="5"/>
  <c r="BA68" i="5"/>
  <c r="BP68" i="5" s="1"/>
  <c r="BW68" i="5"/>
  <c r="CF68" i="5"/>
  <c r="AY3" i="5"/>
  <c r="BK3" i="5"/>
  <c r="BY3" i="5"/>
  <c r="BF36" i="5"/>
  <c r="CG36" i="5"/>
  <c r="AU68" i="5"/>
  <c r="BN68" i="5" s="1"/>
  <c r="AY36" i="5"/>
  <c r="BG12" i="5"/>
  <c r="BU12" i="5"/>
  <c r="BW12" i="5"/>
  <c r="CC12" i="5"/>
  <c r="BI68" i="5"/>
  <c r="BZ68" i="5"/>
  <c r="AY11" i="5"/>
  <c r="AZ68" i="5"/>
  <c r="BC3" i="5"/>
  <c r="BS3" i="5"/>
  <c r="CD3" i="5"/>
  <c r="BO36" i="5"/>
  <c r="BH36" i="5"/>
  <c r="BE84" i="5"/>
  <c r="BE91" i="5" s="1"/>
  <c r="BE92" i="5" s="1"/>
  <c r="CK84" i="5"/>
  <c r="CK91" i="5" s="1"/>
  <c r="CK92" i="5" s="1"/>
  <c r="M12" i="14" s="1"/>
  <c r="M40" i="14" s="1"/>
  <c r="BL37" i="5"/>
  <c r="CH37" i="5"/>
  <c r="BL12" i="5"/>
  <c r="CG12" i="5"/>
  <c r="CJ12" i="5"/>
  <c r="CK12" i="5"/>
  <c r="BY68" i="5"/>
  <c r="BR68" i="5"/>
  <c r="CE68" i="5"/>
  <c r="BW3" i="5"/>
  <c r="BL3" i="5"/>
  <c r="CH3" i="5"/>
  <c r="CE3" i="5"/>
  <c r="BY11" i="5"/>
  <c r="CD36" i="5"/>
  <c r="BX36" i="5"/>
  <c r="CJ36" i="5"/>
  <c r="BJ84" i="5"/>
  <c r="BJ91" i="5" s="1"/>
  <c r="BJ92" i="5" s="1"/>
  <c r="BT37" i="5"/>
  <c r="BV53" i="5"/>
  <c r="AU12" i="5"/>
  <c r="BB12" i="5" s="1"/>
  <c r="BA12" i="5"/>
  <c r="BP12" i="5" s="1"/>
  <c r="BE12" i="5"/>
  <c r="BT12" i="5"/>
  <c r="CH12" i="5"/>
  <c r="BK68" i="5"/>
  <c r="CD68" i="5"/>
  <c r="BV68" i="5"/>
  <c r="CI68" i="5"/>
  <c r="CJ3" i="5"/>
  <c r="BG36" i="5"/>
  <c r="BJ36" i="5"/>
  <c r="BL36" i="5"/>
  <c r="CH36" i="5"/>
  <c r="BX3" i="5"/>
  <c r="BZ3" i="5"/>
  <c r="BQ12" i="5"/>
  <c r="BK12" i="5"/>
  <c r="BI12" i="5"/>
  <c r="BY12" i="5"/>
  <c r="BL68" i="5"/>
  <c r="BD68" i="5"/>
  <c r="CH68" i="5"/>
  <c r="CC68" i="5"/>
  <c r="BR3" i="5"/>
  <c r="CK3" i="5"/>
  <c r="BA3" i="5"/>
  <c r="BP3" i="5" s="1"/>
  <c r="CG3" i="5"/>
  <c r="BS11" i="5"/>
  <c r="BW43" i="5"/>
  <c r="BA36" i="5"/>
  <c r="BP36" i="5" s="1"/>
  <c r="BT36" i="5"/>
  <c r="BQ36" i="5"/>
  <c r="CE36" i="5"/>
  <c r="BH84" i="5"/>
  <c r="BH91" i="5" s="1"/>
  <c r="BH92" i="5" s="1"/>
  <c r="AV84" i="5"/>
  <c r="BO84" i="5" s="1"/>
  <c r="BO91" i="5" s="1"/>
  <c r="BO92" i="5" s="1"/>
  <c r="BV37" i="5"/>
  <c r="BJ12" i="5"/>
  <c r="CA12" i="5"/>
  <c r="CE12" i="5"/>
  <c r="CF12" i="5"/>
  <c r="BG68" i="5"/>
  <c r="BU68" i="5"/>
  <c r="BX68" i="5"/>
  <c r="CK68" i="5"/>
  <c r="BD3" i="5"/>
  <c r="BQ3" i="5"/>
  <c r="BT3" i="5"/>
  <c r="BV3" i="5"/>
  <c r="BE36" i="5"/>
  <c r="BD36" i="5"/>
  <c r="BS36" i="5"/>
  <c r="CI36" i="5"/>
  <c r="AY51" i="5"/>
  <c r="AU51" i="5"/>
  <c r="BN51" i="5" s="1"/>
  <c r="BU51" i="5"/>
  <c r="BY35" i="5"/>
  <c r="BS59" i="5"/>
  <c r="BD75" i="5"/>
  <c r="BZ75" i="5"/>
  <c r="BF20" i="5"/>
  <c r="BE13" i="5"/>
  <c r="BZ13" i="5"/>
  <c r="CC29" i="5"/>
  <c r="CF51" i="5"/>
  <c r="BL13" i="5"/>
  <c r="BH29" i="5"/>
  <c r="CA44" i="5"/>
  <c r="BI19" i="5"/>
  <c r="BT19" i="5"/>
  <c r="CG19" i="5"/>
  <c r="BV27" i="5"/>
  <c r="BG52" i="5"/>
  <c r="BH52" i="5"/>
  <c r="CC52" i="5"/>
  <c r="BH53" i="5"/>
  <c r="CF44" i="5"/>
  <c r="BU28" i="5"/>
  <c r="BK19" i="5"/>
  <c r="BL19" i="5"/>
  <c r="CH19" i="5"/>
  <c r="CJ27" i="5"/>
  <c r="BF52" i="5"/>
  <c r="BU52" i="5"/>
  <c r="CK52" i="5"/>
  <c r="BR53" i="5"/>
  <c r="AV19" i="5"/>
  <c r="BC19" i="5" s="1"/>
  <c r="BX28" i="5"/>
  <c r="BC51" i="5"/>
  <c r="BJ19" i="5"/>
  <c r="BA19" i="5"/>
  <c r="BP19" i="5" s="1"/>
  <c r="CB19" i="5" s="1"/>
  <c r="BY19" i="5"/>
  <c r="BJ27" i="5"/>
  <c r="CF35" i="5"/>
  <c r="BT52" i="5"/>
  <c r="BV52" i="5"/>
  <c r="BY28" i="5"/>
  <c r="AU67" i="5"/>
  <c r="BN67" i="5" s="1"/>
  <c r="BR51" i="5"/>
  <c r="BV51" i="5"/>
  <c r="BR83" i="5"/>
  <c r="CD83" i="5"/>
  <c r="BS19" i="5"/>
  <c r="BM19" i="5"/>
  <c r="BV19" i="5"/>
  <c r="BA27" i="5"/>
  <c r="BP27" i="5" s="1"/>
  <c r="BM43" i="5"/>
  <c r="BK20" i="5"/>
  <c r="BC52" i="5"/>
  <c r="CF52" i="5"/>
  <c r="BG76" i="5"/>
  <c r="BQ13" i="5"/>
  <c r="BA28" i="5"/>
  <c r="BP28" i="5" s="1"/>
  <c r="BV28" i="5"/>
  <c r="CK28" i="5"/>
  <c r="BM44" i="5"/>
  <c r="CH44" i="5"/>
  <c r="BH11" i="5"/>
  <c r="BG11" i="5"/>
  <c r="CF11" i="5"/>
  <c r="BE43" i="5"/>
  <c r="BG4" i="5"/>
  <c r="BT84" i="5"/>
  <c r="BT91" i="5" s="1"/>
  <c r="BT92" i="5" s="1"/>
  <c r="BR84" i="5"/>
  <c r="BR91" i="5" s="1"/>
  <c r="BR92" i="5" s="1"/>
  <c r="BI37" i="5"/>
  <c r="AY37" i="5"/>
  <c r="CG37" i="5"/>
  <c r="BS53" i="5"/>
  <c r="AU84" i="5"/>
  <c r="BB84" i="5" s="1"/>
  <c r="BB91" i="5" s="1"/>
  <c r="BB92" i="5" s="1"/>
  <c r="BI28" i="5"/>
  <c r="BA44" i="5"/>
  <c r="BP44" i="5" s="1"/>
  <c r="CC44" i="5"/>
  <c r="BQ28" i="5"/>
  <c r="CD28" i="5"/>
  <c r="BF44" i="5"/>
  <c r="CG44" i="5"/>
  <c r="CJ44" i="5"/>
  <c r="BT43" i="5"/>
  <c r="BR37" i="5"/>
  <c r="CH28" i="5"/>
  <c r="CE28" i="5"/>
  <c r="BV44" i="5"/>
  <c r="BI44" i="5"/>
  <c r="CA83" i="5"/>
  <c r="BG35" i="5"/>
  <c r="CA4" i="5"/>
  <c r="BG84" i="5"/>
  <c r="BG91" i="5" s="1"/>
  <c r="BG92" i="5" s="1"/>
  <c r="BD84" i="5"/>
  <c r="BD91" i="5" s="1"/>
  <c r="BD92" i="5" s="1"/>
  <c r="CI84" i="5"/>
  <c r="CI91" i="5" s="1"/>
  <c r="CI92" i="5" s="1"/>
  <c r="BF28" i="5"/>
  <c r="CA28" i="5"/>
  <c r="CC28" i="5"/>
  <c r="BD44" i="5"/>
  <c r="BZ44" i="5"/>
  <c r="BL28" i="5"/>
  <c r="BH44" i="5"/>
  <c r="CD53" i="5"/>
  <c r="AU11" i="5"/>
  <c r="BN11" i="5" s="1"/>
  <c r="BI51" i="5"/>
  <c r="CD51" i="5"/>
  <c r="BF11" i="5"/>
  <c r="BJ11" i="5"/>
  <c r="CE11" i="5"/>
  <c r="BS4" i="5"/>
  <c r="CA84" i="5"/>
  <c r="CA91" i="5" s="1"/>
  <c r="CA92" i="5" s="1"/>
  <c r="J28" i="10" s="1"/>
  <c r="CE84" i="5"/>
  <c r="CE91" i="5" s="1"/>
  <c r="CE92" i="5" s="1"/>
  <c r="CA37" i="5"/>
  <c r="CI37" i="5"/>
  <c r="BJ51" i="5"/>
  <c r="BT51" i="5"/>
  <c r="BE83" i="5"/>
  <c r="CE83" i="5"/>
  <c r="BT11" i="5"/>
  <c r="BK11" i="5"/>
  <c r="CE43" i="5"/>
  <c r="CA13" i="5"/>
  <c r="CH13" i="5"/>
  <c r="BG37" i="5"/>
  <c r="CE37" i="5"/>
  <c r="CK37" i="5"/>
  <c r="BD28" i="5"/>
  <c r="CJ28" i="5"/>
  <c r="BQ44" i="5"/>
  <c r="BR44" i="5"/>
  <c r="BM51" i="5"/>
  <c r="CK51" i="5"/>
  <c r="BD83" i="5"/>
  <c r="CB83" i="5" s="1"/>
  <c r="BW83" i="5"/>
  <c r="AZ53" i="5"/>
  <c r="BM11" i="5"/>
  <c r="BW11" i="5"/>
  <c r="BI35" i="5"/>
  <c r="CK4" i="5"/>
  <c r="BA84" i="5"/>
  <c r="BP84" i="5" s="1"/>
  <c r="BY84" i="5"/>
  <c r="BY91" i="5" s="1"/>
  <c r="BY92" i="5" s="1"/>
  <c r="CC84" i="5"/>
  <c r="CC91" i="5" s="1"/>
  <c r="CC92" i="5" s="1"/>
  <c r="BD13" i="5"/>
  <c r="BY13" i="5"/>
  <c r="BF21" i="5"/>
  <c r="BK37" i="5"/>
  <c r="BM37" i="5"/>
  <c r="CF37" i="5"/>
  <c r="BA113" i="5"/>
  <c r="BA13" i="5"/>
  <c r="BP13" i="5" s="1"/>
  <c r="BT13" i="5"/>
  <c r="AY13" i="5"/>
  <c r="BR13" i="5"/>
  <c r="CK13" i="5"/>
  <c r="BI13" i="5"/>
  <c r="H27" i="10"/>
  <c r="AV113" i="5"/>
  <c r="AT113" i="5"/>
  <c r="BF51" i="5"/>
  <c r="BH51" i="5"/>
  <c r="CI51" i="5"/>
  <c r="CA67" i="5"/>
  <c r="AS100" i="5"/>
  <c r="AS101" i="5" s="1"/>
  <c r="BW51" i="5"/>
  <c r="BS51" i="5"/>
  <c r="BY51" i="5"/>
  <c r="BC83" i="5"/>
  <c r="BI83" i="5"/>
  <c r="BU83" i="5"/>
  <c r="CI83" i="5"/>
  <c r="BU11" i="5"/>
  <c r="BR11" i="5"/>
  <c r="BV11" i="5"/>
  <c r="BE19" i="5"/>
  <c r="AZ19" i="5"/>
  <c r="BQ19" i="5"/>
  <c r="CF19" i="5"/>
  <c r="BQ27" i="5"/>
  <c r="CC43" i="5"/>
  <c r="BA4" i="5"/>
  <c r="BP4" i="5" s="1"/>
  <c r="BE52" i="5"/>
  <c r="BD52" i="5"/>
  <c r="CB52" i="5" s="1"/>
  <c r="BR52" i="5"/>
  <c r="BM84" i="5"/>
  <c r="BM91" i="5" s="1"/>
  <c r="BM92" i="5" s="1"/>
  <c r="G28" i="10" s="1"/>
  <c r="BQ84" i="5"/>
  <c r="BQ91" i="5" s="1"/>
  <c r="BQ92" i="5" s="1"/>
  <c r="CD84" i="5"/>
  <c r="CD91" i="5" s="1"/>
  <c r="CD92" i="5" s="1"/>
  <c r="AZ13" i="5"/>
  <c r="BW13" i="5"/>
  <c r="CC13" i="5"/>
  <c r="BU13" i="5"/>
  <c r="CJ13" i="5"/>
  <c r="BA37" i="5"/>
  <c r="BP37" i="5" s="1"/>
  <c r="CB37" i="5" s="1"/>
  <c r="BQ37" i="5"/>
  <c r="BZ37" i="5"/>
  <c r="AC39" i="14"/>
  <c r="BT67" i="5"/>
  <c r="BJ13" i="5"/>
  <c r="BS13" i="5"/>
  <c r="BM13" i="5"/>
  <c r="CF13" i="5"/>
  <c r="AU13" i="5"/>
  <c r="BB13" i="5" s="1"/>
  <c r="BE68" i="5"/>
  <c r="BM68" i="5"/>
  <c r="BQ68" i="5"/>
  <c r="CG68" i="5"/>
  <c r="AY52" i="5"/>
  <c r="BD51" i="5"/>
  <c r="BA51" i="5"/>
  <c r="BP51" i="5" s="1"/>
  <c r="CC51" i="5"/>
  <c r="BG83" i="5"/>
  <c r="AZ83" i="5"/>
  <c r="BQ83" i="5"/>
  <c r="CK83" i="5"/>
  <c r="BF3" i="5"/>
  <c r="BU3" i="5"/>
  <c r="BG3" i="5"/>
  <c r="BM3" i="5"/>
  <c r="CF3" i="5"/>
  <c r="BE11" i="5"/>
  <c r="CI11" i="5"/>
  <c r="CA11" i="5"/>
  <c r="BW19" i="5"/>
  <c r="BH19" i="5"/>
  <c r="CI19" i="5"/>
  <c r="CJ19" i="5"/>
  <c r="BT27" i="5"/>
  <c r="CG43" i="5"/>
  <c r="BW4" i="5"/>
  <c r="BO20" i="5"/>
  <c r="BM36" i="5"/>
  <c r="BK36" i="5"/>
  <c r="BR36" i="5"/>
  <c r="BZ36" i="5"/>
  <c r="BK52" i="5"/>
  <c r="BQ52" i="5"/>
  <c r="CD52" i="5"/>
  <c r="BW84" i="5"/>
  <c r="BW91" i="5" s="1"/>
  <c r="BW92" i="5" s="1"/>
  <c r="BF84" i="5"/>
  <c r="BF91" i="5" s="1"/>
  <c r="BF92" i="5" s="1"/>
  <c r="CF84" i="5"/>
  <c r="CF91" i="5" s="1"/>
  <c r="CF92" i="5" s="1"/>
  <c r="BG13" i="5"/>
  <c r="BF13" i="5"/>
  <c r="CE13" i="5"/>
  <c r="CG13" i="5"/>
  <c r="BJ37" i="5"/>
  <c r="BY37" i="5"/>
  <c r="CC37" i="5"/>
  <c r="AU113" i="5"/>
  <c r="AX113" i="5"/>
  <c r="AS102" i="5"/>
  <c r="AS103" i="5" s="1"/>
  <c r="AU103" i="5"/>
  <c r="BT5" i="5"/>
  <c r="CC53" i="5"/>
  <c r="AT103" i="5"/>
  <c r="CG5" i="5"/>
  <c r="AT111" i="5"/>
  <c r="AV111" i="5"/>
  <c r="CF61" i="5"/>
  <c r="BK27" i="5"/>
  <c r="AU52" i="5"/>
  <c r="BN52" i="5" s="1"/>
  <c r="AZ84" i="5"/>
  <c r="AZ91" i="5" s="1"/>
  <c r="AZ92" i="5" s="1"/>
  <c r="AT91" i="5"/>
  <c r="AT92" i="5" s="1"/>
  <c r="AS91" i="5"/>
  <c r="AS92" i="5" s="1"/>
  <c r="J11" i="14"/>
  <c r="AB11" i="14"/>
  <c r="AB45" i="14" s="1"/>
  <c r="AA11" i="14"/>
  <c r="AA45" i="14" s="1"/>
  <c r="J39" i="14"/>
  <c r="F75" i="14"/>
  <c r="F80" i="14" s="1"/>
  <c r="CC67" i="5"/>
  <c r="BG27" i="5"/>
  <c r="BO27" i="5"/>
  <c r="BV67" i="5"/>
  <c r="BU67" i="5"/>
  <c r="BI27" i="5"/>
  <c r="CC27" i="5"/>
  <c r="BG43" i="5"/>
  <c r="CI4" i="5"/>
  <c r="BM67" i="5"/>
  <c r="BF27" i="5"/>
  <c r="CI27" i="5"/>
  <c r="CF27" i="5"/>
  <c r="AY67" i="5"/>
  <c r="BH27" i="5"/>
  <c r="CA27" i="5"/>
  <c r="CD27" i="5"/>
  <c r="BJ53" i="5"/>
  <c r="BG67" i="5"/>
  <c r="BQ67" i="5"/>
  <c r="BY67" i="5"/>
  <c r="BD27" i="5"/>
  <c r="AZ27" i="5"/>
  <c r="BU27" i="5"/>
  <c r="CE27" i="5"/>
  <c r="BS27" i="5"/>
  <c r="BY27" i="5"/>
  <c r="BW27" i="5"/>
  <c r="CG27" i="5"/>
  <c r="BR67" i="5"/>
  <c r="BA60" i="5"/>
  <c r="BP60" i="5" s="1"/>
  <c r="CA60" i="5"/>
  <c r="BS60" i="5"/>
  <c r="BF76" i="5"/>
  <c r="CA76" i="5"/>
  <c r="BY76" i="5"/>
  <c r="BE60" i="5"/>
  <c r="BD60" i="5"/>
  <c r="CD60" i="5"/>
  <c r="BM76" i="5"/>
  <c r="BH76" i="5"/>
  <c r="CD76" i="5"/>
  <c r="BS45" i="5"/>
  <c r="AY76" i="5"/>
  <c r="AY60" i="5"/>
  <c r="CE60" i="5"/>
  <c r="BG60" i="5"/>
  <c r="CF60" i="5"/>
  <c r="BV76" i="5"/>
  <c r="BT76" i="5"/>
  <c r="CF76" i="5"/>
  <c r="AU76" i="5"/>
  <c r="BB76" i="5" s="1"/>
  <c r="BV60" i="5"/>
  <c r="BW60" i="5"/>
  <c r="BH60" i="5"/>
  <c r="CC60" i="5"/>
  <c r="BA76" i="5"/>
  <c r="BP76" i="5" s="1"/>
  <c r="BK76" i="5"/>
  <c r="BR76" i="5"/>
  <c r="CC76" i="5"/>
  <c r="AU60" i="5"/>
  <c r="BN60" i="5" s="1"/>
  <c r="BE76" i="5"/>
  <c r="BO76" i="5"/>
  <c r="BS76" i="5"/>
  <c r="CK76" i="5"/>
  <c r="AZ60" i="5"/>
  <c r="AZ76" i="5"/>
  <c r="BU76" i="5"/>
  <c r="BW76" i="5"/>
  <c r="BF67" i="5"/>
  <c r="CI67" i="5"/>
  <c r="BC27" i="5"/>
  <c r="BM27" i="5"/>
  <c r="BX27" i="5"/>
  <c r="BZ27" i="5"/>
  <c r="CH27" i="5"/>
  <c r="BI67" i="5"/>
  <c r="CD67" i="5"/>
  <c r="BE67" i="5"/>
  <c r="AZ67" i="5"/>
  <c r="CE67" i="5"/>
  <c r="BM35" i="5"/>
  <c r="BO35" i="5"/>
  <c r="BF35" i="5"/>
  <c r="CD35" i="5"/>
  <c r="CE35" i="5"/>
  <c r="BZ5" i="5"/>
  <c r="BC5" i="5"/>
  <c r="BX5" i="5"/>
  <c r="BI21" i="5"/>
  <c r="CC21" i="5"/>
  <c r="AU5" i="5"/>
  <c r="BN5" i="5" s="1"/>
  <c r="BV5" i="5"/>
  <c r="BL21" i="5"/>
  <c r="AY35" i="5"/>
  <c r="BR35" i="5"/>
  <c r="BE35" i="5"/>
  <c r="BJ35" i="5"/>
  <c r="CK35" i="5"/>
  <c r="CA35" i="5"/>
  <c r="BU5" i="5"/>
  <c r="CH21" i="5"/>
  <c r="BE28" i="5"/>
  <c r="BH28" i="5"/>
  <c r="CI28" i="5"/>
  <c r="BJ44" i="5"/>
  <c r="AU35" i="5"/>
  <c r="BN35" i="5" s="1"/>
  <c r="BW67" i="5"/>
  <c r="BA67" i="5"/>
  <c r="BP67" i="5" s="1"/>
  <c r="BU35" i="5"/>
  <c r="BC35" i="5"/>
  <c r="BQ35" i="5"/>
  <c r="BV35" i="5"/>
  <c r="BQ5" i="5"/>
  <c r="BY5" i="5"/>
  <c r="BE21" i="5"/>
  <c r="CK21" i="5"/>
  <c r="BA53" i="5"/>
  <c r="BP53" i="5" s="1"/>
  <c r="CF53" i="5"/>
  <c r="BF5" i="5"/>
  <c r="CI5" i="5"/>
  <c r="BT21" i="5"/>
  <c r="BK35" i="5"/>
  <c r="BS35" i="5"/>
  <c r="AZ21" i="5"/>
  <c r="BT35" i="5"/>
  <c r="BK21" i="5"/>
  <c r="CC35" i="5"/>
  <c r="AZ35" i="5"/>
  <c r="BW35" i="5"/>
  <c r="AZ5" i="5"/>
  <c r="CC5" i="5"/>
  <c r="BY21" i="5"/>
  <c r="BH35" i="5"/>
  <c r="AU21" i="5"/>
  <c r="BN21" i="5" s="1"/>
  <c r="BD35" i="5"/>
  <c r="BA35" i="5"/>
  <c r="BP35" i="5" s="1"/>
  <c r="CI35" i="5"/>
  <c r="BD5" i="5"/>
  <c r="BL5" i="5"/>
  <c r="CE21" i="5"/>
  <c r="BE5" i="5"/>
  <c r="BS5" i="5"/>
  <c r="CJ5" i="5"/>
  <c r="BG21" i="5"/>
  <c r="CJ21" i="5"/>
  <c r="BQ21" i="5"/>
  <c r="BJ61" i="5"/>
  <c r="G11" i="13"/>
  <c r="E16" i="10"/>
  <c r="I11" i="13"/>
  <c r="I39" i="13" s="1"/>
  <c r="AB39" i="13" s="1"/>
  <c r="G16" i="10"/>
  <c r="F75" i="13"/>
  <c r="F80" i="13" s="1"/>
  <c r="BA21" i="5"/>
  <c r="BP21" i="5" s="1"/>
  <c r="BS21" i="5"/>
  <c r="BD61" i="5"/>
  <c r="BQ20" i="5"/>
  <c r="BI5" i="5"/>
  <c r="CE5" i="5"/>
  <c r="CF5" i="5"/>
  <c r="BO21" i="5"/>
  <c r="BX21" i="5"/>
  <c r="BR61" i="5"/>
  <c r="BW61" i="5"/>
  <c r="BO67" i="5"/>
  <c r="BK67" i="5"/>
  <c r="BJ67" i="5"/>
  <c r="CK67" i="5"/>
  <c r="BK5" i="5"/>
  <c r="BR5" i="5"/>
  <c r="CD5" i="5"/>
  <c r="BW21" i="5"/>
  <c r="BR21" i="5"/>
  <c r="CD21" i="5"/>
  <c r="AY61" i="5"/>
  <c r="BJ5" i="5"/>
  <c r="BH5" i="5"/>
  <c r="BW5" i="5"/>
  <c r="BV21" i="5"/>
  <c r="BM21" i="5"/>
  <c r="CF21" i="5"/>
  <c r="BG45" i="5"/>
  <c r="BK61" i="5"/>
  <c r="BA5" i="5"/>
  <c r="BP5" i="5" s="1"/>
  <c r="AY5" i="5"/>
  <c r="BM5" i="5"/>
  <c r="CK5" i="5"/>
  <c r="BD21" i="5"/>
  <c r="BJ21" i="5"/>
  <c r="CA21" i="5"/>
  <c r="CC45" i="5"/>
  <c r="CE61" i="5"/>
  <c r="BB68" i="5"/>
  <c r="BG5" i="5"/>
  <c r="BO5" i="5"/>
  <c r="CA5" i="5"/>
  <c r="CH5" i="5"/>
  <c r="BH21" i="5"/>
  <c r="BZ21" i="5"/>
  <c r="CG21" i="5"/>
  <c r="BM61" i="5"/>
  <c r="BC21" i="5"/>
  <c r="AY21" i="5"/>
  <c r="BU21" i="5"/>
  <c r="CI21" i="5"/>
  <c r="BE61" i="5"/>
  <c r="BU61" i="5"/>
  <c r="BT20" i="5"/>
  <c r="BD20" i="5"/>
  <c r="CA20" i="5"/>
  <c r="CC20" i="5"/>
  <c r="BI29" i="5"/>
  <c r="BX29" i="5"/>
  <c r="BU29" i="5"/>
  <c r="CK29" i="5"/>
  <c r="AV75" i="5"/>
  <c r="BC75" i="5" s="1"/>
  <c r="AU20" i="5"/>
  <c r="BN20" i="5" s="1"/>
  <c r="AZ20" i="5"/>
  <c r="AU59" i="5"/>
  <c r="BN59" i="5" s="1"/>
  <c r="BJ59" i="5"/>
  <c r="BR59" i="5"/>
  <c r="CC59" i="5"/>
  <c r="BG75" i="5"/>
  <c r="AZ75" i="5"/>
  <c r="CI75" i="5"/>
  <c r="CH75" i="5"/>
  <c r="CF20" i="5"/>
  <c r="BH20" i="5"/>
  <c r="BS20" i="5"/>
  <c r="CK20" i="5"/>
  <c r="BC29" i="5"/>
  <c r="BD29" i="5"/>
  <c r="AY29" i="5"/>
  <c r="BV29" i="5"/>
  <c r="CF29" i="5"/>
  <c r="AV59" i="5"/>
  <c r="BO59" i="5" s="1"/>
  <c r="BU20" i="5"/>
  <c r="CH20" i="5"/>
  <c r="BO29" i="5"/>
  <c r="BK29" i="5"/>
  <c r="BQ29" i="5"/>
  <c r="CA29" i="5"/>
  <c r="CJ29" i="5"/>
  <c r="BG20" i="5"/>
  <c r="BD59" i="5"/>
  <c r="CB59" i="5" s="1"/>
  <c r="BM59" i="5"/>
  <c r="CD59" i="5"/>
  <c r="CF59" i="5"/>
  <c r="BV75" i="5"/>
  <c r="CJ75" i="5"/>
  <c r="BL75" i="5"/>
  <c r="CF75" i="5"/>
  <c r="BJ20" i="5"/>
  <c r="BI20" i="5"/>
  <c r="CJ20" i="5"/>
  <c r="BE29" i="5"/>
  <c r="BW29" i="5"/>
  <c r="BY29" i="5"/>
  <c r="CE29" i="5"/>
  <c r="BF59" i="5"/>
  <c r="AZ59" i="5"/>
  <c r="CK59" i="5"/>
  <c r="CE59" i="5"/>
  <c r="BI75" i="5"/>
  <c r="BA75" i="5"/>
  <c r="BP75" i="5" s="1"/>
  <c r="CD75" i="5"/>
  <c r="CE75" i="5"/>
  <c r="BV20" i="5"/>
  <c r="BL20" i="5"/>
  <c r="BY20" i="5"/>
  <c r="AZ29" i="5"/>
  <c r="BG29" i="5"/>
  <c r="BJ29" i="5"/>
  <c r="BT29" i="5"/>
  <c r="CG29" i="5"/>
  <c r="CA61" i="5"/>
  <c r="AU75" i="5"/>
  <c r="BB75" i="5" s="1"/>
  <c r="BK59" i="5"/>
  <c r="BT59" i="5"/>
  <c r="CA59" i="5"/>
  <c r="BH75" i="5"/>
  <c r="BT75" i="5"/>
  <c r="BS75" i="5"/>
  <c r="CA75" i="5"/>
  <c r="BA20" i="5"/>
  <c r="BP20" i="5" s="1"/>
  <c r="BC20" i="5"/>
  <c r="BX20" i="5"/>
  <c r="CI20" i="5"/>
  <c r="BR29" i="5"/>
  <c r="BL29" i="5"/>
  <c r="BM29" i="5"/>
  <c r="CH29" i="5"/>
  <c r="BF61" i="5"/>
  <c r="BV61" i="5"/>
  <c r="CD61" i="5"/>
  <c r="BH61" i="5"/>
  <c r="BS61" i="5"/>
  <c r="CI61" i="5"/>
  <c r="BG61" i="5"/>
  <c r="BY61" i="5"/>
  <c r="CK61" i="5"/>
  <c r="BT45" i="5"/>
  <c r="BS43" i="5"/>
  <c r="BA43" i="5"/>
  <c r="BP43" i="5" s="1"/>
  <c r="CI43" i="5"/>
  <c r="BF4" i="5"/>
  <c r="BQ4" i="5"/>
  <c r="BZ4" i="5"/>
  <c r="AV43" i="5"/>
  <c r="BO43" i="5" s="1"/>
  <c r="BH43" i="5"/>
  <c r="BJ43" i="5"/>
  <c r="BV43" i="5"/>
  <c r="BC4" i="5"/>
  <c r="CD4" i="5"/>
  <c r="CE4" i="5"/>
  <c r="BD43" i="5"/>
  <c r="BY43" i="5"/>
  <c r="CH43" i="5"/>
  <c r="BT4" i="5"/>
  <c r="BY4" i="5"/>
  <c r="AU43" i="5"/>
  <c r="BN43" i="5" s="1"/>
  <c r="BU43" i="5"/>
  <c r="CA43" i="5"/>
  <c r="AZ4" i="5"/>
  <c r="BJ4" i="5"/>
  <c r="CG4" i="5"/>
  <c r="AY4" i="5"/>
  <c r="BR43" i="5"/>
  <c r="BR4" i="5"/>
  <c r="BI43" i="5"/>
  <c r="AZ43" i="5"/>
  <c r="CJ43" i="5"/>
  <c r="CD43" i="5"/>
  <c r="BE4" i="5"/>
  <c r="BU4" i="5"/>
  <c r="BX4" i="5"/>
  <c r="CH4" i="5"/>
  <c r="BO11" i="5"/>
  <c r="BF43" i="5"/>
  <c r="BQ43" i="5"/>
  <c r="BZ43" i="5"/>
  <c r="CF43" i="5"/>
  <c r="BO4" i="5"/>
  <c r="BD4" i="5"/>
  <c r="BV4" i="5"/>
  <c r="CJ4" i="5"/>
  <c r="BH4" i="5"/>
  <c r="BH45" i="5"/>
  <c r="BR45" i="5"/>
  <c r="BD45" i="5"/>
  <c r="BM45" i="5"/>
  <c r="BK45" i="5"/>
  <c r="BU45" i="5"/>
  <c r="BF45" i="5"/>
  <c r="BY45" i="5"/>
  <c r="AY45" i="5"/>
  <c r="CI45" i="5"/>
  <c r="BA45" i="5"/>
  <c r="BP45" i="5" s="1"/>
  <c r="BI45" i="5"/>
  <c r="CE45" i="5"/>
  <c r="BQ45" i="5"/>
  <c r="BV45" i="5"/>
  <c r="CF45" i="5"/>
  <c r="AU28" i="5"/>
  <c r="BB28" i="5" s="1"/>
  <c r="AU4" i="5"/>
  <c r="BB4" i="5" s="1"/>
  <c r="BD67" i="5"/>
  <c r="BH67" i="5"/>
  <c r="BS67" i="5"/>
  <c r="CF67" i="5"/>
  <c r="BL43" i="5"/>
  <c r="BX43" i="5"/>
  <c r="BK43" i="5"/>
  <c r="CK43" i="5"/>
  <c r="BK4" i="5"/>
  <c r="BL4" i="5"/>
  <c r="BI4" i="5"/>
  <c r="CF4" i="5"/>
  <c r="CC4" i="5"/>
  <c r="BM20" i="5"/>
  <c r="CD20" i="5"/>
  <c r="BR20" i="5"/>
  <c r="CE20" i="5"/>
  <c r="AZ37" i="5"/>
  <c r="BE37" i="5"/>
  <c r="BH37" i="5"/>
  <c r="BW37" i="5"/>
  <c r="CJ37" i="5"/>
  <c r="BJ45" i="5"/>
  <c r="CA45" i="5"/>
  <c r="CK45" i="5"/>
  <c r="CE53" i="5"/>
  <c r="AU45" i="5"/>
  <c r="BN45" i="5" s="1"/>
  <c r="AY44" i="5"/>
  <c r="AT89" i="5"/>
  <c r="AT90" i="5" s="1"/>
  <c r="AS89" i="5"/>
  <c r="AS90" i="5" s="1"/>
  <c r="BJ28" i="5"/>
  <c r="BG28" i="5"/>
  <c r="BM28" i="5"/>
  <c r="BS28" i="5"/>
  <c r="BK44" i="5"/>
  <c r="BS44" i="5"/>
  <c r="CI44" i="5"/>
  <c r="AV44" i="5"/>
  <c r="BE53" i="5"/>
  <c r="BY53" i="5"/>
  <c r="BK53" i="5"/>
  <c r="CI53" i="5"/>
  <c r="BB19" i="5"/>
  <c r="AV28" i="5"/>
  <c r="BO28" i="5" s="1"/>
  <c r="BD53" i="5"/>
  <c r="BQ53" i="5"/>
  <c r="BW53" i="5"/>
  <c r="CK53" i="5"/>
  <c r="BP65" i="5"/>
  <c r="BW28" i="5"/>
  <c r="CG28" i="5"/>
  <c r="BK28" i="5"/>
  <c r="CF28" i="5"/>
  <c r="BE44" i="5"/>
  <c r="BX44" i="5"/>
  <c r="BT44" i="5"/>
  <c r="CD44" i="5"/>
  <c r="CK44" i="5"/>
  <c r="BP41" i="5"/>
  <c r="BT53" i="5"/>
  <c r="BF53" i="5"/>
  <c r="BM53" i="5"/>
  <c r="BC9" i="5"/>
  <c r="AX87" i="5"/>
  <c r="AX88" i="5" s="1"/>
  <c r="AY28" i="5"/>
  <c r="BR28" i="5"/>
  <c r="BZ28" i="5"/>
  <c r="AZ44" i="5"/>
  <c r="BL44" i="5"/>
  <c r="BY44" i="5"/>
  <c r="CE44" i="5"/>
  <c r="BC53" i="5"/>
  <c r="BG53" i="5"/>
  <c r="BU53" i="5"/>
  <c r="BA61" i="5"/>
  <c r="BP61" i="5" s="1"/>
  <c r="BO61" i="5"/>
  <c r="BT61" i="5"/>
  <c r="BI53" i="5"/>
  <c r="AY53" i="5"/>
  <c r="CA53" i="5"/>
  <c r="AU44" i="5"/>
  <c r="AX89" i="5"/>
  <c r="AX90" i="5" s="1"/>
  <c r="BE45" i="5"/>
  <c r="BW45" i="5"/>
  <c r="BC61" i="5"/>
  <c r="BI61" i="5"/>
  <c r="BQ61" i="5"/>
  <c r="CC61" i="5"/>
  <c r="BN9" i="5"/>
  <c r="BC41" i="5"/>
  <c r="BB3" i="5"/>
  <c r="BP9" i="5"/>
  <c r="CB9" i="5" s="1"/>
  <c r="BC25" i="5"/>
  <c r="BB36" i="5"/>
  <c r="G11" i="12"/>
  <c r="E5" i="10"/>
  <c r="BO65" i="5"/>
  <c r="I11" i="12"/>
  <c r="I39" i="12" s="1"/>
  <c r="AB39" i="12" s="1"/>
  <c r="G5" i="10"/>
  <c r="BB27" i="5"/>
  <c r="BB55" i="5"/>
  <c r="BZ55" i="5" s="1"/>
  <c r="AZ45" i="5"/>
  <c r="AV45" i="5"/>
  <c r="BC45" i="5" s="1"/>
  <c r="F75" i="12"/>
  <c r="F80" i="12" s="1"/>
  <c r="CE82" i="5"/>
  <c r="CI82" i="5"/>
  <c r="CK82" i="5"/>
  <c r="CC82" i="5"/>
  <c r="CD82" i="5"/>
  <c r="CA82" i="5"/>
  <c r="CF82" i="5"/>
  <c r="BY82" i="5"/>
  <c r="BU82" i="5"/>
  <c r="BM82" i="5"/>
  <c r="BT82" i="5"/>
  <c r="BK82" i="5"/>
  <c r="BV82" i="5"/>
  <c r="BJ82" i="5"/>
  <c r="BF82" i="5"/>
  <c r="BW82" i="5"/>
  <c r="BE82" i="5"/>
  <c r="BS82" i="5"/>
  <c r="BG82" i="5"/>
  <c r="BI82" i="5"/>
  <c r="BD82" i="5"/>
  <c r="BQ82" i="5"/>
  <c r="BR82" i="5"/>
  <c r="BA82" i="5"/>
  <c r="BP82" i="5" s="1"/>
  <c r="BH82" i="5"/>
  <c r="AY82" i="5"/>
  <c r="AV82" i="5"/>
  <c r="BC82" i="5" s="1"/>
  <c r="AU82" i="5"/>
  <c r="BB82" i="5" s="1"/>
  <c r="AZ82" i="5"/>
  <c r="CE58" i="5"/>
  <c r="CI58" i="5"/>
  <c r="CK58" i="5"/>
  <c r="CC58" i="5"/>
  <c r="CA58" i="5"/>
  <c r="CD58" i="5"/>
  <c r="BY58" i="5"/>
  <c r="BU58" i="5"/>
  <c r="BM58" i="5"/>
  <c r="BT58" i="5"/>
  <c r="BQ58" i="5"/>
  <c r="BK58" i="5"/>
  <c r="BJ58" i="5"/>
  <c r="BH58" i="5"/>
  <c r="BF58" i="5"/>
  <c r="CF58" i="5"/>
  <c r="BE58" i="5"/>
  <c r="BS58" i="5"/>
  <c r="BW58" i="5"/>
  <c r="BG58" i="5"/>
  <c r="BA58" i="5"/>
  <c r="BP58" i="5" s="1"/>
  <c r="BI58" i="5"/>
  <c r="BV58" i="5"/>
  <c r="BD58" i="5"/>
  <c r="BR58" i="5"/>
  <c r="AZ58" i="5"/>
  <c r="AV58" i="5"/>
  <c r="BC58" i="5" s="1"/>
  <c r="AU58" i="5"/>
  <c r="BB58" i="5" s="1"/>
  <c r="AY58" i="5"/>
  <c r="CE66" i="5"/>
  <c r="CI66" i="5"/>
  <c r="CK66" i="5"/>
  <c r="CC66" i="5"/>
  <c r="CA66" i="5"/>
  <c r="BW66" i="5"/>
  <c r="BU66" i="5"/>
  <c r="BM66" i="5"/>
  <c r="BT66" i="5"/>
  <c r="CD66" i="5"/>
  <c r="BR66" i="5"/>
  <c r="BK66" i="5"/>
  <c r="CF66" i="5"/>
  <c r="BJ66" i="5"/>
  <c r="BV66" i="5"/>
  <c r="BQ66" i="5"/>
  <c r="BI66" i="5"/>
  <c r="BF66" i="5"/>
  <c r="BY66" i="5"/>
  <c r="BS66" i="5"/>
  <c r="BE66" i="5"/>
  <c r="BG66" i="5"/>
  <c r="BH66" i="5"/>
  <c r="BD66" i="5"/>
  <c r="BA66" i="5"/>
  <c r="BP66" i="5" s="1"/>
  <c r="AV66" i="5"/>
  <c r="BC66" i="5" s="1"/>
  <c r="AY66" i="5"/>
  <c r="AZ66" i="5"/>
  <c r="AU66" i="5"/>
  <c r="BB66" i="5" s="1"/>
  <c r="CD7" i="5"/>
  <c r="CK7" i="5"/>
  <c r="CI7" i="5"/>
  <c r="CF7" i="5"/>
  <c r="CA7" i="5"/>
  <c r="CE7" i="5"/>
  <c r="BT7" i="5"/>
  <c r="CC7" i="5"/>
  <c r="BS7" i="5"/>
  <c r="BW7" i="5"/>
  <c r="BK7" i="5"/>
  <c r="BJ7" i="5"/>
  <c r="BM7" i="5"/>
  <c r="BI7" i="5"/>
  <c r="BV7" i="5"/>
  <c r="BQ7" i="5"/>
  <c r="BR7" i="5"/>
  <c r="BG7" i="5"/>
  <c r="BE7" i="5"/>
  <c r="BD7" i="5"/>
  <c r="BU7" i="5"/>
  <c r="BH7" i="5"/>
  <c r="BF7" i="5"/>
  <c r="AZ7" i="5"/>
  <c r="BA7" i="5"/>
  <c r="BP7" i="5" s="1"/>
  <c r="BY7" i="5"/>
  <c r="AY7" i="5"/>
  <c r="AV7" i="5"/>
  <c r="BO7" i="5" s="1"/>
  <c r="AU7" i="5"/>
  <c r="BN7" i="5" s="1"/>
  <c r="CI17" i="5"/>
  <c r="CJ17" i="5"/>
  <c r="CF17" i="5"/>
  <c r="CD17" i="5"/>
  <c r="BY17" i="5"/>
  <c r="CC17" i="5"/>
  <c r="BZ17" i="5"/>
  <c r="BW17" i="5"/>
  <c r="CK17" i="5"/>
  <c r="BR17" i="5"/>
  <c r="CH17" i="5"/>
  <c r="BQ17" i="5"/>
  <c r="BK17" i="5"/>
  <c r="CA17" i="5"/>
  <c r="BH17" i="5"/>
  <c r="BM17" i="5"/>
  <c r="BG17" i="5"/>
  <c r="CG17" i="5"/>
  <c r="BS17" i="5"/>
  <c r="CE17" i="5"/>
  <c r="BV17" i="5"/>
  <c r="BI17" i="5"/>
  <c r="BX17" i="5"/>
  <c r="BT17" i="5"/>
  <c r="BJ17" i="5"/>
  <c r="BE17" i="5"/>
  <c r="BU17" i="5"/>
  <c r="BL17" i="5"/>
  <c r="AZ17" i="5"/>
  <c r="BA17" i="5"/>
  <c r="BP17" i="5" s="1"/>
  <c r="BF17" i="5"/>
  <c r="BD17" i="5"/>
  <c r="AU17" i="5"/>
  <c r="BN17" i="5" s="1"/>
  <c r="AY17" i="5"/>
  <c r="AV17" i="5"/>
  <c r="BO17" i="5" s="1"/>
  <c r="CE10" i="5"/>
  <c r="CI10" i="5"/>
  <c r="CH10" i="5"/>
  <c r="CG10" i="5"/>
  <c r="CK10" i="5"/>
  <c r="CJ10" i="5"/>
  <c r="CC10" i="5"/>
  <c r="CA10" i="5"/>
  <c r="CD10" i="5"/>
  <c r="BU10" i="5"/>
  <c r="BM10" i="5"/>
  <c r="BL10" i="5"/>
  <c r="BT10" i="5"/>
  <c r="BZ10" i="5"/>
  <c r="BS10" i="5"/>
  <c r="BY10" i="5"/>
  <c r="BJ10" i="5"/>
  <c r="CF10" i="5"/>
  <c r="BV10" i="5"/>
  <c r="BQ10" i="5"/>
  <c r="BF10" i="5"/>
  <c r="BE10" i="5"/>
  <c r="BR10" i="5"/>
  <c r="BG10" i="5"/>
  <c r="BX10" i="5"/>
  <c r="BW10" i="5"/>
  <c r="BK10" i="5"/>
  <c r="BI10" i="5"/>
  <c r="BD10" i="5"/>
  <c r="BH10" i="5"/>
  <c r="AZ10" i="5"/>
  <c r="BA10" i="5"/>
  <c r="BP10" i="5" s="1"/>
  <c r="AV10" i="5"/>
  <c r="BO10" i="5" s="1"/>
  <c r="AY10" i="5"/>
  <c r="AU10" i="5"/>
  <c r="BN10" i="5" s="1"/>
  <c r="CE74" i="5"/>
  <c r="CI74" i="5"/>
  <c r="CH74" i="5"/>
  <c r="CK74" i="5"/>
  <c r="CJ74" i="5"/>
  <c r="CC74" i="5"/>
  <c r="CA74" i="5"/>
  <c r="CG74" i="5"/>
  <c r="BZ74" i="5"/>
  <c r="BU74" i="5"/>
  <c r="BM74" i="5"/>
  <c r="BT74" i="5"/>
  <c r="BS74" i="5"/>
  <c r="BK74" i="5"/>
  <c r="BX74" i="5"/>
  <c r="BJ74" i="5"/>
  <c r="CF74" i="5"/>
  <c r="CD74" i="5"/>
  <c r="BW74" i="5"/>
  <c r="BF74" i="5"/>
  <c r="BV74" i="5"/>
  <c r="BL74" i="5"/>
  <c r="BE74" i="5"/>
  <c r="BR74" i="5"/>
  <c r="BI74" i="5"/>
  <c r="BQ74" i="5"/>
  <c r="BG74" i="5"/>
  <c r="BD74" i="5"/>
  <c r="BH74" i="5"/>
  <c r="BA74" i="5"/>
  <c r="BP74" i="5" s="1"/>
  <c r="BY74" i="5"/>
  <c r="AZ74" i="5"/>
  <c r="AV74" i="5"/>
  <c r="BC74" i="5" s="1"/>
  <c r="AU74" i="5"/>
  <c r="BB74" i="5" s="1"/>
  <c r="AY74" i="5"/>
  <c r="CF62" i="5"/>
  <c r="CE62" i="5"/>
  <c r="CK62" i="5"/>
  <c r="CI62" i="5"/>
  <c r="BW62" i="5"/>
  <c r="BV62" i="5"/>
  <c r="BQ62" i="5"/>
  <c r="CA62" i="5"/>
  <c r="BY62" i="5"/>
  <c r="BG62" i="5"/>
  <c r="BR62" i="5"/>
  <c r="BM62" i="5"/>
  <c r="BK62" i="5"/>
  <c r="CD62" i="5"/>
  <c r="CC62" i="5"/>
  <c r="BU62" i="5"/>
  <c r="BH62" i="5"/>
  <c r="BA62" i="5"/>
  <c r="BP62" i="5" s="1"/>
  <c r="BT62" i="5"/>
  <c r="BI62" i="5"/>
  <c r="BF62" i="5"/>
  <c r="BS62" i="5"/>
  <c r="BD62" i="5"/>
  <c r="BE62" i="5"/>
  <c r="BJ62" i="5"/>
  <c r="AZ62" i="5"/>
  <c r="AV62" i="5"/>
  <c r="BO62" i="5" s="1"/>
  <c r="AY62" i="5"/>
  <c r="AU62" i="5"/>
  <c r="BB62" i="5" s="1"/>
  <c r="CJ79" i="5"/>
  <c r="CD79" i="5"/>
  <c r="CK79" i="5"/>
  <c r="CG79" i="5"/>
  <c r="CI79" i="5"/>
  <c r="CA79" i="5"/>
  <c r="BZ79" i="5"/>
  <c r="CC79" i="5"/>
  <c r="BT79" i="5"/>
  <c r="BS79" i="5"/>
  <c r="BL79" i="5"/>
  <c r="BQ79" i="5"/>
  <c r="BJ79" i="5"/>
  <c r="BI79" i="5"/>
  <c r="BY79" i="5"/>
  <c r="CE79" i="5"/>
  <c r="BH79" i="5"/>
  <c r="BE79" i="5"/>
  <c r="BX79" i="5"/>
  <c r="BD79" i="5"/>
  <c r="BV79" i="5"/>
  <c r="BM79" i="5"/>
  <c r="BK79" i="5"/>
  <c r="CH79" i="5"/>
  <c r="BR79" i="5"/>
  <c r="BF79" i="5"/>
  <c r="BA79" i="5"/>
  <c r="BP79" i="5" s="1"/>
  <c r="BG79" i="5"/>
  <c r="CF79" i="5"/>
  <c r="BW79" i="5"/>
  <c r="BU79" i="5"/>
  <c r="AZ79" i="5"/>
  <c r="AY79" i="5"/>
  <c r="AV79" i="5"/>
  <c r="BO79" i="5" s="1"/>
  <c r="AU79" i="5"/>
  <c r="BB79" i="5" s="1"/>
  <c r="CD40" i="5"/>
  <c r="CK40" i="5"/>
  <c r="CE40" i="5"/>
  <c r="CF40" i="5"/>
  <c r="BV40" i="5"/>
  <c r="BY40" i="5"/>
  <c r="BT40" i="5"/>
  <c r="BW40" i="5"/>
  <c r="BQ40" i="5"/>
  <c r="CC40" i="5"/>
  <c r="BU40" i="5"/>
  <c r="AZ40" i="5"/>
  <c r="CA40" i="5"/>
  <c r="BR40" i="5"/>
  <c r="BH40" i="5"/>
  <c r="AY40" i="5"/>
  <c r="BM40" i="5"/>
  <c r="CI40" i="5"/>
  <c r="BK40" i="5"/>
  <c r="BI40" i="5"/>
  <c r="BG40" i="5"/>
  <c r="BD40" i="5"/>
  <c r="BE40" i="5"/>
  <c r="BA40" i="5"/>
  <c r="BP40" i="5" s="1"/>
  <c r="BF40" i="5"/>
  <c r="BS40" i="5"/>
  <c r="BJ40" i="5"/>
  <c r="AU40" i="5"/>
  <c r="BN40" i="5" s="1"/>
  <c r="AV40" i="5"/>
  <c r="BC40" i="5" s="1"/>
  <c r="BP55" i="5"/>
  <c r="BL73" i="5"/>
  <c r="BD65" i="5"/>
  <c r="CI33" i="5"/>
  <c r="CF33" i="5"/>
  <c r="CK33" i="5"/>
  <c r="CD33" i="5"/>
  <c r="BY33" i="5"/>
  <c r="BW33" i="5"/>
  <c r="BR33" i="5"/>
  <c r="BQ33" i="5"/>
  <c r="BK33" i="5"/>
  <c r="CC33" i="5"/>
  <c r="BH33" i="5"/>
  <c r="BT33" i="5"/>
  <c r="BG33" i="5"/>
  <c r="BS33" i="5"/>
  <c r="CA33" i="5"/>
  <c r="CE33" i="5"/>
  <c r="BU33" i="5"/>
  <c r="BE33" i="5"/>
  <c r="BV33" i="5"/>
  <c r="BI33" i="5"/>
  <c r="BF33" i="5"/>
  <c r="BJ33" i="5"/>
  <c r="BD33" i="5"/>
  <c r="BM33" i="5"/>
  <c r="AZ33" i="5"/>
  <c r="BA33" i="5"/>
  <c r="BP33" i="5" s="1"/>
  <c r="AU33" i="5"/>
  <c r="BN33" i="5" s="1"/>
  <c r="AY33" i="5"/>
  <c r="AV33" i="5"/>
  <c r="BO33" i="5" s="1"/>
  <c r="CF6" i="5"/>
  <c r="CE6" i="5"/>
  <c r="CC6" i="5"/>
  <c r="CD6" i="5"/>
  <c r="CI6" i="5"/>
  <c r="BW6" i="5"/>
  <c r="BV6" i="5"/>
  <c r="BY6" i="5"/>
  <c r="BQ6" i="5"/>
  <c r="BK6" i="5"/>
  <c r="CA6" i="5"/>
  <c r="CK6" i="5"/>
  <c r="BU6" i="5"/>
  <c r="BG6" i="5"/>
  <c r="BR6" i="5"/>
  <c r="BT6" i="5"/>
  <c r="BI6" i="5"/>
  <c r="BA6" i="5"/>
  <c r="BP6" i="5" s="1"/>
  <c r="BH6" i="5"/>
  <c r="BM6" i="5"/>
  <c r="BE6" i="5"/>
  <c r="BF6" i="5"/>
  <c r="AZ6" i="5"/>
  <c r="BJ6" i="5"/>
  <c r="BS6" i="5"/>
  <c r="BD6" i="5"/>
  <c r="AY6" i="5"/>
  <c r="AV6" i="5"/>
  <c r="BO6" i="5" s="1"/>
  <c r="AU6" i="5"/>
  <c r="BB6" i="5" s="1"/>
  <c r="CH70" i="5"/>
  <c r="CG70" i="5"/>
  <c r="CF70" i="5"/>
  <c r="CE70" i="5"/>
  <c r="CC70" i="5"/>
  <c r="CK70" i="5"/>
  <c r="BW70" i="5"/>
  <c r="BZ70" i="5"/>
  <c r="BV70" i="5"/>
  <c r="BY70" i="5"/>
  <c r="BQ70" i="5"/>
  <c r="BL70" i="5"/>
  <c r="CD70" i="5"/>
  <c r="BX70" i="5"/>
  <c r="CJ70" i="5"/>
  <c r="BU70" i="5"/>
  <c r="CI70" i="5"/>
  <c r="BR70" i="5"/>
  <c r="BT70" i="5"/>
  <c r="BI70" i="5"/>
  <c r="BA70" i="5"/>
  <c r="BP70" i="5" s="1"/>
  <c r="BK70" i="5"/>
  <c r="BS70" i="5"/>
  <c r="BM70" i="5"/>
  <c r="CA70" i="5"/>
  <c r="BE70" i="5"/>
  <c r="BH70" i="5"/>
  <c r="BF70" i="5"/>
  <c r="BJ70" i="5"/>
  <c r="BG70" i="5"/>
  <c r="BD70" i="5"/>
  <c r="AY70" i="5"/>
  <c r="AV70" i="5"/>
  <c r="BO70" i="5" s="1"/>
  <c r="AZ70" i="5"/>
  <c r="AU70" i="5"/>
  <c r="BN70" i="5" s="1"/>
  <c r="CK48" i="5"/>
  <c r="CE48" i="5"/>
  <c r="CC48" i="5"/>
  <c r="CF48" i="5"/>
  <c r="BY48" i="5"/>
  <c r="CI48" i="5"/>
  <c r="BW48" i="5"/>
  <c r="BU48" i="5"/>
  <c r="BR48" i="5"/>
  <c r="CD48" i="5"/>
  <c r="BV48" i="5"/>
  <c r="BS48" i="5"/>
  <c r="AZ48" i="5"/>
  <c r="AY48" i="5"/>
  <c r="CA48" i="5"/>
  <c r="BK48" i="5"/>
  <c r="BM48" i="5"/>
  <c r="BI48" i="5"/>
  <c r="BT48" i="5"/>
  <c r="BQ48" i="5"/>
  <c r="BF48" i="5"/>
  <c r="BE48" i="5"/>
  <c r="BH48" i="5"/>
  <c r="BA48" i="5"/>
  <c r="BP48" i="5" s="1"/>
  <c r="BG48" i="5"/>
  <c r="BD48" i="5"/>
  <c r="BJ48" i="5"/>
  <c r="AU48" i="5"/>
  <c r="BB48" i="5" s="1"/>
  <c r="AV48" i="5"/>
  <c r="BO48" i="5" s="1"/>
  <c r="BC57" i="5"/>
  <c r="BP25" i="5"/>
  <c r="CB25" i="5" s="1"/>
  <c r="CD71" i="5"/>
  <c r="CK71" i="5"/>
  <c r="CI71" i="5"/>
  <c r="CF71" i="5"/>
  <c r="CA71" i="5"/>
  <c r="CE71" i="5"/>
  <c r="BT71" i="5"/>
  <c r="BS71" i="5"/>
  <c r="BY71" i="5"/>
  <c r="BJ71" i="5"/>
  <c r="BV71" i="5"/>
  <c r="BM71" i="5"/>
  <c r="BI71" i="5"/>
  <c r="CC71" i="5"/>
  <c r="BU71" i="5"/>
  <c r="BE71" i="5"/>
  <c r="BQ71" i="5"/>
  <c r="BD71" i="5"/>
  <c r="BH71" i="5"/>
  <c r="BG71" i="5"/>
  <c r="BK71" i="5"/>
  <c r="BW71" i="5"/>
  <c r="BR71" i="5"/>
  <c r="BA71" i="5"/>
  <c r="BP71" i="5" s="1"/>
  <c r="BF71" i="5"/>
  <c r="AY71" i="5"/>
  <c r="AV71" i="5"/>
  <c r="BO71" i="5" s="1"/>
  <c r="AZ71" i="5"/>
  <c r="AU71" i="5"/>
  <c r="BB71" i="5" s="1"/>
  <c r="CI49" i="5"/>
  <c r="CF49" i="5"/>
  <c r="BY49" i="5"/>
  <c r="CE49" i="5"/>
  <c r="CD49" i="5"/>
  <c r="BW49" i="5"/>
  <c r="BR49" i="5"/>
  <c r="CA49" i="5"/>
  <c r="BQ49" i="5"/>
  <c r="BK49" i="5"/>
  <c r="BH49" i="5"/>
  <c r="BM49" i="5"/>
  <c r="BG49" i="5"/>
  <c r="CC49" i="5"/>
  <c r="CK49" i="5"/>
  <c r="BT49" i="5"/>
  <c r="BI49" i="5"/>
  <c r="BS49" i="5"/>
  <c r="BV49" i="5"/>
  <c r="BJ49" i="5"/>
  <c r="BF49" i="5"/>
  <c r="BE49" i="5"/>
  <c r="BU49" i="5"/>
  <c r="BA49" i="5"/>
  <c r="BP49" i="5" s="1"/>
  <c r="BD49" i="5"/>
  <c r="AY49" i="5"/>
  <c r="AZ49" i="5"/>
  <c r="AU49" i="5"/>
  <c r="BB49" i="5" s="1"/>
  <c r="AV49" i="5"/>
  <c r="BO49" i="5" s="1"/>
  <c r="CH26" i="5"/>
  <c r="CG26" i="5"/>
  <c r="CE26" i="5"/>
  <c r="CI26" i="5"/>
  <c r="CK26" i="5"/>
  <c r="CC26" i="5"/>
  <c r="BX26" i="5"/>
  <c r="CJ26" i="5"/>
  <c r="CA26" i="5"/>
  <c r="BY26" i="5"/>
  <c r="CF26" i="5"/>
  <c r="BU26" i="5"/>
  <c r="BM26" i="5"/>
  <c r="BT26" i="5"/>
  <c r="BQ26" i="5"/>
  <c r="BW26" i="5"/>
  <c r="BJ26" i="5"/>
  <c r="CD26" i="5"/>
  <c r="BV26" i="5"/>
  <c r="BH26" i="5"/>
  <c r="BF26" i="5"/>
  <c r="BZ26" i="5"/>
  <c r="BR26" i="5"/>
  <c r="BE26" i="5"/>
  <c r="BI26" i="5"/>
  <c r="BL26" i="5"/>
  <c r="BS26" i="5"/>
  <c r="BA26" i="5"/>
  <c r="BP26" i="5" s="1"/>
  <c r="BG26" i="5"/>
  <c r="BK26" i="5"/>
  <c r="BD26" i="5"/>
  <c r="AZ26" i="5"/>
  <c r="AV26" i="5"/>
  <c r="BO26" i="5" s="1"/>
  <c r="AY26" i="5"/>
  <c r="AU26" i="5"/>
  <c r="BN26" i="5" s="1"/>
  <c r="BB37" i="5"/>
  <c r="CJ14" i="5"/>
  <c r="CF14" i="5"/>
  <c r="CH14" i="5"/>
  <c r="CG14" i="5"/>
  <c r="CE14" i="5"/>
  <c r="CK14" i="5"/>
  <c r="BW14" i="5"/>
  <c r="CI14" i="5"/>
  <c r="CA14" i="5"/>
  <c r="BV14" i="5"/>
  <c r="BQ14" i="5"/>
  <c r="BK14" i="5"/>
  <c r="BL14" i="5"/>
  <c r="BM14" i="5"/>
  <c r="BG14" i="5"/>
  <c r="CD14" i="5"/>
  <c r="BX14" i="5"/>
  <c r="BS14" i="5"/>
  <c r="BY14" i="5"/>
  <c r="BT14" i="5"/>
  <c r="BU14" i="5"/>
  <c r="CC14" i="5"/>
  <c r="BJ14" i="5"/>
  <c r="BA14" i="5"/>
  <c r="BP14" i="5" s="1"/>
  <c r="BH14" i="5"/>
  <c r="BZ14" i="5"/>
  <c r="BE14" i="5"/>
  <c r="AY14" i="5"/>
  <c r="BI14" i="5"/>
  <c r="BF14" i="5"/>
  <c r="BD14" i="5"/>
  <c r="AZ14" i="5"/>
  <c r="BR14" i="5"/>
  <c r="AV14" i="5"/>
  <c r="BC14" i="5" s="1"/>
  <c r="AU14" i="5"/>
  <c r="BN14" i="5" s="1"/>
  <c r="CF78" i="5"/>
  <c r="CE78" i="5"/>
  <c r="CD78" i="5"/>
  <c r="BW78" i="5"/>
  <c r="CA78" i="5"/>
  <c r="BQ78" i="5"/>
  <c r="CC78" i="5"/>
  <c r="BV78" i="5"/>
  <c r="BM78" i="5"/>
  <c r="BY78" i="5"/>
  <c r="BS78" i="5"/>
  <c r="CK78" i="5"/>
  <c r="BR78" i="5"/>
  <c r="CI78" i="5"/>
  <c r="BT78" i="5"/>
  <c r="BJ78" i="5"/>
  <c r="BA78" i="5"/>
  <c r="BP78" i="5" s="1"/>
  <c r="BU78" i="5"/>
  <c r="BH78" i="5"/>
  <c r="BK78" i="5"/>
  <c r="BF78" i="5"/>
  <c r="BG78" i="5"/>
  <c r="AY78" i="5"/>
  <c r="BD78" i="5"/>
  <c r="BI78" i="5"/>
  <c r="BE78" i="5"/>
  <c r="AZ78" i="5"/>
  <c r="AV78" i="5"/>
  <c r="BO78" i="5" s="1"/>
  <c r="AU78" i="5"/>
  <c r="BN78" i="5" s="1"/>
  <c r="CK56" i="5"/>
  <c r="CE56" i="5"/>
  <c r="CC56" i="5"/>
  <c r="CI56" i="5"/>
  <c r="CF56" i="5"/>
  <c r="BM56" i="5"/>
  <c r="BV56" i="5"/>
  <c r="BY56" i="5"/>
  <c r="CA56" i="5"/>
  <c r="BW56" i="5"/>
  <c r="BU56" i="5"/>
  <c r="BI56" i="5"/>
  <c r="AZ56" i="5"/>
  <c r="CD56" i="5"/>
  <c r="BQ56" i="5"/>
  <c r="AY56" i="5"/>
  <c r="BH56" i="5"/>
  <c r="BK56" i="5"/>
  <c r="BR56" i="5"/>
  <c r="BS56" i="5"/>
  <c r="BT56" i="5"/>
  <c r="BJ56" i="5"/>
  <c r="BD56" i="5"/>
  <c r="BF56" i="5"/>
  <c r="BE56" i="5"/>
  <c r="BG56" i="5"/>
  <c r="BA56" i="5"/>
  <c r="BP56" i="5" s="1"/>
  <c r="AV56" i="5"/>
  <c r="BO56" i="5" s="1"/>
  <c r="AU56" i="5"/>
  <c r="BN56" i="5" s="1"/>
  <c r="BB23" i="5"/>
  <c r="BL55" i="5"/>
  <c r="BB41" i="5"/>
  <c r="BB73" i="5"/>
  <c r="BZ73" i="5" s="1"/>
  <c r="CD39" i="5"/>
  <c r="CK39" i="5"/>
  <c r="CJ39" i="5"/>
  <c r="CI39" i="5"/>
  <c r="CF39" i="5"/>
  <c r="CA39" i="5"/>
  <c r="BZ39" i="5"/>
  <c r="BY39" i="5"/>
  <c r="BX39" i="5"/>
  <c r="CC39" i="5"/>
  <c r="BT39" i="5"/>
  <c r="BS39" i="5"/>
  <c r="BK39" i="5"/>
  <c r="BJ39" i="5"/>
  <c r="BM39" i="5"/>
  <c r="BI39" i="5"/>
  <c r="CH39" i="5"/>
  <c r="BG39" i="5"/>
  <c r="BE39" i="5"/>
  <c r="CG39" i="5"/>
  <c r="CE39" i="5"/>
  <c r="BD39" i="5"/>
  <c r="BQ39" i="5"/>
  <c r="BV39" i="5"/>
  <c r="BU39" i="5"/>
  <c r="BW39" i="5"/>
  <c r="BA39" i="5"/>
  <c r="BP39" i="5" s="1"/>
  <c r="BF39" i="5"/>
  <c r="BR39" i="5"/>
  <c r="BL39" i="5"/>
  <c r="BH39" i="5"/>
  <c r="AY39" i="5"/>
  <c r="AV39" i="5"/>
  <c r="BO39" i="5" s="1"/>
  <c r="AZ39" i="5"/>
  <c r="AU39" i="5"/>
  <c r="BN39" i="5" s="1"/>
  <c r="CE34" i="5"/>
  <c r="CI34" i="5"/>
  <c r="CK34" i="5"/>
  <c r="CC34" i="5"/>
  <c r="CA34" i="5"/>
  <c r="BY34" i="5"/>
  <c r="BW34" i="5"/>
  <c r="BU34" i="5"/>
  <c r="BM34" i="5"/>
  <c r="BT34" i="5"/>
  <c r="CD34" i="5"/>
  <c r="BR34" i="5"/>
  <c r="BJ34" i="5"/>
  <c r="CF34" i="5"/>
  <c r="BI34" i="5"/>
  <c r="BF34" i="5"/>
  <c r="BV34" i="5"/>
  <c r="BE34" i="5"/>
  <c r="BS34" i="5"/>
  <c r="BQ34" i="5"/>
  <c r="BH34" i="5"/>
  <c r="BD34" i="5"/>
  <c r="BK34" i="5"/>
  <c r="BG34" i="5"/>
  <c r="BA34" i="5"/>
  <c r="BP34" i="5" s="1"/>
  <c r="AY34" i="5"/>
  <c r="AV34" i="5"/>
  <c r="BC34" i="5" s="1"/>
  <c r="AZ34" i="5"/>
  <c r="AU34" i="5"/>
  <c r="BB34" i="5" s="1"/>
  <c r="BN13" i="5"/>
  <c r="BB29" i="5"/>
  <c r="BB53" i="5"/>
  <c r="BZ53" i="5" s="1"/>
  <c r="CJ22" i="5"/>
  <c r="CF22" i="5"/>
  <c r="CH22" i="5"/>
  <c r="CG22" i="5"/>
  <c r="CE22" i="5"/>
  <c r="CD22" i="5"/>
  <c r="BW22" i="5"/>
  <c r="BV22" i="5"/>
  <c r="BQ22" i="5"/>
  <c r="BK22" i="5"/>
  <c r="CI22" i="5"/>
  <c r="BZ22" i="5"/>
  <c r="BL22" i="5"/>
  <c r="CK22" i="5"/>
  <c r="BY22" i="5"/>
  <c r="BG22" i="5"/>
  <c r="BT22" i="5"/>
  <c r="BX22" i="5"/>
  <c r="CC22" i="5"/>
  <c r="BA22" i="5"/>
  <c r="BP22" i="5" s="1"/>
  <c r="BU22" i="5"/>
  <c r="BR22" i="5"/>
  <c r="BE22" i="5"/>
  <c r="BS22" i="5"/>
  <c r="BH22" i="5"/>
  <c r="CA22" i="5"/>
  <c r="BJ22" i="5"/>
  <c r="BI22" i="5"/>
  <c r="BF22" i="5"/>
  <c r="BM22" i="5"/>
  <c r="BD22" i="5"/>
  <c r="AZ22" i="5"/>
  <c r="AY22" i="5"/>
  <c r="AV22" i="5"/>
  <c r="BO22" i="5" s="1"/>
  <c r="AU22" i="5"/>
  <c r="BB22" i="5" s="1"/>
  <c r="CK64" i="5"/>
  <c r="CE64" i="5"/>
  <c r="CA64" i="5"/>
  <c r="CD64" i="5"/>
  <c r="CC64" i="5"/>
  <c r="BS64" i="5"/>
  <c r="CI64" i="5"/>
  <c r="BV64" i="5"/>
  <c r="BQ64" i="5"/>
  <c r="BY64" i="5"/>
  <c r="BJ64" i="5"/>
  <c r="AZ64" i="5"/>
  <c r="CF64" i="5"/>
  <c r="BT64" i="5"/>
  <c r="BG64" i="5"/>
  <c r="AY64" i="5"/>
  <c r="BK64" i="5"/>
  <c r="BH64" i="5"/>
  <c r="BU64" i="5"/>
  <c r="BR64" i="5"/>
  <c r="BF64" i="5"/>
  <c r="BM64" i="5"/>
  <c r="BD64" i="5"/>
  <c r="BW64" i="5"/>
  <c r="BI64" i="5"/>
  <c r="BE64" i="5"/>
  <c r="BA64" i="5"/>
  <c r="BP64" i="5" s="1"/>
  <c r="AU64" i="5"/>
  <c r="BN64" i="5" s="1"/>
  <c r="AV64" i="5"/>
  <c r="BC64" i="5" s="1"/>
  <c r="BO55" i="5"/>
  <c r="BP57" i="5"/>
  <c r="BN57" i="5"/>
  <c r="BZ57" i="5" s="1"/>
  <c r="BP73" i="5"/>
  <c r="BO73" i="5"/>
  <c r="CI81" i="5"/>
  <c r="CF81" i="5"/>
  <c r="BY81" i="5"/>
  <c r="CK81" i="5"/>
  <c r="BW81" i="5"/>
  <c r="BR81" i="5"/>
  <c r="CE81" i="5"/>
  <c r="BQ81" i="5"/>
  <c r="BH81" i="5"/>
  <c r="CA81" i="5"/>
  <c r="BM81" i="5"/>
  <c r="CD81" i="5"/>
  <c r="CC81" i="5"/>
  <c r="BV81" i="5"/>
  <c r="BS81" i="5"/>
  <c r="BI81" i="5"/>
  <c r="BJ81" i="5"/>
  <c r="BT81" i="5"/>
  <c r="BU81" i="5"/>
  <c r="BE81" i="5"/>
  <c r="BK81" i="5"/>
  <c r="BA81" i="5"/>
  <c r="BP81" i="5" s="1"/>
  <c r="BF81" i="5"/>
  <c r="BG81" i="5"/>
  <c r="BD81" i="5"/>
  <c r="AY81" i="5"/>
  <c r="AZ81" i="5"/>
  <c r="AU81" i="5"/>
  <c r="BB81" i="5" s="1"/>
  <c r="AV81" i="5"/>
  <c r="BC81" i="5" s="1"/>
  <c r="CE42" i="5"/>
  <c r="CI42" i="5"/>
  <c r="CH42" i="5"/>
  <c r="CG42" i="5"/>
  <c r="CK42" i="5"/>
  <c r="CJ42" i="5"/>
  <c r="CC42" i="5"/>
  <c r="CA42" i="5"/>
  <c r="CF42" i="5"/>
  <c r="BU42" i="5"/>
  <c r="BM42" i="5"/>
  <c r="BL42" i="5"/>
  <c r="BT42" i="5"/>
  <c r="BS42" i="5"/>
  <c r="BV42" i="5"/>
  <c r="BJ42" i="5"/>
  <c r="CD42" i="5"/>
  <c r="BZ42" i="5"/>
  <c r="BY42" i="5"/>
  <c r="BF42" i="5"/>
  <c r="BK42" i="5"/>
  <c r="BE42" i="5"/>
  <c r="BQ42" i="5"/>
  <c r="BW42" i="5"/>
  <c r="BR42" i="5"/>
  <c r="BG42" i="5"/>
  <c r="BX42" i="5"/>
  <c r="BD42" i="5"/>
  <c r="BI42" i="5"/>
  <c r="BA42" i="5"/>
  <c r="BP42" i="5" s="1"/>
  <c r="BH42" i="5"/>
  <c r="AV42" i="5"/>
  <c r="BC42" i="5" s="1"/>
  <c r="AU42" i="5"/>
  <c r="BB42" i="5" s="1"/>
  <c r="AY42" i="5"/>
  <c r="AZ42" i="5"/>
  <c r="BB83" i="5"/>
  <c r="BZ83" i="5" s="1"/>
  <c r="BC84" i="5"/>
  <c r="BC91" i="5" s="1"/>
  <c r="BC92" i="5" s="1"/>
  <c r="CJ30" i="5"/>
  <c r="CF30" i="5"/>
  <c r="CH30" i="5"/>
  <c r="CG30" i="5"/>
  <c r="CE30" i="5"/>
  <c r="BX30" i="5"/>
  <c r="BW30" i="5"/>
  <c r="CD30" i="5"/>
  <c r="BY30" i="5"/>
  <c r="BV30" i="5"/>
  <c r="BQ30" i="5"/>
  <c r="BK30" i="5"/>
  <c r="CK30" i="5"/>
  <c r="BL30" i="5"/>
  <c r="BG30" i="5"/>
  <c r="CI30" i="5"/>
  <c r="CC30" i="5"/>
  <c r="BS30" i="5"/>
  <c r="CA30" i="5"/>
  <c r="BT30" i="5"/>
  <c r="BZ30" i="5"/>
  <c r="BH30" i="5"/>
  <c r="BA30" i="5"/>
  <c r="BP30" i="5" s="1"/>
  <c r="BU30" i="5"/>
  <c r="BR30" i="5"/>
  <c r="BJ30" i="5"/>
  <c r="BD30" i="5"/>
  <c r="BI30" i="5"/>
  <c r="BM30" i="5"/>
  <c r="BE30" i="5"/>
  <c r="BF30" i="5"/>
  <c r="AV30" i="5"/>
  <c r="BC30" i="5" s="1"/>
  <c r="AY30" i="5"/>
  <c r="AZ30" i="5"/>
  <c r="AU30" i="5"/>
  <c r="BB30" i="5" s="1"/>
  <c r="CD15" i="5"/>
  <c r="CK15" i="5"/>
  <c r="CI15" i="5"/>
  <c r="CA15" i="5"/>
  <c r="BZ15" i="5"/>
  <c r="BY15" i="5"/>
  <c r="BX15" i="5"/>
  <c r="CF15" i="5"/>
  <c r="CE15" i="5"/>
  <c r="BV15" i="5"/>
  <c r="BT15" i="5"/>
  <c r="BS15" i="5"/>
  <c r="CG15" i="5"/>
  <c r="BQ15" i="5"/>
  <c r="BJ15" i="5"/>
  <c r="CC15" i="5"/>
  <c r="BI15" i="5"/>
  <c r="CJ15" i="5"/>
  <c r="BW15" i="5"/>
  <c r="BH15" i="5"/>
  <c r="BE15" i="5"/>
  <c r="CH15" i="5"/>
  <c r="BD15" i="5"/>
  <c r="BM15" i="5"/>
  <c r="BF15" i="5"/>
  <c r="BR15" i="5"/>
  <c r="BL15" i="5"/>
  <c r="BA15" i="5"/>
  <c r="BP15" i="5" s="1"/>
  <c r="BK15" i="5"/>
  <c r="BU15" i="5"/>
  <c r="BG15" i="5"/>
  <c r="AZ15" i="5"/>
  <c r="AV15" i="5"/>
  <c r="BC15" i="5" s="1"/>
  <c r="AY15" i="5"/>
  <c r="AU15" i="5"/>
  <c r="BB15" i="5" s="1"/>
  <c r="CD8" i="5"/>
  <c r="CK8" i="5"/>
  <c r="CE8" i="5"/>
  <c r="CC8" i="5"/>
  <c r="BY8" i="5"/>
  <c r="CI8" i="5"/>
  <c r="BV8" i="5"/>
  <c r="CF8" i="5"/>
  <c r="BT8" i="5"/>
  <c r="BQ8" i="5"/>
  <c r="CA8" i="5"/>
  <c r="BK8" i="5"/>
  <c r="AZ8" i="5"/>
  <c r="BH8" i="5"/>
  <c r="AY8" i="5"/>
  <c r="BR8" i="5"/>
  <c r="BU8" i="5"/>
  <c r="BJ8" i="5"/>
  <c r="BS8" i="5"/>
  <c r="BE8" i="5"/>
  <c r="BD8" i="5"/>
  <c r="BF8" i="5"/>
  <c r="BI8" i="5"/>
  <c r="BG8" i="5"/>
  <c r="BA8" i="5"/>
  <c r="BP8" i="5" s="1"/>
  <c r="BW8" i="5"/>
  <c r="BM8" i="5"/>
  <c r="AU8" i="5"/>
  <c r="BB8" i="5" s="1"/>
  <c r="AV8" i="5"/>
  <c r="BO8" i="5" s="1"/>
  <c r="CK72" i="5"/>
  <c r="CE72" i="5"/>
  <c r="CD72" i="5"/>
  <c r="BY72" i="5"/>
  <c r="CI72" i="5"/>
  <c r="CF72" i="5"/>
  <c r="CA72" i="5"/>
  <c r="BV72" i="5"/>
  <c r="BT72" i="5"/>
  <c r="BQ72" i="5"/>
  <c r="BW72" i="5"/>
  <c r="BK72" i="5"/>
  <c r="AZ72" i="5"/>
  <c r="BH72" i="5"/>
  <c r="BG72" i="5"/>
  <c r="AY72" i="5"/>
  <c r="CC72" i="5"/>
  <c r="BJ72" i="5"/>
  <c r="BD72" i="5"/>
  <c r="BR72" i="5"/>
  <c r="BE72" i="5"/>
  <c r="BS72" i="5"/>
  <c r="BM72" i="5"/>
  <c r="BA72" i="5"/>
  <c r="BP72" i="5" s="1"/>
  <c r="BI72" i="5"/>
  <c r="BU72" i="5"/>
  <c r="BF72" i="5"/>
  <c r="AV72" i="5"/>
  <c r="BC72" i="5" s="1"/>
  <c r="AU72" i="5"/>
  <c r="BN72" i="5" s="1"/>
  <c r="BP23" i="5"/>
  <c r="CB23" i="5" s="1"/>
  <c r="BD41" i="5"/>
  <c r="CB41" i="5" s="1"/>
  <c r="CE50" i="5"/>
  <c r="CI50" i="5"/>
  <c r="CK50" i="5"/>
  <c r="CC50" i="5"/>
  <c r="CD50" i="5"/>
  <c r="CA50" i="5"/>
  <c r="BU50" i="5"/>
  <c r="BM50" i="5"/>
  <c r="BV50" i="5"/>
  <c r="BT50" i="5"/>
  <c r="BW50" i="5"/>
  <c r="BK50" i="5"/>
  <c r="BJ50" i="5"/>
  <c r="BQ50" i="5"/>
  <c r="BR50" i="5"/>
  <c r="BG50" i="5"/>
  <c r="BF50" i="5"/>
  <c r="CF50" i="5"/>
  <c r="BY50" i="5"/>
  <c r="BE50" i="5"/>
  <c r="BH50" i="5"/>
  <c r="BD50" i="5"/>
  <c r="BA50" i="5"/>
  <c r="BP50" i="5" s="1"/>
  <c r="BS50" i="5"/>
  <c r="BI50" i="5"/>
  <c r="AY50" i="5"/>
  <c r="AV50" i="5"/>
  <c r="BC50" i="5" s="1"/>
  <c r="AZ50" i="5"/>
  <c r="AU50" i="5"/>
  <c r="BB50" i="5" s="1"/>
  <c r="CF69" i="5"/>
  <c r="CK69" i="5"/>
  <c r="CI69" i="5"/>
  <c r="CD69" i="5"/>
  <c r="BW69" i="5"/>
  <c r="BU69" i="5"/>
  <c r="BM69" i="5"/>
  <c r="CC69" i="5"/>
  <c r="BK69" i="5"/>
  <c r="CA69" i="5"/>
  <c r="CE69" i="5"/>
  <c r="BH69" i="5"/>
  <c r="BG69" i="5"/>
  <c r="AY69" i="5"/>
  <c r="BY69" i="5"/>
  <c r="BR69" i="5"/>
  <c r="BF69" i="5"/>
  <c r="BI69" i="5"/>
  <c r="BS69" i="5"/>
  <c r="BV69" i="5"/>
  <c r="BT69" i="5"/>
  <c r="BQ69" i="5"/>
  <c r="BE69" i="5"/>
  <c r="BA69" i="5"/>
  <c r="BP69" i="5" s="1"/>
  <c r="BJ69" i="5"/>
  <c r="BD69" i="5"/>
  <c r="AZ69" i="5"/>
  <c r="AU69" i="5"/>
  <c r="BN69" i="5" s="1"/>
  <c r="AV69" i="5"/>
  <c r="BO69" i="5" s="1"/>
  <c r="CF38" i="5"/>
  <c r="CE38" i="5"/>
  <c r="CI38" i="5"/>
  <c r="CC38" i="5"/>
  <c r="CD38" i="5"/>
  <c r="BW38" i="5"/>
  <c r="BV38" i="5"/>
  <c r="BQ38" i="5"/>
  <c r="BK38" i="5"/>
  <c r="BY38" i="5"/>
  <c r="BU38" i="5"/>
  <c r="BG38" i="5"/>
  <c r="CK38" i="5"/>
  <c r="BR38" i="5"/>
  <c r="CA38" i="5"/>
  <c r="BS38" i="5"/>
  <c r="BM38" i="5"/>
  <c r="BI38" i="5"/>
  <c r="BA38" i="5"/>
  <c r="BP38" i="5" s="1"/>
  <c r="BJ38" i="5"/>
  <c r="BT38" i="5"/>
  <c r="BE38" i="5"/>
  <c r="BF38" i="5"/>
  <c r="BH38" i="5"/>
  <c r="BD38" i="5"/>
  <c r="AY38" i="5"/>
  <c r="AZ38" i="5"/>
  <c r="AV38" i="5"/>
  <c r="BO38" i="5" s="1"/>
  <c r="AU38" i="5"/>
  <c r="BB38" i="5" s="1"/>
  <c r="CD31" i="5"/>
  <c r="CK31" i="5"/>
  <c r="CI31" i="5"/>
  <c r="CA31" i="5"/>
  <c r="CC31" i="5"/>
  <c r="BT31" i="5"/>
  <c r="BS31" i="5"/>
  <c r="BJ31" i="5"/>
  <c r="BU31" i="5"/>
  <c r="BI31" i="5"/>
  <c r="BY31" i="5"/>
  <c r="CF31" i="5"/>
  <c r="BM31" i="5"/>
  <c r="BV31" i="5"/>
  <c r="BE31" i="5"/>
  <c r="CE31" i="5"/>
  <c r="BD31" i="5"/>
  <c r="BQ31" i="5"/>
  <c r="BK31" i="5"/>
  <c r="BG31" i="5"/>
  <c r="BF31" i="5"/>
  <c r="BR31" i="5"/>
  <c r="BH31" i="5"/>
  <c r="BA31" i="5"/>
  <c r="BP31" i="5" s="1"/>
  <c r="BW31" i="5"/>
  <c r="AZ31" i="5"/>
  <c r="AV31" i="5"/>
  <c r="BO31" i="5" s="1"/>
  <c r="AY31" i="5"/>
  <c r="AU31" i="5"/>
  <c r="BB31" i="5" s="1"/>
  <c r="CD16" i="5"/>
  <c r="CJ16" i="5"/>
  <c r="CK16" i="5"/>
  <c r="CH16" i="5"/>
  <c r="CG16" i="5"/>
  <c r="CE16" i="5"/>
  <c r="CI16" i="5"/>
  <c r="CC16" i="5"/>
  <c r="CA16" i="5"/>
  <c r="BX16" i="5"/>
  <c r="BW16" i="5"/>
  <c r="CF16" i="5"/>
  <c r="BU16" i="5"/>
  <c r="BZ16" i="5"/>
  <c r="BR16" i="5"/>
  <c r="BM16" i="5"/>
  <c r="BY16" i="5"/>
  <c r="BT16" i="5"/>
  <c r="AZ16" i="5"/>
  <c r="BL16" i="5"/>
  <c r="AY16" i="5"/>
  <c r="BG16" i="5"/>
  <c r="BQ16" i="5"/>
  <c r="BJ16" i="5"/>
  <c r="BV16" i="5"/>
  <c r="BS16" i="5"/>
  <c r="BA16" i="5"/>
  <c r="BP16" i="5" s="1"/>
  <c r="BK16" i="5"/>
  <c r="BH16" i="5"/>
  <c r="BE16" i="5"/>
  <c r="BI16" i="5"/>
  <c r="BF16" i="5"/>
  <c r="BD16" i="5"/>
  <c r="AV16" i="5"/>
  <c r="BO16" i="5" s="1"/>
  <c r="AU16" i="5"/>
  <c r="BN16" i="5" s="1"/>
  <c r="CJ80" i="5"/>
  <c r="CK80" i="5"/>
  <c r="CH80" i="5"/>
  <c r="CE80" i="5"/>
  <c r="CI80" i="5"/>
  <c r="CC80" i="5"/>
  <c r="BX80" i="5"/>
  <c r="CF80" i="5"/>
  <c r="BZ80" i="5"/>
  <c r="BW80" i="5"/>
  <c r="BV80" i="5"/>
  <c r="BU80" i="5"/>
  <c r="BR80" i="5"/>
  <c r="CA80" i="5"/>
  <c r="BY80" i="5"/>
  <c r="BQ80" i="5"/>
  <c r="AZ80" i="5"/>
  <c r="CG80" i="5"/>
  <c r="BM80" i="5"/>
  <c r="BG80" i="5"/>
  <c r="AY80" i="5"/>
  <c r="BL80" i="5"/>
  <c r="BS80" i="5"/>
  <c r="BJ80" i="5"/>
  <c r="BI80" i="5"/>
  <c r="BE80" i="5"/>
  <c r="BK80" i="5"/>
  <c r="BA80" i="5"/>
  <c r="BP80" i="5" s="1"/>
  <c r="BF80" i="5"/>
  <c r="CD80" i="5"/>
  <c r="BT80" i="5"/>
  <c r="BH80" i="5"/>
  <c r="BD80" i="5"/>
  <c r="AU80" i="5"/>
  <c r="BN80" i="5" s="1"/>
  <c r="AV80" i="5"/>
  <c r="BO80" i="5" s="1"/>
  <c r="BO23" i="5"/>
  <c r="BB25" i="5"/>
  <c r="CB13" i="5"/>
  <c r="BN61" i="5"/>
  <c r="BZ61" i="5" s="1"/>
  <c r="CF77" i="5"/>
  <c r="CK77" i="5"/>
  <c r="CI77" i="5"/>
  <c r="CD77" i="5"/>
  <c r="CC77" i="5"/>
  <c r="BV77" i="5"/>
  <c r="CA77" i="5"/>
  <c r="BU77" i="5"/>
  <c r="BM77" i="5"/>
  <c r="CE77" i="5"/>
  <c r="BW77" i="5"/>
  <c r="BR77" i="5"/>
  <c r="BK77" i="5"/>
  <c r="BQ77" i="5"/>
  <c r="BI77" i="5"/>
  <c r="BG77" i="5"/>
  <c r="AY77" i="5"/>
  <c r="BF77" i="5"/>
  <c r="BY77" i="5"/>
  <c r="BJ77" i="5"/>
  <c r="BS77" i="5"/>
  <c r="BD77" i="5"/>
  <c r="BT77" i="5"/>
  <c r="BH77" i="5"/>
  <c r="BE77" i="5"/>
  <c r="BA77" i="5"/>
  <c r="BP77" i="5" s="1"/>
  <c r="AU77" i="5"/>
  <c r="BN77" i="5" s="1"/>
  <c r="AZ77" i="5"/>
  <c r="AV77" i="5"/>
  <c r="BC77" i="5" s="1"/>
  <c r="CJ46" i="5"/>
  <c r="CF46" i="5"/>
  <c r="CH46" i="5"/>
  <c r="CG46" i="5"/>
  <c r="CE46" i="5"/>
  <c r="CD46" i="5"/>
  <c r="CI46" i="5"/>
  <c r="CC46" i="5"/>
  <c r="BW46" i="5"/>
  <c r="CA46" i="5"/>
  <c r="BV46" i="5"/>
  <c r="BZ46" i="5"/>
  <c r="BY46" i="5"/>
  <c r="BQ46" i="5"/>
  <c r="BK46" i="5"/>
  <c r="BL46" i="5"/>
  <c r="BM46" i="5"/>
  <c r="BG46" i="5"/>
  <c r="BS46" i="5"/>
  <c r="CK46" i="5"/>
  <c r="BJ46" i="5"/>
  <c r="BA46" i="5"/>
  <c r="BP46" i="5" s="1"/>
  <c r="BI46" i="5"/>
  <c r="BX46" i="5"/>
  <c r="BT46" i="5"/>
  <c r="BH46" i="5"/>
  <c r="BU46" i="5"/>
  <c r="AY46" i="5"/>
  <c r="BR46" i="5"/>
  <c r="BD46" i="5"/>
  <c r="BF46" i="5"/>
  <c r="BE46" i="5"/>
  <c r="AZ46" i="5"/>
  <c r="AV46" i="5"/>
  <c r="BC46" i="5" s="1"/>
  <c r="AU46" i="5"/>
  <c r="BB46" i="5" s="1"/>
  <c r="CD47" i="5"/>
  <c r="CK47" i="5"/>
  <c r="CI47" i="5"/>
  <c r="CA47" i="5"/>
  <c r="BV47" i="5"/>
  <c r="BT47" i="5"/>
  <c r="BS47" i="5"/>
  <c r="CF47" i="5"/>
  <c r="CE47" i="5"/>
  <c r="BQ47" i="5"/>
  <c r="BJ47" i="5"/>
  <c r="BI47" i="5"/>
  <c r="CC47" i="5"/>
  <c r="BR47" i="5"/>
  <c r="BM47" i="5"/>
  <c r="BH47" i="5"/>
  <c r="BE47" i="5"/>
  <c r="BU47" i="5"/>
  <c r="BD47" i="5"/>
  <c r="BF47" i="5"/>
  <c r="BK47" i="5"/>
  <c r="BA47" i="5"/>
  <c r="BP47" i="5" s="1"/>
  <c r="BW47" i="5"/>
  <c r="BG47" i="5"/>
  <c r="BY47" i="5"/>
  <c r="AZ47" i="5"/>
  <c r="AV47" i="5"/>
  <c r="BO47" i="5" s="1"/>
  <c r="AU47" i="5"/>
  <c r="BB47" i="5" s="1"/>
  <c r="AY47" i="5"/>
  <c r="CD24" i="5"/>
  <c r="CJ24" i="5"/>
  <c r="CK24" i="5"/>
  <c r="CH24" i="5"/>
  <c r="CG24" i="5"/>
  <c r="CE24" i="5"/>
  <c r="CI24" i="5"/>
  <c r="BZ24" i="5"/>
  <c r="BX24" i="5"/>
  <c r="CF24" i="5"/>
  <c r="BY24" i="5"/>
  <c r="BM24" i="5"/>
  <c r="CA24" i="5"/>
  <c r="BL24" i="5"/>
  <c r="BI24" i="5"/>
  <c r="AZ24" i="5"/>
  <c r="CC24" i="5"/>
  <c r="BW24" i="5"/>
  <c r="BS24" i="5"/>
  <c r="AY24" i="5"/>
  <c r="BJ24" i="5"/>
  <c r="BG24" i="5"/>
  <c r="BQ24" i="5"/>
  <c r="BH24" i="5"/>
  <c r="BV24" i="5"/>
  <c r="BR24" i="5"/>
  <c r="BE24" i="5"/>
  <c r="BK24" i="5"/>
  <c r="BF24" i="5"/>
  <c r="BT24" i="5"/>
  <c r="BD24" i="5"/>
  <c r="BU24" i="5"/>
  <c r="BA24" i="5"/>
  <c r="BP24" i="5" s="1"/>
  <c r="AU24" i="5"/>
  <c r="BB24" i="5" s="1"/>
  <c r="AV24" i="5"/>
  <c r="BO24" i="5" s="1"/>
  <c r="CH18" i="5"/>
  <c r="CG18" i="5"/>
  <c r="CE18" i="5"/>
  <c r="CI18" i="5"/>
  <c r="CK18" i="5"/>
  <c r="CC18" i="5"/>
  <c r="CJ18" i="5"/>
  <c r="BX18" i="5"/>
  <c r="CA18" i="5"/>
  <c r="CF18" i="5"/>
  <c r="CD18" i="5"/>
  <c r="BZ18" i="5"/>
  <c r="BU18" i="5"/>
  <c r="BM18" i="5"/>
  <c r="BV18" i="5"/>
  <c r="BT18" i="5"/>
  <c r="BK18" i="5"/>
  <c r="BJ18" i="5"/>
  <c r="BW18" i="5"/>
  <c r="BS18" i="5"/>
  <c r="BG18" i="5"/>
  <c r="BF18" i="5"/>
  <c r="BY18" i="5"/>
  <c r="BE18" i="5"/>
  <c r="BL18" i="5"/>
  <c r="BI18" i="5"/>
  <c r="BQ18" i="5"/>
  <c r="BR18" i="5"/>
  <c r="BD18" i="5"/>
  <c r="AZ18" i="5"/>
  <c r="BA18" i="5"/>
  <c r="BP18" i="5" s="1"/>
  <c r="BH18" i="5"/>
  <c r="AY18" i="5"/>
  <c r="AV18" i="5"/>
  <c r="BC18" i="5" s="1"/>
  <c r="AU18" i="5"/>
  <c r="BB18" i="5" s="1"/>
  <c r="CF2" i="5"/>
  <c r="CK2" i="5"/>
  <c r="AT87" i="5"/>
  <c r="AT88" i="5" s="1"/>
  <c r="CI2" i="5"/>
  <c r="AS87" i="5"/>
  <c r="AS88" i="5" s="1"/>
  <c r="CD2" i="5"/>
  <c r="CC2" i="5"/>
  <c r="CE2" i="5"/>
  <c r="CA2" i="5"/>
  <c r="BY2" i="5"/>
  <c r="BV2" i="5"/>
  <c r="BU2" i="5"/>
  <c r="BM2" i="5"/>
  <c r="BS2" i="5"/>
  <c r="BK2" i="5"/>
  <c r="BT2" i="5"/>
  <c r="BJ2" i="5"/>
  <c r="BG2" i="5"/>
  <c r="AY2" i="5"/>
  <c r="BQ2" i="5"/>
  <c r="BF2" i="5"/>
  <c r="BW2" i="5"/>
  <c r="BH2" i="5"/>
  <c r="BI2" i="5"/>
  <c r="BD2" i="5"/>
  <c r="BR2" i="5"/>
  <c r="BE2" i="5"/>
  <c r="BA2" i="5"/>
  <c r="AV2" i="5"/>
  <c r="BO2" i="5" s="1"/>
  <c r="AU2" i="5"/>
  <c r="AZ2" i="5"/>
  <c r="CF54" i="5"/>
  <c r="CE54" i="5"/>
  <c r="CK54" i="5"/>
  <c r="BY54" i="5"/>
  <c r="BW54" i="5"/>
  <c r="BV54" i="5"/>
  <c r="BQ54" i="5"/>
  <c r="CC54" i="5"/>
  <c r="CA54" i="5"/>
  <c r="BG54" i="5"/>
  <c r="BT54" i="5"/>
  <c r="CI54" i="5"/>
  <c r="CD54" i="5"/>
  <c r="BR54" i="5"/>
  <c r="BA54" i="5"/>
  <c r="BP54" i="5" s="1"/>
  <c r="BI54" i="5"/>
  <c r="BU54" i="5"/>
  <c r="BS54" i="5"/>
  <c r="BJ54" i="5"/>
  <c r="BK54" i="5"/>
  <c r="BH54" i="5"/>
  <c r="BF54" i="5"/>
  <c r="BD54" i="5"/>
  <c r="AZ54" i="5"/>
  <c r="BE54" i="5"/>
  <c r="BM54" i="5"/>
  <c r="AY54" i="5"/>
  <c r="AV54" i="5"/>
  <c r="BO54" i="5" s="1"/>
  <c r="AU54" i="5"/>
  <c r="BN54" i="5" s="1"/>
  <c r="CD63" i="5"/>
  <c r="CK63" i="5"/>
  <c r="CI63" i="5"/>
  <c r="CJ63" i="5"/>
  <c r="CA63" i="5"/>
  <c r="CC63" i="5"/>
  <c r="BZ63" i="5"/>
  <c r="CH63" i="5"/>
  <c r="CF63" i="5"/>
  <c r="CE63" i="5"/>
  <c r="BY63" i="5"/>
  <c r="BT63" i="5"/>
  <c r="CG63" i="5"/>
  <c r="BS63" i="5"/>
  <c r="BX63" i="5"/>
  <c r="BW63" i="5"/>
  <c r="BJ63" i="5"/>
  <c r="BU63" i="5"/>
  <c r="BI63" i="5"/>
  <c r="BR63" i="5"/>
  <c r="BE63" i="5"/>
  <c r="BD63" i="5"/>
  <c r="BF63" i="5"/>
  <c r="BV63" i="5"/>
  <c r="BQ63" i="5"/>
  <c r="BK63" i="5"/>
  <c r="BM63" i="5"/>
  <c r="BG63" i="5"/>
  <c r="BA63" i="5"/>
  <c r="BP63" i="5" s="1"/>
  <c r="BL63" i="5"/>
  <c r="BH63" i="5"/>
  <c r="AY63" i="5"/>
  <c r="AZ63" i="5"/>
  <c r="AV63" i="5"/>
  <c r="BO63" i="5" s="1"/>
  <c r="AU63" i="5"/>
  <c r="BB63" i="5" s="1"/>
  <c r="CD32" i="5"/>
  <c r="CK32" i="5"/>
  <c r="CE32" i="5"/>
  <c r="CI32" i="5"/>
  <c r="CC32" i="5"/>
  <c r="CA32" i="5"/>
  <c r="BS32" i="5"/>
  <c r="CF32" i="5"/>
  <c r="BK32" i="5"/>
  <c r="BW32" i="5"/>
  <c r="BR32" i="5"/>
  <c r="BM32" i="5"/>
  <c r="BJ32" i="5"/>
  <c r="AZ32" i="5"/>
  <c r="BG32" i="5"/>
  <c r="AY32" i="5"/>
  <c r="BY32" i="5"/>
  <c r="BI32" i="5"/>
  <c r="BU32" i="5"/>
  <c r="BQ32" i="5"/>
  <c r="BV32" i="5"/>
  <c r="BH32" i="5"/>
  <c r="BD32" i="5"/>
  <c r="BT32" i="5"/>
  <c r="BA32" i="5"/>
  <c r="BP32" i="5" s="1"/>
  <c r="BE32" i="5"/>
  <c r="BF32" i="5"/>
  <c r="AV32" i="5"/>
  <c r="BO32" i="5" s="1"/>
  <c r="AU32" i="5"/>
  <c r="BB32" i="5" s="1"/>
  <c r="BL57" i="5"/>
  <c r="D14" i="7"/>
  <c r="CB36" i="5" l="1"/>
  <c r="CB75" i="5"/>
  <c r="CB68" i="5"/>
  <c r="K28" i="10"/>
  <c r="L28" i="10" s="1"/>
  <c r="CB27" i="5"/>
  <c r="CB12" i="5"/>
  <c r="BA91" i="5"/>
  <c r="BA92" i="5" s="1"/>
  <c r="BB67" i="5"/>
  <c r="BZ67" i="5" s="1"/>
  <c r="E26" i="10"/>
  <c r="BN84" i="5"/>
  <c r="BZ84" i="5" s="1"/>
  <c r="BZ91" i="5" s="1"/>
  <c r="BZ92" i="5" s="1"/>
  <c r="CB28" i="5"/>
  <c r="BC68" i="5"/>
  <c r="BX52" i="5"/>
  <c r="CB4" i="5"/>
  <c r="CB29" i="5"/>
  <c r="CB76" i="5"/>
  <c r="L12" i="14"/>
  <c r="N12" i="14" s="1"/>
  <c r="CB35" i="5"/>
  <c r="BX83" i="5"/>
  <c r="BL51" i="5"/>
  <c r="BX51" i="5"/>
  <c r="CB3" i="5"/>
  <c r="BL11" i="5"/>
  <c r="BB51" i="5"/>
  <c r="BZ51" i="5" s="1"/>
  <c r="BO19" i="5"/>
  <c r="BL83" i="5"/>
  <c r="BB52" i="5"/>
  <c r="BZ52" i="5" s="1"/>
  <c r="BX11" i="5"/>
  <c r="BB21" i="5"/>
  <c r="AU91" i="5"/>
  <c r="AU92" i="5" s="1"/>
  <c r="CB11" i="5"/>
  <c r="BO12" i="5"/>
  <c r="CB51" i="5"/>
  <c r="BB11" i="5"/>
  <c r="BZ11" i="5" s="1"/>
  <c r="AV91" i="5"/>
  <c r="AV92" i="5" s="1"/>
  <c r="BL84" i="5"/>
  <c r="BL91" i="5" s="1"/>
  <c r="BL92" i="5" s="1"/>
  <c r="I10" i="14" s="1"/>
  <c r="BL52" i="5"/>
  <c r="BB35" i="5"/>
  <c r="BZ35" i="5" s="1"/>
  <c r="BN12" i="5"/>
  <c r="BP91" i="5"/>
  <c r="BP92" i="5" s="1"/>
  <c r="CB84" i="5"/>
  <c r="CB91" i="5" s="1"/>
  <c r="CB92" i="5" s="1"/>
  <c r="BX84" i="5"/>
  <c r="BX91" i="5" s="1"/>
  <c r="BX92" i="5" s="1"/>
  <c r="I12" i="14"/>
  <c r="I40" i="14" s="1"/>
  <c r="BX60" i="5"/>
  <c r="BL35" i="5"/>
  <c r="AV100" i="5"/>
  <c r="AV101" i="5" s="1"/>
  <c r="AY100" i="5"/>
  <c r="AY101" i="5" s="1"/>
  <c r="AV102" i="5"/>
  <c r="AV104" i="5"/>
  <c r="AV105" i="5" s="1"/>
  <c r="AY102" i="5"/>
  <c r="AY104" i="5"/>
  <c r="AY105" i="5" s="1"/>
  <c r="F26" i="10"/>
  <c r="H10" i="14"/>
  <c r="F28" i="10"/>
  <c r="H12" i="14"/>
  <c r="H40" i="14" s="1"/>
  <c r="G38" i="14"/>
  <c r="AA10" i="14"/>
  <c r="F10" i="14"/>
  <c r="D26" i="10"/>
  <c r="F12" i="14"/>
  <c r="F40" i="14" s="1"/>
  <c r="D28" i="10"/>
  <c r="AC45" i="14"/>
  <c r="G12" i="14"/>
  <c r="G13" i="14" s="1"/>
  <c r="E28" i="10"/>
  <c r="K10" i="14"/>
  <c r="I26" i="10"/>
  <c r="BB5" i="5"/>
  <c r="CB60" i="5"/>
  <c r="BX59" i="5"/>
  <c r="BX35" i="5"/>
  <c r="BL67" i="5"/>
  <c r="BL60" i="5"/>
  <c r="BX67" i="5"/>
  <c r="BX76" i="5"/>
  <c r="BN75" i="5"/>
  <c r="BX45" i="5"/>
  <c r="CB67" i="5"/>
  <c r="BL76" i="5"/>
  <c r="CB61" i="5"/>
  <c r="CB5" i="5"/>
  <c r="CB53" i="5"/>
  <c r="BB60" i="5"/>
  <c r="BZ60" i="5" s="1"/>
  <c r="BN76" i="5"/>
  <c r="BZ76" i="5" s="1"/>
  <c r="H16" i="10"/>
  <c r="F12" i="13"/>
  <c r="F40" i="13" s="1"/>
  <c r="D17" i="10"/>
  <c r="J11" i="13"/>
  <c r="G39" i="13"/>
  <c r="AB11" i="13"/>
  <c r="AB45" i="13" s="1"/>
  <c r="AA11" i="13"/>
  <c r="F10" i="13"/>
  <c r="D15" i="10"/>
  <c r="CB20" i="5"/>
  <c r="BL45" i="5"/>
  <c r="BL59" i="5"/>
  <c r="CB21" i="5"/>
  <c r="CB78" i="5"/>
  <c r="BC28" i="5"/>
  <c r="BO75" i="5"/>
  <c r="BB20" i="5"/>
  <c r="BB59" i="5"/>
  <c r="BZ59" i="5" s="1"/>
  <c r="BC59" i="5"/>
  <c r="BL61" i="5"/>
  <c r="CB43" i="5"/>
  <c r="BB43" i="5"/>
  <c r="BN4" i="5"/>
  <c r="BC43" i="5"/>
  <c r="CB45" i="5"/>
  <c r="BX61" i="5"/>
  <c r="BN28" i="5"/>
  <c r="CB15" i="5"/>
  <c r="CB65" i="5"/>
  <c r="BX53" i="5"/>
  <c r="BG89" i="5"/>
  <c r="BG90" i="5" s="1"/>
  <c r="CF89" i="5"/>
  <c r="CF90" i="5" s="1"/>
  <c r="BB17" i="5"/>
  <c r="BC80" i="5"/>
  <c r="BN15" i="5"/>
  <c r="BN46" i="5"/>
  <c r="BI89" i="5"/>
  <c r="BI90" i="5" s="1"/>
  <c r="BO46" i="5"/>
  <c r="BC79" i="5"/>
  <c r="BN79" i="5"/>
  <c r="CA89" i="5"/>
  <c r="CA90" i="5" s="1"/>
  <c r="BF89" i="5"/>
  <c r="BF90" i="5" s="1"/>
  <c r="BM89" i="5"/>
  <c r="BM90" i="5" s="1"/>
  <c r="BO74" i="5"/>
  <c r="BD89" i="5"/>
  <c r="BD90" i="5" s="1"/>
  <c r="BB45" i="5"/>
  <c r="BZ45" i="5" s="1"/>
  <c r="CC89" i="5"/>
  <c r="CC90" i="5" s="1"/>
  <c r="BR89" i="5"/>
  <c r="BR90" i="5" s="1"/>
  <c r="BQ89" i="5"/>
  <c r="BQ90" i="5" s="1"/>
  <c r="BN22" i="5"/>
  <c r="BJ89" i="5"/>
  <c r="BJ90" i="5" s="1"/>
  <c r="BO15" i="5"/>
  <c r="BC39" i="5"/>
  <c r="BW89" i="5"/>
  <c r="BW90" i="5" s="1"/>
  <c r="BL53" i="5"/>
  <c r="BU89" i="5"/>
  <c r="BU90" i="5" s="1"/>
  <c r="CB8" i="5"/>
  <c r="BH89" i="5"/>
  <c r="BH90" i="5" s="1"/>
  <c r="BV89" i="5"/>
  <c r="BV90" i="5" s="1"/>
  <c r="BC6" i="5"/>
  <c r="BC56" i="5"/>
  <c r="BB10" i="5"/>
  <c r="BE89" i="5"/>
  <c r="BE90" i="5" s="1"/>
  <c r="BO44" i="5"/>
  <c r="AV89" i="5"/>
  <c r="AV90" i="5" s="1"/>
  <c r="BC44" i="5"/>
  <c r="BK89" i="5"/>
  <c r="BK90" i="5" s="1"/>
  <c r="BN42" i="5"/>
  <c r="AU89" i="5"/>
  <c r="AU90" i="5" s="1"/>
  <c r="BB44" i="5"/>
  <c r="BA89" i="5"/>
  <c r="BA90" i="5" s="1"/>
  <c r="CB62" i="5"/>
  <c r="BN31" i="5"/>
  <c r="BZ31" i="5" s="1"/>
  <c r="BB69" i="5"/>
  <c r="BZ69" i="5" s="1"/>
  <c r="BO72" i="5"/>
  <c r="BO30" i="5"/>
  <c r="BO81" i="5"/>
  <c r="BC26" i="5"/>
  <c r="BB70" i="5"/>
  <c r="CB6" i="5"/>
  <c r="CE89" i="5"/>
  <c r="CE90" i="5" s="1"/>
  <c r="AY87" i="5"/>
  <c r="AY88" i="5" s="1"/>
  <c r="E4" i="10" s="1"/>
  <c r="BN38" i="5"/>
  <c r="BZ38" i="5" s="1"/>
  <c r="BN81" i="5"/>
  <c r="BZ81" i="5" s="1"/>
  <c r="BB64" i="5"/>
  <c r="BZ64" i="5" s="1"/>
  <c r="BN34" i="5"/>
  <c r="BB14" i="5"/>
  <c r="BY89" i="5"/>
  <c r="BY90" i="5" s="1"/>
  <c r="CK89" i="5"/>
  <c r="CK90" i="5" s="1"/>
  <c r="CI89" i="5"/>
  <c r="CI90" i="5" s="1"/>
  <c r="CD89" i="5"/>
  <c r="CD90" i="5" s="1"/>
  <c r="BS89" i="5"/>
  <c r="BS90" i="5" s="1"/>
  <c r="AZ89" i="5"/>
  <c r="AZ90" i="5" s="1"/>
  <c r="BT89" i="5"/>
  <c r="BT90" i="5" s="1"/>
  <c r="BN44" i="5"/>
  <c r="AY89" i="5"/>
  <c r="AY90" i="5" s="1"/>
  <c r="H5" i="10"/>
  <c r="CB44" i="5"/>
  <c r="BP89" i="5"/>
  <c r="BP90" i="5" s="1"/>
  <c r="BN30" i="5"/>
  <c r="BC33" i="5"/>
  <c r="BM87" i="5"/>
  <c r="BM88" i="5" s="1"/>
  <c r="F10" i="12"/>
  <c r="D4" i="10"/>
  <c r="BO77" i="5"/>
  <c r="BN8" i="5"/>
  <c r="BZ8" i="5" s="1"/>
  <c r="BL40" i="5"/>
  <c r="CB17" i="5"/>
  <c r="BN63" i="5"/>
  <c r="BO64" i="5"/>
  <c r="BN6" i="5"/>
  <c r="BZ6" i="5" s="1"/>
  <c r="CB82" i="5"/>
  <c r="BO45" i="5"/>
  <c r="F12" i="12"/>
  <c r="F40" i="12" s="1"/>
  <c r="D6" i="10"/>
  <c r="BO18" i="5"/>
  <c r="BC16" i="5"/>
  <c r="BO42" i="5"/>
  <c r="CB34" i="5"/>
  <c r="BO40" i="5"/>
  <c r="BC17" i="5"/>
  <c r="BC7" i="5"/>
  <c r="G39" i="12"/>
  <c r="AB11" i="12"/>
  <c r="AB45" i="12" s="1"/>
  <c r="AA11" i="12"/>
  <c r="J11" i="12"/>
  <c r="AZ87" i="5"/>
  <c r="AZ88" i="5" s="1"/>
  <c r="BC2" i="5"/>
  <c r="BC78" i="5"/>
  <c r="BB54" i="5"/>
  <c r="BZ54" i="5" s="1"/>
  <c r="AU87" i="5"/>
  <c r="AU88" i="5" s="1"/>
  <c r="BC22" i="5"/>
  <c r="BN71" i="5"/>
  <c r="BZ71" i="5" s="1"/>
  <c r="BC10" i="5"/>
  <c r="CB46" i="5"/>
  <c r="CB79" i="5"/>
  <c r="BR87" i="5"/>
  <c r="BR88" i="5" s="1"/>
  <c r="BD87" i="5"/>
  <c r="BD88" i="5" s="1"/>
  <c r="BG87" i="5"/>
  <c r="BG88" i="5" s="1"/>
  <c r="CB80" i="5"/>
  <c r="CB50" i="5"/>
  <c r="CB22" i="5"/>
  <c r="CB70" i="5"/>
  <c r="CB66" i="5"/>
  <c r="CB48" i="5"/>
  <c r="CB24" i="5"/>
  <c r="CB30" i="5"/>
  <c r="CB26" i="5"/>
  <c r="CB54" i="5"/>
  <c r="CE87" i="5"/>
  <c r="CE88" i="5" s="1"/>
  <c r="BL72" i="5"/>
  <c r="CC87" i="5"/>
  <c r="CC88" i="5" s="1"/>
  <c r="BX38" i="5"/>
  <c r="CB39" i="5"/>
  <c r="CB32" i="5"/>
  <c r="CD87" i="5"/>
  <c r="CD88" i="5" s="1"/>
  <c r="CB16" i="5"/>
  <c r="CB64" i="5"/>
  <c r="CB14" i="5"/>
  <c r="BL33" i="5"/>
  <c r="CB77" i="5"/>
  <c r="BX77" i="5"/>
  <c r="CB81" i="5"/>
  <c r="BX81" i="5"/>
  <c r="CB71" i="5"/>
  <c r="BX71" i="5"/>
  <c r="CB33" i="5"/>
  <c r="BX33" i="5"/>
  <c r="CB7" i="5"/>
  <c r="BX7" i="5"/>
  <c r="CB47" i="5"/>
  <c r="BX47" i="5"/>
  <c r="BZ34" i="5"/>
  <c r="CB49" i="5"/>
  <c r="BX49" i="5"/>
  <c r="CB69" i="5"/>
  <c r="BX69" i="5"/>
  <c r="CB72" i="5"/>
  <c r="BX72" i="5"/>
  <c r="BC54" i="5"/>
  <c r="BO50" i="5"/>
  <c r="BB72" i="5"/>
  <c r="BZ72" i="5" s="1"/>
  <c r="BL64" i="5"/>
  <c r="BL49" i="5"/>
  <c r="BC49" i="5"/>
  <c r="BN48" i="5"/>
  <c r="BZ48" i="5" s="1"/>
  <c r="BC70" i="5"/>
  <c r="BL6" i="5"/>
  <c r="BL7" i="5"/>
  <c r="BN82" i="5"/>
  <c r="BZ82" i="5" s="1"/>
  <c r="BI87" i="5"/>
  <c r="BI88" i="5" s="1"/>
  <c r="BL2" i="5"/>
  <c r="BJ87" i="5"/>
  <c r="BJ88" i="5" s="1"/>
  <c r="BL32" i="5"/>
  <c r="BN2" i="5"/>
  <c r="BN24" i="5"/>
  <c r="BB80" i="5"/>
  <c r="BC8" i="5"/>
  <c r="BX64" i="5"/>
  <c r="BO34" i="5"/>
  <c r="BL56" i="5"/>
  <c r="BN49" i="5"/>
  <c r="BZ49" i="5" s="1"/>
  <c r="BL48" i="5"/>
  <c r="BB33" i="5"/>
  <c r="BZ33" i="5" s="1"/>
  <c r="CB55" i="5"/>
  <c r="BX55" i="5"/>
  <c r="BC62" i="5"/>
  <c r="BN62" i="5"/>
  <c r="BZ62" i="5" s="1"/>
  <c r="BN74" i="5"/>
  <c r="BB7" i="5"/>
  <c r="BZ7" i="5" s="1"/>
  <c r="BX58" i="5"/>
  <c r="BU87" i="5"/>
  <c r="BU88" i="5" s="1"/>
  <c r="BC63" i="5"/>
  <c r="AV87" i="5"/>
  <c r="AV88" i="5" s="1"/>
  <c r="BH87" i="5"/>
  <c r="BH88" i="5" s="1"/>
  <c r="BT87" i="5"/>
  <c r="BT88" i="5" s="1"/>
  <c r="BV87" i="5"/>
  <c r="BV88" i="5" s="1"/>
  <c r="CI87" i="5"/>
  <c r="CI88" i="5" s="1"/>
  <c r="BB16" i="5"/>
  <c r="BC31" i="5"/>
  <c r="BL31" i="5"/>
  <c r="BL50" i="5"/>
  <c r="BX50" i="5"/>
  <c r="BL8" i="5"/>
  <c r="BX8" i="5"/>
  <c r="CB56" i="5"/>
  <c r="BX56" i="5"/>
  <c r="BO14" i="5"/>
  <c r="BC48" i="5"/>
  <c r="BN66" i="5"/>
  <c r="BZ66" i="5" s="1"/>
  <c r="BO58" i="5"/>
  <c r="BX54" i="5"/>
  <c r="BX32" i="5"/>
  <c r="BL54" i="5"/>
  <c r="BB2" i="5"/>
  <c r="BW87" i="5"/>
  <c r="BW88" i="5" s="1"/>
  <c r="BK87" i="5"/>
  <c r="BK88" i="5" s="1"/>
  <c r="CB18" i="5"/>
  <c r="BN18" i="5"/>
  <c r="BC47" i="5"/>
  <c r="BL47" i="5"/>
  <c r="BC38" i="5"/>
  <c r="BL78" i="5"/>
  <c r="BX78" i="5"/>
  <c r="BB78" i="5"/>
  <c r="BZ78" i="5" s="1"/>
  <c r="BX48" i="5"/>
  <c r="BX66" i="5"/>
  <c r="BN32" i="5"/>
  <c r="BZ32" i="5" s="1"/>
  <c r="BA87" i="5"/>
  <c r="BA88" i="5" s="1"/>
  <c r="CK87" i="5"/>
  <c r="CK88" i="5" s="1"/>
  <c r="CB38" i="5"/>
  <c r="BL69" i="5"/>
  <c r="BN50" i="5"/>
  <c r="BZ50" i="5" s="1"/>
  <c r="BX62" i="5"/>
  <c r="CB10" i="5"/>
  <c r="BO66" i="5"/>
  <c r="BN58" i="5"/>
  <c r="BZ58" i="5" s="1"/>
  <c r="BX82" i="5"/>
  <c r="BB77" i="5"/>
  <c r="BZ77" i="5" s="1"/>
  <c r="CB31" i="5"/>
  <c r="BX31" i="5"/>
  <c r="BL38" i="5"/>
  <c r="BC32" i="5"/>
  <c r="CB63" i="5"/>
  <c r="BF87" i="5"/>
  <c r="BF88" i="5" s="1"/>
  <c r="BP2" i="5"/>
  <c r="BY87" i="5"/>
  <c r="BY88" i="5" s="1"/>
  <c r="BC24" i="5"/>
  <c r="BN47" i="5"/>
  <c r="BZ47" i="5" s="1"/>
  <c r="BL77" i="5"/>
  <c r="BE87" i="5"/>
  <c r="BE88" i="5" s="1"/>
  <c r="BQ87" i="5"/>
  <c r="BQ88" i="5" s="1"/>
  <c r="BS87" i="5"/>
  <c r="BS88" i="5" s="1"/>
  <c r="CA87" i="5"/>
  <c r="CA88" i="5" s="1"/>
  <c r="CF87" i="5"/>
  <c r="CF88" i="5" s="1"/>
  <c r="BC69" i="5"/>
  <c r="CB73" i="5"/>
  <c r="BX73" i="5"/>
  <c r="BB39" i="5"/>
  <c r="BB26" i="5"/>
  <c r="BC71" i="5"/>
  <c r="BL71" i="5"/>
  <c r="BX6" i="5"/>
  <c r="BB40" i="5"/>
  <c r="BZ40" i="5" s="1"/>
  <c r="CB74" i="5"/>
  <c r="BL34" i="5"/>
  <c r="BX34" i="5"/>
  <c r="BB56" i="5"/>
  <c r="BZ56" i="5" s="1"/>
  <c r="CB40" i="5"/>
  <c r="CB58" i="5"/>
  <c r="BO82" i="5"/>
  <c r="CB42" i="5"/>
  <c r="BL81" i="5"/>
  <c r="CB57" i="5"/>
  <c r="BX57" i="5"/>
  <c r="BX40" i="5"/>
  <c r="BL62" i="5"/>
  <c r="BL66" i="5"/>
  <c r="BL58" i="5"/>
  <c r="BL82" i="5"/>
  <c r="AB10" i="9"/>
  <c r="L40" i="14" l="1"/>
  <c r="N40" i="14" s="1"/>
  <c r="G26" i="10"/>
  <c r="G29" i="10" s="1"/>
  <c r="BN91" i="5"/>
  <c r="BN92" i="5" s="1"/>
  <c r="H28" i="10"/>
  <c r="AW102" i="5"/>
  <c r="AW100" i="5"/>
  <c r="AW101" i="5" s="1"/>
  <c r="AW104" i="5"/>
  <c r="AW105" i="5" s="1"/>
  <c r="AZ100" i="5"/>
  <c r="AZ101" i="5" s="1"/>
  <c r="AZ102" i="5"/>
  <c r="AZ104" i="5"/>
  <c r="AZ105" i="5" s="1"/>
  <c r="AY103" i="5"/>
  <c r="AX102" i="5"/>
  <c r="J10" i="11" s="1"/>
  <c r="AX100" i="5"/>
  <c r="AX104" i="5"/>
  <c r="AV103" i="5"/>
  <c r="I38" i="14"/>
  <c r="I13" i="14"/>
  <c r="AA38" i="14"/>
  <c r="L10" i="14"/>
  <c r="J26" i="10"/>
  <c r="D29" i="10"/>
  <c r="D32" i="10" s="1"/>
  <c r="F29" i="10"/>
  <c r="E29" i="10"/>
  <c r="J12" i="14"/>
  <c r="G40" i="14"/>
  <c r="J40" i="14" s="1"/>
  <c r="F38" i="14"/>
  <c r="F41" i="14" s="1"/>
  <c r="F13" i="14"/>
  <c r="F16" i="14" s="1"/>
  <c r="J10" i="14"/>
  <c r="H13" i="14"/>
  <c r="H38" i="14"/>
  <c r="G10" i="12"/>
  <c r="AA10" i="12" s="1"/>
  <c r="M12" i="13"/>
  <c r="M40" i="13" s="1"/>
  <c r="K17" i="10"/>
  <c r="L12" i="13"/>
  <c r="J17" i="10"/>
  <c r="F13" i="13"/>
  <c r="F16" i="13" s="1"/>
  <c r="F38" i="13"/>
  <c r="F41" i="13" s="1"/>
  <c r="G10" i="13"/>
  <c r="E15" i="10"/>
  <c r="I15" i="10"/>
  <c r="K10" i="13"/>
  <c r="AA39" i="13"/>
  <c r="J39" i="13"/>
  <c r="E17" i="10"/>
  <c r="G12" i="13"/>
  <c r="I12" i="13"/>
  <c r="I40" i="13" s="1"/>
  <c r="G17" i="10"/>
  <c r="D18" i="10"/>
  <c r="D21" i="10" s="1"/>
  <c r="BO87" i="5"/>
  <c r="BO88" i="5" s="1"/>
  <c r="BX89" i="5"/>
  <c r="BX90" i="5" s="1"/>
  <c r="BL89" i="5"/>
  <c r="BL90" i="5" s="1"/>
  <c r="BZ89" i="5"/>
  <c r="BZ90" i="5" s="1"/>
  <c r="BC89" i="5"/>
  <c r="BC90" i="5" s="1"/>
  <c r="BN89" i="5"/>
  <c r="BN90" i="5" s="1"/>
  <c r="BO89" i="5"/>
  <c r="BO90" i="5" s="1"/>
  <c r="BB89" i="5"/>
  <c r="BB90" i="5" s="1"/>
  <c r="CB89" i="5"/>
  <c r="CB90" i="5" s="1"/>
  <c r="L12" i="12"/>
  <c r="J6" i="10"/>
  <c r="M12" i="12"/>
  <c r="M40" i="12" s="1"/>
  <c r="K6" i="10"/>
  <c r="E6" i="10"/>
  <c r="E7" i="10" s="1"/>
  <c r="G12" i="12"/>
  <c r="D7" i="10"/>
  <c r="D10" i="10" s="1"/>
  <c r="F38" i="12"/>
  <c r="F41" i="12" s="1"/>
  <c r="F13" i="12"/>
  <c r="F16" i="12" s="1"/>
  <c r="AA39" i="12"/>
  <c r="J39" i="12"/>
  <c r="I12" i="12"/>
  <c r="I40" i="12" s="1"/>
  <c r="G6" i="10"/>
  <c r="BC87" i="5"/>
  <c r="BC88" i="5" s="1"/>
  <c r="I4" i="10"/>
  <c r="K10" i="12"/>
  <c r="BL87" i="5"/>
  <c r="BL88" i="5" s="1"/>
  <c r="BP87" i="5"/>
  <c r="BP88" i="5" s="1"/>
  <c r="CB2" i="5"/>
  <c r="CB87" i="5" s="1"/>
  <c r="CB88" i="5" s="1"/>
  <c r="BX2" i="5"/>
  <c r="BB87" i="5"/>
  <c r="BB88" i="5" s="1"/>
  <c r="BN87" i="5"/>
  <c r="BN88" i="5" s="1"/>
  <c r="BZ2" i="5"/>
  <c r="BZ87" i="5" s="1"/>
  <c r="BZ88" i="5" s="1"/>
  <c r="AA11" i="9"/>
  <c r="AC11" i="9"/>
  <c r="AA10" i="9"/>
  <c r="AX105" i="5" l="1"/>
  <c r="J13" i="11" s="1"/>
  <c r="J12" i="11"/>
  <c r="AX101" i="5"/>
  <c r="J8" i="11"/>
  <c r="H26" i="10"/>
  <c r="G38" i="12"/>
  <c r="AA38" i="12" s="1"/>
  <c r="J13" i="14"/>
  <c r="H15" i="14" s="1"/>
  <c r="H16" i="14" s="1"/>
  <c r="AX103" i="5"/>
  <c r="J11" i="11" s="1"/>
  <c r="G41" i="14"/>
  <c r="AW103" i="5"/>
  <c r="BX87" i="5"/>
  <c r="BX88" i="5" s="1"/>
  <c r="BA102" i="5"/>
  <c r="M10" i="11" s="1"/>
  <c r="BA104" i="5"/>
  <c r="BA100" i="5"/>
  <c r="AZ103" i="5"/>
  <c r="L38" i="14"/>
  <c r="L13" i="14"/>
  <c r="F44" i="14"/>
  <c r="F43" i="14"/>
  <c r="F45" i="14"/>
  <c r="AA44" i="14"/>
  <c r="H29" i="10"/>
  <c r="E31" i="10" s="1"/>
  <c r="I41" i="14"/>
  <c r="J38" i="14"/>
  <c r="J41" i="14" s="1"/>
  <c r="H41" i="14"/>
  <c r="J29" i="10"/>
  <c r="E18" i="10"/>
  <c r="F15" i="10"/>
  <c r="H10" i="13"/>
  <c r="G38" i="13"/>
  <c r="G13" i="13"/>
  <c r="AA10" i="13"/>
  <c r="G40" i="13"/>
  <c r="F43" i="13"/>
  <c r="F44" i="13"/>
  <c r="F45" i="13"/>
  <c r="F17" i="10"/>
  <c r="H12" i="13"/>
  <c r="H40" i="13" s="1"/>
  <c r="L17" i="10"/>
  <c r="L10" i="13"/>
  <c r="J15" i="10"/>
  <c r="AC39" i="13"/>
  <c r="AA45" i="13"/>
  <c r="AC45" i="13" s="1"/>
  <c r="L40" i="13"/>
  <c r="N40" i="13" s="1"/>
  <c r="N12" i="13"/>
  <c r="G15" i="10"/>
  <c r="G18" i="10" s="1"/>
  <c r="I10" i="13"/>
  <c r="L6" i="10"/>
  <c r="F4" i="10"/>
  <c r="H10" i="12"/>
  <c r="G4" i="10"/>
  <c r="G7" i="10" s="1"/>
  <c r="I10" i="12"/>
  <c r="AC39" i="12"/>
  <c r="AA45" i="12"/>
  <c r="AC45" i="12" s="1"/>
  <c r="L10" i="12"/>
  <c r="J4" i="10"/>
  <c r="F43" i="12"/>
  <c r="F44" i="12"/>
  <c r="F45" i="12"/>
  <c r="F6" i="10"/>
  <c r="H6" i="10" s="1"/>
  <c r="H12" i="12"/>
  <c r="H40" i="12" s="1"/>
  <c r="G13" i="12"/>
  <c r="G40" i="12"/>
  <c r="L40" i="12"/>
  <c r="N40" i="12" s="1"/>
  <c r="N12" i="12"/>
  <c r="AC10" i="9"/>
  <c r="BA101" i="5" l="1"/>
  <c r="M8" i="11"/>
  <c r="BA105" i="5"/>
  <c r="M13" i="11" s="1"/>
  <c r="M12" i="11"/>
  <c r="J9" i="11"/>
  <c r="AX107" i="5"/>
  <c r="G15" i="14"/>
  <c r="G16" i="14" s="1"/>
  <c r="G51" i="14"/>
  <c r="G52" i="14" s="1"/>
  <c r="G56" i="14" s="1"/>
  <c r="G60" i="14" s="1"/>
  <c r="BA103" i="5"/>
  <c r="M11" i="11" s="1"/>
  <c r="G31" i="10"/>
  <c r="G32" i="10" s="1"/>
  <c r="E32" i="10"/>
  <c r="L41" i="14"/>
  <c r="F31" i="10"/>
  <c r="F32" i="10" s="1"/>
  <c r="H51" i="14"/>
  <c r="I51" i="14"/>
  <c r="F18" i="10"/>
  <c r="H18" i="10" s="1"/>
  <c r="F20" i="10" s="1"/>
  <c r="F21" i="10" s="1"/>
  <c r="H15" i="10"/>
  <c r="L13" i="13"/>
  <c r="L38" i="13"/>
  <c r="J40" i="13"/>
  <c r="I38" i="13"/>
  <c r="I13" i="13"/>
  <c r="J12" i="13"/>
  <c r="G41" i="13"/>
  <c r="AA38" i="13"/>
  <c r="J10" i="13"/>
  <c r="H38" i="13"/>
  <c r="H41" i="13" s="1"/>
  <c r="H13" i="13"/>
  <c r="H17" i="10"/>
  <c r="J18" i="10"/>
  <c r="J12" i="12"/>
  <c r="J40" i="12"/>
  <c r="F7" i="10"/>
  <c r="H4" i="10"/>
  <c r="I38" i="12"/>
  <c r="I13" i="12"/>
  <c r="J7" i="10"/>
  <c r="L38" i="12"/>
  <c r="L13" i="12"/>
  <c r="G41" i="12"/>
  <c r="AA44" i="12"/>
  <c r="H38" i="12"/>
  <c r="H13" i="12"/>
  <c r="J10" i="12"/>
  <c r="E73" i="9"/>
  <c r="E72" i="9"/>
  <c r="M9" i="11" l="1"/>
  <c r="BA107" i="5"/>
  <c r="J15" i="11"/>
  <c r="AX117" i="5"/>
  <c r="J25" i="11" s="1"/>
  <c r="I15" i="14"/>
  <c r="I16" i="14" s="1"/>
  <c r="G43" i="14"/>
  <c r="I52" i="14"/>
  <c r="I56" i="14" s="1"/>
  <c r="I60" i="14" s="1"/>
  <c r="I43" i="14"/>
  <c r="H43" i="14"/>
  <c r="H52" i="14"/>
  <c r="H56" i="14" s="1"/>
  <c r="H60" i="14" s="1"/>
  <c r="J51" i="14"/>
  <c r="J52" i="14" s="1"/>
  <c r="J56" i="14" s="1"/>
  <c r="J60" i="14" s="1"/>
  <c r="J67" i="14" s="1"/>
  <c r="G44" i="14"/>
  <c r="G67" i="14"/>
  <c r="H31" i="10"/>
  <c r="H32" i="10" s="1"/>
  <c r="J13" i="13"/>
  <c r="G15" i="13" s="1"/>
  <c r="AA44" i="13"/>
  <c r="J38" i="13"/>
  <c r="J41" i="13" s="1"/>
  <c r="H51" i="13" s="1"/>
  <c r="E20" i="10"/>
  <c r="I41" i="13"/>
  <c r="L41" i="13"/>
  <c r="L41" i="12"/>
  <c r="H7" i="10"/>
  <c r="E9" i="10" s="1"/>
  <c r="I41" i="12"/>
  <c r="J13" i="12"/>
  <c r="G15" i="12" s="1"/>
  <c r="H41" i="12"/>
  <c r="J38" i="12"/>
  <c r="J41" i="12" s="1"/>
  <c r="J79" i="9"/>
  <c r="J78" i="9"/>
  <c r="J77" i="9"/>
  <c r="M15" i="11" l="1"/>
  <c r="BA117" i="5"/>
  <c r="M25" i="11" s="1"/>
  <c r="J15" i="14"/>
  <c r="J16" i="14" s="1"/>
  <c r="J32" i="10" s="1"/>
  <c r="J43" i="14"/>
  <c r="K43" i="14" s="1"/>
  <c r="I44" i="14"/>
  <c r="I67" i="14"/>
  <c r="H68" i="14"/>
  <c r="J68" i="14" s="1"/>
  <c r="M72" i="14"/>
  <c r="O72" i="14"/>
  <c r="G73" i="14"/>
  <c r="I73" i="14" s="1"/>
  <c r="J73" i="14" s="1"/>
  <c r="G72" i="14"/>
  <c r="H44" i="14"/>
  <c r="H67" i="14"/>
  <c r="G45" i="14"/>
  <c r="H51" i="12"/>
  <c r="H52" i="12" s="1"/>
  <c r="H56" i="12" s="1"/>
  <c r="H60" i="12" s="1"/>
  <c r="G51" i="13"/>
  <c r="I51" i="13"/>
  <c r="H52" i="13"/>
  <c r="H56" i="13" s="1"/>
  <c r="H60" i="13" s="1"/>
  <c r="H43" i="13"/>
  <c r="I15" i="13"/>
  <c r="I16" i="13" s="1"/>
  <c r="G16" i="13"/>
  <c r="E21" i="10"/>
  <c r="G20" i="10"/>
  <c r="G21" i="10" s="1"/>
  <c r="H15" i="13"/>
  <c r="H16" i="13" s="1"/>
  <c r="I51" i="12"/>
  <c r="I43" i="12" s="1"/>
  <c r="G51" i="12"/>
  <c r="G52" i="12" s="1"/>
  <c r="G56" i="12" s="1"/>
  <c r="G60" i="12" s="1"/>
  <c r="G16" i="12"/>
  <c r="I15" i="12"/>
  <c r="I16" i="12" s="1"/>
  <c r="H15" i="12"/>
  <c r="H16" i="12" s="1"/>
  <c r="G9" i="10"/>
  <c r="G10" i="10" s="1"/>
  <c r="E10" i="10"/>
  <c r="F9" i="10"/>
  <c r="F10" i="10" s="1"/>
  <c r="H63" i="9"/>
  <c r="L16" i="14" l="1"/>
  <c r="J44" i="14"/>
  <c r="K44" i="14" s="1"/>
  <c r="I45" i="14"/>
  <c r="G75" i="14"/>
  <c r="G80" i="14" s="1"/>
  <c r="H45" i="14"/>
  <c r="H75" i="14"/>
  <c r="H80" i="14" s="1"/>
  <c r="H43" i="12"/>
  <c r="J51" i="13"/>
  <c r="J52" i="13" s="1"/>
  <c r="J56" i="13" s="1"/>
  <c r="J60" i="13" s="1"/>
  <c r="J67" i="13" s="1"/>
  <c r="G52" i="13"/>
  <c r="G56" i="13" s="1"/>
  <c r="G60" i="13" s="1"/>
  <c r="G43" i="13"/>
  <c r="H67" i="13"/>
  <c r="H44" i="13"/>
  <c r="H20" i="10"/>
  <c r="H21" i="10" s="1"/>
  <c r="I52" i="13"/>
  <c r="I56" i="13" s="1"/>
  <c r="I60" i="13" s="1"/>
  <c r="I43" i="13"/>
  <c r="J15" i="13"/>
  <c r="J16" i="13" s="1"/>
  <c r="G43" i="12"/>
  <c r="J51" i="12"/>
  <c r="J52" i="12" s="1"/>
  <c r="J56" i="12" s="1"/>
  <c r="J60" i="12" s="1"/>
  <c r="J67" i="12" s="1"/>
  <c r="O72" i="12" s="1"/>
  <c r="I52" i="12"/>
  <c r="I56" i="12" s="1"/>
  <c r="I60" i="12" s="1"/>
  <c r="I67" i="12" s="1"/>
  <c r="I45" i="12" s="1"/>
  <c r="H44" i="12"/>
  <c r="H67" i="12"/>
  <c r="J15" i="12"/>
  <c r="J16" i="12" s="1"/>
  <c r="G67" i="12"/>
  <c r="G44" i="12"/>
  <c r="H9" i="10"/>
  <c r="H10" i="10" s="1"/>
  <c r="K8" i="9"/>
  <c r="J45" i="14" l="1"/>
  <c r="J43" i="12"/>
  <c r="K43" i="12" s="1"/>
  <c r="J43" i="13"/>
  <c r="K43" i="13" s="1"/>
  <c r="I44" i="13"/>
  <c r="I67" i="13"/>
  <c r="H45" i="13"/>
  <c r="G44" i="13"/>
  <c r="G67" i="13"/>
  <c r="L16" i="13"/>
  <c r="J21" i="10"/>
  <c r="M72" i="13"/>
  <c r="G72" i="13"/>
  <c r="O72" i="13"/>
  <c r="H68" i="13"/>
  <c r="J68" i="13" s="1"/>
  <c r="G73" i="13"/>
  <c r="I73" i="13" s="1"/>
  <c r="J73" i="13" s="1"/>
  <c r="H68" i="12"/>
  <c r="J68" i="12" s="1"/>
  <c r="G73" i="12"/>
  <c r="I73" i="12" s="1"/>
  <c r="J73" i="12" s="1"/>
  <c r="M72" i="12"/>
  <c r="G72" i="12"/>
  <c r="I44" i="12"/>
  <c r="J44" i="12" s="1"/>
  <c r="K44" i="12" s="1"/>
  <c r="G45" i="12"/>
  <c r="L16" i="12"/>
  <c r="J10" i="10"/>
  <c r="H45" i="12"/>
  <c r="I35" i="9"/>
  <c r="G63" i="9"/>
  <c r="I63" i="9" s="1"/>
  <c r="K46" i="14" l="1"/>
  <c r="K45" i="14"/>
  <c r="I45" i="13"/>
  <c r="G45" i="13"/>
  <c r="G75" i="13"/>
  <c r="G80" i="13" s="1"/>
  <c r="J44" i="13"/>
  <c r="K44" i="13" s="1"/>
  <c r="H75" i="13"/>
  <c r="H80" i="13" s="1"/>
  <c r="G75" i="12"/>
  <c r="G80" i="12" s="1"/>
  <c r="H75" i="12"/>
  <c r="H80" i="12" s="1"/>
  <c r="J45" i="12"/>
  <c r="K46" i="12" s="1"/>
  <c r="K50" i="9"/>
  <c r="J45" i="13" l="1"/>
  <c r="K45" i="12"/>
  <c r="G8" i="9"/>
  <c r="H8" i="9"/>
  <c r="M20" i="9"/>
  <c r="K46" i="13" l="1"/>
  <c r="K45" i="13"/>
  <c r="I71" i="9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4" l="1"/>
  <c r="J72" i="14" s="1"/>
  <c r="I72" i="13"/>
  <c r="J72" i="13" s="1"/>
  <c r="I72" i="12"/>
  <c r="J72" i="12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11" i="5" l="1"/>
  <c r="CH35" i="5"/>
  <c r="CH51" i="5"/>
  <c r="CH59" i="5"/>
  <c r="CH67" i="5"/>
  <c r="CH83" i="5"/>
  <c r="CH81" i="5"/>
  <c r="CH52" i="5"/>
  <c r="CH60" i="5"/>
  <c r="CH76" i="5"/>
  <c r="CH84" i="5"/>
  <c r="CH91" i="5" s="1"/>
  <c r="CH92" i="5" s="1"/>
  <c r="CH33" i="5"/>
  <c r="CH45" i="5"/>
  <c r="CH53" i="5"/>
  <c r="CH61" i="5"/>
  <c r="CH69" i="5"/>
  <c r="CH77" i="5"/>
  <c r="CH2" i="5"/>
  <c r="CH6" i="5"/>
  <c r="CH38" i="5"/>
  <c r="CH54" i="5"/>
  <c r="CH62" i="5"/>
  <c r="CH78" i="5"/>
  <c r="CH7" i="5"/>
  <c r="CH31" i="5"/>
  <c r="CH47" i="5"/>
  <c r="CH55" i="5"/>
  <c r="CH71" i="5"/>
  <c r="CH49" i="5"/>
  <c r="CH8" i="5"/>
  <c r="CH32" i="5"/>
  <c r="CH40" i="5"/>
  <c r="CH48" i="5"/>
  <c r="CH56" i="5"/>
  <c r="CH64" i="5"/>
  <c r="CH72" i="5"/>
  <c r="CH57" i="5"/>
  <c r="CH34" i="5"/>
  <c r="CH50" i="5"/>
  <c r="CH58" i="5"/>
  <c r="CH66" i="5"/>
  <c r="CH82" i="5"/>
  <c r="CH73" i="5"/>
  <c r="CJ73" i="5" s="1"/>
  <c r="CG6" i="5"/>
  <c r="CG38" i="5"/>
  <c r="CG54" i="5"/>
  <c r="CG62" i="5"/>
  <c r="CG78" i="5"/>
  <c r="CG7" i="5"/>
  <c r="CG31" i="5"/>
  <c r="CG47" i="5"/>
  <c r="CG55" i="5"/>
  <c r="CG71" i="5"/>
  <c r="CG8" i="5"/>
  <c r="CJ8" i="5" s="1"/>
  <c r="CG32" i="5"/>
  <c r="CJ32" i="5" s="1"/>
  <c r="CG40" i="5"/>
  <c r="CJ40" i="5" s="1"/>
  <c r="CG48" i="5"/>
  <c r="CJ48" i="5" s="1"/>
  <c r="CG56" i="5"/>
  <c r="CG64" i="5"/>
  <c r="CJ64" i="5" s="1"/>
  <c r="CG72" i="5"/>
  <c r="CG33" i="5"/>
  <c r="CG49" i="5"/>
  <c r="CG57" i="5"/>
  <c r="CG81" i="5"/>
  <c r="CG34" i="5"/>
  <c r="CG50" i="5"/>
  <c r="CG58" i="5"/>
  <c r="CG66" i="5"/>
  <c r="CG82" i="5"/>
  <c r="CG11" i="5"/>
  <c r="CG35" i="5"/>
  <c r="CG51" i="5"/>
  <c r="CG59" i="5"/>
  <c r="CG67" i="5"/>
  <c r="CG83" i="5"/>
  <c r="CG52" i="5"/>
  <c r="CG60" i="5"/>
  <c r="CG76" i="5"/>
  <c r="CG84" i="5"/>
  <c r="CG91" i="5" s="1"/>
  <c r="CG92" i="5" s="1"/>
  <c r="CG45" i="5"/>
  <c r="CG53" i="5"/>
  <c r="CG61" i="5"/>
  <c r="CG69" i="5"/>
  <c r="CG77" i="5"/>
  <c r="CG2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G89" i="5" l="1"/>
  <c r="CG90" i="5" s="1"/>
  <c r="CJ56" i="5"/>
  <c r="CJ33" i="5"/>
  <c r="CJ71" i="5"/>
  <c r="CJ38" i="5"/>
  <c r="CH89" i="5"/>
  <c r="CH90" i="5" s="1"/>
  <c r="CJ72" i="5"/>
  <c r="CJ52" i="5"/>
  <c r="CJ69" i="5"/>
  <c r="CJ58" i="5"/>
  <c r="CJ7" i="5"/>
  <c r="CJ83" i="5"/>
  <c r="CJ59" i="5"/>
  <c r="CJ67" i="5"/>
  <c r="CJ35" i="5"/>
  <c r="CJ76" i="5"/>
  <c r="CJ11" i="5"/>
  <c r="CJ60" i="5"/>
  <c r="CJ49" i="5"/>
  <c r="CJ57" i="5"/>
  <c r="CJ54" i="5"/>
  <c r="CH87" i="5"/>
  <c r="CH88" i="5" s="1"/>
  <c r="CG87" i="5"/>
  <c r="CG88" i="5" s="1"/>
  <c r="CJ47" i="5"/>
  <c r="CJ45" i="5"/>
  <c r="CJ84" i="5"/>
  <c r="CJ91" i="5" s="1"/>
  <c r="CJ92" i="5" s="1"/>
  <c r="CJ62" i="5"/>
  <c r="CJ77" i="5"/>
  <c r="CJ31" i="5"/>
  <c r="CJ61" i="5"/>
  <c r="CJ50" i="5"/>
  <c r="CJ53" i="5"/>
  <c r="CJ51" i="5"/>
  <c r="CJ81" i="5"/>
  <c r="CJ78" i="5"/>
  <c r="CJ2" i="5"/>
  <c r="CJ82" i="5"/>
  <c r="CJ66" i="5"/>
  <c r="CJ55" i="5"/>
  <c r="CJ6" i="5"/>
  <c r="CJ34" i="5"/>
  <c r="F80" i="9"/>
  <c r="F45" i="9"/>
  <c r="N22" i="9"/>
  <c r="N21" i="9"/>
  <c r="H51" i="9"/>
  <c r="I51" i="9"/>
  <c r="G51" i="9"/>
  <c r="G43" i="9" s="1"/>
  <c r="CJ89" i="5" l="1"/>
  <c r="CJ90" i="5" s="1"/>
  <c r="M10" i="13" s="1"/>
  <c r="CJ87" i="5"/>
  <c r="CJ88" i="5" s="1"/>
  <c r="M10" i="12" s="1"/>
  <c r="M10" i="14"/>
  <c r="K26" i="10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K15" i="10" l="1"/>
  <c r="L15" i="10" s="1"/>
  <c r="L18" i="10" s="1"/>
  <c r="K4" i="10"/>
  <c r="K7" i="10" s="1"/>
  <c r="K29" i="10"/>
  <c r="L26" i="10"/>
  <c r="L29" i="10" s="1"/>
  <c r="M38" i="14"/>
  <c r="M13" i="14"/>
  <c r="AB10" i="14"/>
  <c r="AC10" i="14" s="1"/>
  <c r="N10" i="14"/>
  <c r="N13" i="14" s="1"/>
  <c r="M38" i="13"/>
  <c r="M13" i="13"/>
  <c r="AB10" i="13"/>
  <c r="AC10" i="13" s="1"/>
  <c r="N10" i="13"/>
  <c r="N13" i="13" s="1"/>
  <c r="N10" i="12"/>
  <c r="N13" i="12" s="1"/>
  <c r="M38" i="12"/>
  <c r="M13" i="12"/>
  <c r="AB10" i="12"/>
  <c r="AC10" i="12" s="1"/>
  <c r="H44" i="9"/>
  <c r="N41" i="9"/>
  <c r="N38" i="9"/>
  <c r="J43" i="9"/>
  <c r="K43" i="9" s="1"/>
  <c r="I44" i="9"/>
  <c r="I67" i="9"/>
  <c r="K18" i="10" l="1"/>
  <c r="L4" i="10"/>
  <c r="L7" i="10" s="1"/>
  <c r="M41" i="14"/>
  <c r="AB38" i="14"/>
  <c r="N38" i="14"/>
  <c r="M41" i="13"/>
  <c r="N38" i="13"/>
  <c r="AB38" i="13"/>
  <c r="M41" i="12"/>
  <c r="AB38" i="12"/>
  <c r="N38" i="12"/>
  <c r="I45" i="9"/>
  <c r="J44" i="9"/>
  <c r="K44" i="9" s="1"/>
  <c r="AB44" i="14" l="1"/>
  <c r="AC44" i="14" s="1"/>
  <c r="AC38" i="14"/>
  <c r="N41" i="14"/>
  <c r="I69" i="14"/>
  <c r="AB44" i="13"/>
  <c r="AC44" i="13" s="1"/>
  <c r="AC38" i="13"/>
  <c r="N41" i="13"/>
  <c r="I69" i="13"/>
  <c r="AB44" i="12"/>
  <c r="AC44" i="12" s="1"/>
  <c r="AC38" i="12"/>
  <c r="N41" i="12"/>
  <c r="I69" i="12"/>
  <c r="J67" i="9"/>
  <c r="J69" i="14" l="1"/>
  <c r="J75" i="14" s="1"/>
  <c r="J80" i="14" s="1"/>
  <c r="I75" i="14"/>
  <c r="I80" i="14" s="1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E5801CF1-A31F-43E8-B0AD-FD311EE7FAA6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724A89C-9631-426B-A219-D19F86A371C5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63E72236-6EEB-460E-852A-34C30C60397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9E0C772-010F-475B-B1E4-9856568FB06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CEDAD466-25BD-43A0-B6AA-86A59EDABE13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5B95C771-F90E-446F-9EA2-01FA87191223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506FBE3-1D85-4164-9202-00F296D10AF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D41BB335-D94A-4BCF-A260-D6722D74556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E10BF4AD-281D-43A7-920C-5027260942A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DD803AD7-CDE9-4CA7-B37F-B4484790A2D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72CB5779-E775-4BF4-A964-24C3991BF914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4903BDCD-B354-4A3B-BBAF-8423DEF56FF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F9CFF128-CD40-44F3-893A-1359A114E86E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53B27B4D-7CF8-412A-B756-F37F68257C7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F427C41-DE63-460E-840D-5709AD4D0D7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FD350AA2-5D49-45CC-8F51-CC59A380F95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80DC5589-1CFD-4F66-A3A4-720EB2FD085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3630A9FE-D253-499D-A03F-3426D7B6393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C5F7EB58-22FA-42BC-BEEB-36FB27F5730E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F4804907-79E7-4EF1-A58F-9AC22D50991C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C891F65-8E19-42A5-B37D-3A16E56B902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2A3F1D17-C9D5-45E2-B87F-53B2E61BC094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3376A3EC-2E07-4D3D-B145-DAFA9926DA2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4B8AB563-20C9-4338-8628-410F7A4C8FC6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C5DB888F-1030-462D-9D79-8B00D44A06C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DA1F6296-04AA-43B4-86DD-D57D7766210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9AC9A099-EFFB-4741-9DFE-6D4F68E0243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87BD99BF-14BD-425A-9CB8-19114DF747B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54E20114-B63E-4EEF-A838-B268A9EDD11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2E103479-4B23-4E25-8C95-1D21C584775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<sst xmlns="http://schemas.openxmlformats.org/spreadsheetml/2006/main" count="2653" uniqueCount="501">
  <si>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</si>
  <si>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</si>
  <si>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</si>
  <si>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</si>
  <si>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</si>
  <si>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</si>
  <si>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</si>
  <si>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</si>
  <si>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</si>
  <si>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</si>
  <si>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</si>
  <si>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</si>
  <si>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</si>
  <si>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</si>
  <si>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</si>
  <si>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</si>
  <si>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</si>
  <si>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</si>
  <si>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</si>
  <si>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</si>
  <si>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</si>
  <si>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</si>
  <si>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</si>
  <si>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</si>
  <si>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</si>
  <si>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</si>
  <si>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</si>
  <si>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</si>
  <si>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</si>
  <si>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</si>
  <si>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</si>
  <si>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</si>
  <si>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</si>
  <si>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</si>
  <si>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</si>
  <si>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</si>
  <si>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</si>
  <si>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</si>
  <si>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</si>
  <si>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</si>
  <si>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</si>
  <si>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</si>
  <si>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</si>
  <si>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</si>
  <si>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</si>
  <si>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</si>
  <si>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</si>
  <si>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</si>
  <si>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</si>
  <si>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</si>
  <si>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</si>
  <si>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</si>
  <si>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</si>
  <si>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</si>
  <si>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</si>
  <si>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</si>
  <si>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</si>
  <si>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</si>
  <si>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</si>
  <si>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</si>
  <si>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</si>
  <si>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</si>
  <si>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</si>
  <si>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</si>
  <si>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</si>
  <si>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</si>
  <si>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</si>
  <si>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</si>
  <si>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</si>
  <si>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</si>
  <si>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</si>
  <si>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</si>
  <si>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</si>
  <si>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</si>
  <si>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</si>
  <si>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</si>
  <si>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</si>
  <si>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</si>
  <si>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</si>
  <si>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</si>
  <si>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</si>
  <si>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</si>
  <si>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</si>
  <si>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</si>
  <si>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</si>
  <si>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</si>
  <si>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</si>
  <si>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</si>
  <si>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</si>
  <si>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</si>
  <si>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</si>
  <si>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</si>
  <si>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</si>
  <si>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</si>
  <si>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</si>
  <si>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</si>
  <si>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</si>
  <si>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</si>
  <si>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</si>
  <si>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</si>
  <si>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</si>
  <si>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</si>
  <si>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</si>
  <si>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</si>
  <si>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</si>
  <si>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</si>
  <si>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</si>
  <si>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</si>
  <si>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</si>
  <si>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</si>
  <si>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</si>
  <si>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</si>
  <si>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</si>
  <si>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</si>
  <si>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</si>
  <si>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</si>
  <si>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</si>
  <si>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</si>
  <si>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</si>
  <si>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</si>
  <si>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</si>
  <si>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</si>
  <si>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</si>
  <si>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</si>
  <si>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</si>
  <si>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</si>
  <si>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</si>
  <si>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</si>
  <si>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</si>
  <si>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</si>
  <si>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</si>
  <si>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</si>
  <si>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</si>
  <si>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</si>
  <si>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</si>
  <si>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</si>
  <si>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</si>
  <si>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</si>
  <si>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</si>
  <si>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</si>
  <si>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</si>
  <si>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</si>
  <si>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</si>
  <si>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</si>
  <si>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</si>
  <si>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</si>
  <si>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</si>
  <si>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</si>
  <si>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</si>
  <si>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</si>
  <si>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</si>
  <si>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</si>
  <si>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</si>
  <si>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</si>
  <si>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</si>
  <si>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</si>
  <si>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</si>
  <si>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</si>
  <si>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</si>
  <si>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</si>
  <si>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</si>
  <si>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</si>
  <si>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189</t>
  </si>
  <si>
    <t>0063</t>
  </si>
  <si>
    <t xml:space="preserve">OFFICE SPECIALIST 2 </t>
  </si>
  <si>
    <t>0001</t>
  </si>
  <si>
    <t>00</t>
  </si>
  <si>
    <t>GVLA</t>
  </si>
  <si>
    <t>001</t>
  </si>
  <si>
    <t>01239</t>
  </si>
  <si>
    <t>G</t>
  </si>
  <si>
    <t>F</t>
  </si>
  <si>
    <t>CR</t>
  </si>
  <si>
    <t>VAUGHAN, LYNN M.</t>
  </si>
  <si>
    <t>VAUGHAN</t>
  </si>
  <si>
    <t>LYNN</t>
  </si>
  <si>
    <t>M</t>
  </si>
  <si>
    <t xml:space="preserve">HG   </t>
  </si>
  <si>
    <t>H</t>
  </si>
  <si>
    <t>FS</t>
  </si>
  <si>
    <t>E</t>
  </si>
  <si>
    <t>N</t>
  </si>
  <si>
    <t>Y</t>
  </si>
  <si>
    <t xml:space="preserve">    </t>
  </si>
  <si>
    <t>0052</t>
  </si>
  <si>
    <t xml:space="preserve">BUSINESS ENTRP PROG </t>
  </si>
  <si>
    <t>09465</t>
  </si>
  <si>
    <t>I</t>
  </si>
  <si>
    <t>RUZOVICH, ARIANAH S.</t>
  </si>
  <si>
    <t>RUZOVICH</t>
  </si>
  <si>
    <t>ARIANAH</t>
  </si>
  <si>
    <t>SUSAN</t>
  </si>
  <si>
    <t xml:space="preserve">HI   </t>
  </si>
  <si>
    <t>0051</t>
  </si>
  <si>
    <t>09475</t>
  </si>
  <si>
    <t>K</t>
  </si>
  <si>
    <t>BRESINA, COREY S.</t>
  </si>
  <si>
    <t>BRESINA</t>
  </si>
  <si>
    <t>COREY</t>
  </si>
  <si>
    <t>S</t>
  </si>
  <si>
    <t xml:space="preserve">HK   </t>
  </si>
  <si>
    <t>9912</t>
  </si>
  <si>
    <t>IDAHO COMM FOR THE B</t>
  </si>
  <si>
    <t>55151</t>
  </si>
  <si>
    <t>NG</t>
  </si>
  <si>
    <t>0049</t>
  </si>
  <si>
    <t>INSTRUCTOR F/T BL, S</t>
  </si>
  <si>
    <t>09470</t>
  </si>
  <si>
    <t>WORTHINGTON, GAYLE A.</t>
  </si>
  <si>
    <t>WORTHINGTON</t>
  </si>
  <si>
    <t>GAYLE</t>
  </si>
  <si>
    <t>A</t>
  </si>
  <si>
    <t>0048</t>
  </si>
  <si>
    <t>MILLS, APRIL L.</t>
  </si>
  <si>
    <t>MILLS</t>
  </si>
  <si>
    <t>APRIL</t>
  </si>
  <si>
    <t>LAYNE</t>
  </si>
  <si>
    <t>0047</t>
  </si>
  <si>
    <t>002</t>
  </si>
  <si>
    <t>FISH, JUSTIN L.</t>
  </si>
  <si>
    <t>FISH</t>
  </si>
  <si>
    <t>JUSTIN</t>
  </si>
  <si>
    <t>LAZELLE</t>
  </si>
  <si>
    <t>0046</t>
  </si>
  <si>
    <t>ASSESSMT/TRNG CTR PR</t>
  </si>
  <si>
    <t>09464</t>
  </si>
  <si>
    <t>L</t>
  </si>
  <si>
    <t>METSKER, GREG W.</t>
  </si>
  <si>
    <t>METSKER</t>
  </si>
  <si>
    <t>GREG</t>
  </si>
  <si>
    <t>W</t>
  </si>
  <si>
    <t xml:space="preserve">HL   </t>
  </si>
  <si>
    <t>0045</t>
  </si>
  <si>
    <t>BAKER, LISA L.</t>
  </si>
  <si>
    <t>BAKER</t>
  </si>
  <si>
    <t>LISA</t>
  </si>
  <si>
    <t>0044</t>
  </si>
  <si>
    <t>MADSEN, JASON E.</t>
  </si>
  <si>
    <t>MADSEN</t>
  </si>
  <si>
    <t>JASON</t>
  </si>
  <si>
    <t>0043</t>
  </si>
  <si>
    <t>JERNIGAN, KEVIN H.</t>
  </si>
  <si>
    <t>JERNIGAN</t>
  </si>
  <si>
    <t>KEVIN</t>
  </si>
  <si>
    <t>HOWARD</t>
  </si>
  <si>
    <t>0042</t>
  </si>
  <si>
    <t>HERTLING, MELANIE C.</t>
  </si>
  <si>
    <t>HERTLING</t>
  </si>
  <si>
    <t>MELANIE</t>
  </si>
  <si>
    <t>CHRISTINE</t>
  </si>
  <si>
    <t>0041</t>
  </si>
  <si>
    <t>IT OPS &amp; SUPPORT ANA</t>
  </si>
  <si>
    <t>01709</t>
  </si>
  <si>
    <t>DUKE, THOMAS C.</t>
  </si>
  <si>
    <t>DUKE</t>
  </si>
  <si>
    <t>THOMAS</t>
  </si>
  <si>
    <t>CASEY</t>
  </si>
  <si>
    <t>0039</t>
  </si>
  <si>
    <t>COUNSELOR F/T BLIND,</t>
  </si>
  <si>
    <t>09478</t>
  </si>
  <si>
    <t>HYDE, SHANE R.</t>
  </si>
  <si>
    <t>HYDE</t>
  </si>
  <si>
    <t>SHANE</t>
  </si>
  <si>
    <t>ROBERT</t>
  </si>
  <si>
    <t>0038</t>
  </si>
  <si>
    <t>STALLINGS, JACALYN C.</t>
  </si>
  <si>
    <t>STALLINGS</t>
  </si>
  <si>
    <t>JACALYN</t>
  </si>
  <si>
    <t>CARRIE</t>
  </si>
  <si>
    <t>0037</t>
  </si>
  <si>
    <t>WEEKS, JEFFREY M.</t>
  </si>
  <si>
    <t>WEEKS</t>
  </si>
  <si>
    <t>JEFFREY</t>
  </si>
  <si>
    <t>MICHAEL</t>
  </si>
  <si>
    <t>0036</t>
  </si>
  <si>
    <t>UPTON, LINDA S.</t>
  </si>
  <si>
    <t>UPTON</t>
  </si>
  <si>
    <t>LINDA</t>
  </si>
  <si>
    <t>0031</t>
  </si>
  <si>
    <t>GIL, ROCIO E.</t>
  </si>
  <si>
    <t>GIL</t>
  </si>
  <si>
    <t>ROCIO</t>
  </si>
  <si>
    <t>ELIZABETH</t>
  </si>
  <si>
    <t>0030</t>
  </si>
  <si>
    <t xml:space="preserve">VOC REHAB ASST      </t>
  </si>
  <si>
    <t>01108</t>
  </si>
  <si>
    <t>CARLIN, LAURIE K.</t>
  </si>
  <si>
    <t>CARLIN</t>
  </si>
  <si>
    <t>LAURIE</t>
  </si>
  <si>
    <t>KAY</t>
  </si>
  <si>
    <t>0029</t>
  </si>
  <si>
    <t xml:space="preserve">RECEPTIONIST        </t>
  </si>
  <si>
    <t>01125</t>
  </si>
  <si>
    <t>ESTUDILLO, KRISTINE R.</t>
  </si>
  <si>
    <t>ESTUDILLO</t>
  </si>
  <si>
    <t>KRISTINE</t>
  </si>
  <si>
    <t>RENEE</t>
  </si>
  <si>
    <t xml:space="preserve">HE   </t>
  </si>
  <si>
    <t>0028</t>
  </si>
  <si>
    <t xml:space="preserve">HOOVER, AMELIA </t>
  </si>
  <si>
    <t>HOOVER</t>
  </si>
  <si>
    <t>AMELIA</t>
  </si>
  <si>
    <t xml:space="preserve">              </t>
  </si>
  <si>
    <t>0027</t>
  </si>
  <si>
    <t>RISTAU, DAWN A.</t>
  </si>
  <si>
    <t>RISTAU</t>
  </si>
  <si>
    <t>DAWN</t>
  </si>
  <si>
    <t>ANN</t>
  </si>
  <si>
    <t>0026</t>
  </si>
  <si>
    <t>JACKSON, MERRILEE R.</t>
  </si>
  <si>
    <t>JACKSON</t>
  </si>
  <si>
    <t>MERRILEE</t>
  </si>
  <si>
    <t>RENA</t>
  </si>
  <si>
    <t>0025</t>
  </si>
  <si>
    <t>SCOTT, DAWN M.</t>
  </si>
  <si>
    <t>SCOTT</t>
  </si>
  <si>
    <t>3303</t>
  </si>
  <si>
    <t xml:space="preserve">PROJECT COORDINATOR </t>
  </si>
  <si>
    <t>02913</t>
  </si>
  <si>
    <t>STEVEN, ALISON C.</t>
  </si>
  <si>
    <t>STEVEN</t>
  </si>
  <si>
    <t>ALISON</t>
  </si>
  <si>
    <t>CAROLE</t>
  </si>
  <si>
    <t>0023</t>
  </si>
  <si>
    <t>HENRIE, LARRY L.</t>
  </si>
  <si>
    <t>HENRIE</t>
  </si>
  <si>
    <t>LARRY</t>
  </si>
  <si>
    <t>LEE</t>
  </si>
  <si>
    <t>3302</t>
  </si>
  <si>
    <t>HOOVER, EARL E.</t>
  </si>
  <si>
    <t>EARL</t>
  </si>
  <si>
    <t>EUGENE</t>
  </si>
  <si>
    <t>0017</t>
  </si>
  <si>
    <t>PEARL, SCOTT G.</t>
  </si>
  <si>
    <t>PEARL</t>
  </si>
  <si>
    <t>GREGORY</t>
  </si>
  <si>
    <t>3301</t>
  </si>
  <si>
    <t>QUEEN, MATTHEW S.</t>
  </si>
  <si>
    <t>QUEEN</t>
  </si>
  <si>
    <t>MATTHEW</t>
  </si>
  <si>
    <t>0015</t>
  </si>
  <si>
    <t xml:space="preserve">STOREKEEPER         </t>
  </si>
  <si>
    <t>01546</t>
  </si>
  <si>
    <t>KROENKE, COLLENE M.</t>
  </si>
  <si>
    <t>KROENKE</t>
  </si>
  <si>
    <t>COLLENE</t>
  </si>
  <si>
    <t>MAY</t>
  </si>
  <si>
    <t xml:space="preserve">HH   </t>
  </si>
  <si>
    <t>PT</t>
  </si>
  <si>
    <t>0091</t>
  </si>
  <si>
    <t>INDEPENDENT LVNG PRG</t>
  </si>
  <si>
    <t>09476</t>
  </si>
  <si>
    <t>ACHABAL, STEVEN J.</t>
  </si>
  <si>
    <t>ACHABAL</t>
  </si>
  <si>
    <t>J</t>
  </si>
  <si>
    <t xml:space="preserve">HM   </t>
  </si>
  <si>
    <t>0014</t>
  </si>
  <si>
    <t>SOLIS, DEEANN P.</t>
  </si>
  <si>
    <t>SOLIS</t>
  </si>
  <si>
    <t>DEEANN</t>
  </si>
  <si>
    <t>PARKER</t>
  </si>
  <si>
    <t>0085</t>
  </si>
  <si>
    <t>KELLER, ALICIA R.</t>
  </si>
  <si>
    <t>KELLER</t>
  </si>
  <si>
    <t>ALICIA</t>
  </si>
  <si>
    <t>R</t>
  </si>
  <si>
    <t>0013</t>
  </si>
  <si>
    <t>MANAGEMENT ASSISTANT</t>
  </si>
  <si>
    <t>05272</t>
  </si>
  <si>
    <t>WEIR, BAILIE D.</t>
  </si>
  <si>
    <t>WEIR</t>
  </si>
  <si>
    <t>BAILIE</t>
  </si>
  <si>
    <t>DIAHN</t>
  </si>
  <si>
    <t xml:space="preserve">HJ   </t>
  </si>
  <si>
    <t>0083</t>
  </si>
  <si>
    <t>JOHNSTON, CHRIS S.</t>
  </si>
  <si>
    <t>JOHNSTON</t>
  </si>
  <si>
    <t>CHRIS</t>
  </si>
  <si>
    <t>0012</t>
  </si>
  <si>
    <t>FINANCIAL TECHNICIAN</t>
  </si>
  <si>
    <t>04248</t>
  </si>
  <si>
    <t>MONTZ, ANDREW B.</t>
  </si>
  <si>
    <t>MONTZ</t>
  </si>
  <si>
    <t>ANDREW</t>
  </si>
  <si>
    <t>B</t>
  </si>
  <si>
    <t>0082</t>
  </si>
  <si>
    <t>DIXON, JENNINE M.</t>
  </si>
  <si>
    <t>DIXON</t>
  </si>
  <si>
    <t>JENNINE</t>
  </si>
  <si>
    <t>MARIE</t>
  </si>
  <si>
    <t>0003</t>
  </si>
  <si>
    <t xml:space="preserve">REHAB SVCS CHIEF    </t>
  </si>
  <si>
    <t>09460</t>
  </si>
  <si>
    <t>WALSH, MICHAEL A.</t>
  </si>
  <si>
    <t>WALSH</t>
  </si>
  <si>
    <t xml:space="preserve">HN   </t>
  </si>
  <si>
    <t>0081</t>
  </si>
  <si>
    <t xml:space="preserve">LERH, DIANA </t>
  </si>
  <si>
    <t>LERH</t>
  </si>
  <si>
    <t>DIANA</t>
  </si>
  <si>
    <t>0002</t>
  </si>
  <si>
    <t xml:space="preserve">ADMINISTRATIVE SVCS </t>
  </si>
  <si>
    <t>02914</t>
  </si>
  <si>
    <t>AYRES, TRINA M.</t>
  </si>
  <si>
    <t>AYRES</t>
  </si>
  <si>
    <t>TRINA</t>
  </si>
  <si>
    <t>0077</t>
  </si>
  <si>
    <t>04249</t>
  </si>
  <si>
    <t>KRINKE, ROSANA S.</t>
  </si>
  <si>
    <t>KRINKE</t>
  </si>
  <si>
    <t>ROSANA</t>
  </si>
  <si>
    <t xml:space="preserve">ADMINISTRATOR       </t>
  </si>
  <si>
    <t>29000</t>
  </si>
  <si>
    <t>NR</t>
  </si>
  <si>
    <t>CUNNINGHAM, ELIZABETH J.</t>
  </si>
  <si>
    <t>CUNNINGHAM</t>
  </si>
  <si>
    <t>00000</t>
  </si>
  <si>
    <t>0348</t>
  </si>
  <si>
    <t>0426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</si>
  <si>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</si>
  <si>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</si>
  <si>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</si>
  <si>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</si>
  <si>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</si>
  <si>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</si>
  <si>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</si>
  <si>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</si>
  <si>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</si>
  <si>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</si>
  <si>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</si>
  <si>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</si>
  <si>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</si>
  <si>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</si>
  <si>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</si>
  <si>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</si>
  <si>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</si>
  <si>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</si>
  <si>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</si>
  <si>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</si>
  <si>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</si>
  <si>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</si>
  <si>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</si>
  <si>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</si>
  <si>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</si>
  <si>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</si>
  <si>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</si>
  <si>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</si>
  <si>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</si>
  <si>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</si>
  <si>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</si>
  <si>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</si>
  <si>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</si>
  <si>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</si>
  <si>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</si>
  <si>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</si>
  <si>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</si>
  <si>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</si>
  <si>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</si>
  <si>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</si>
  <si>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</si>
  <si>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</si>
  <si>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</si>
  <si>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</si>
  <si>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</si>
  <si>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</si>
  <si>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</si>
  <si>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</si>
  <si>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GVLA 0001-00</t>
  </si>
  <si>
    <t>GVLA 0001</t>
  </si>
  <si>
    <t>Office of the Governor</t>
  </si>
  <si>
    <t>Commission for the Blind and Visually Impaired</t>
  </si>
  <si>
    <t>General</t>
  </si>
  <si>
    <t>0001-00</t>
  </si>
  <si>
    <t>10000</t>
  </si>
  <si>
    <t>Commission for the Blind and Visually Impaired, General   GVLA-0001-00</t>
  </si>
  <si>
    <t>GVLA 0348-00</t>
  </si>
  <si>
    <t>GVLA 0348</t>
  </si>
  <si>
    <t>Federal Grant</t>
  </si>
  <si>
    <t>0348-00</t>
  </si>
  <si>
    <t>34800</t>
  </si>
  <si>
    <t>Commission for the Blind and Visually Impaired, Federal Grant   GVLA-0348-00</t>
  </si>
  <si>
    <t>GVLA 0426-00</t>
  </si>
  <si>
    <t>GVLA 0426</t>
  </si>
  <si>
    <t>Adaptive Aids and Appliances</t>
  </si>
  <si>
    <t>0426-00</t>
  </si>
  <si>
    <t>42600</t>
  </si>
  <si>
    <t>Commission for the Blind and Visually Impaired, Adaptive Aids and Appliances   GVLA-0426-00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</si>
  <si>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</si>
  <si>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</si>
  <si>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</si>
  <si>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</si>
  <si>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</si>
  <si>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</si>
  <si>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</si>
  <si>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</si>
  <si>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Fund-0348</t>
  </si>
  <si>
    <t>Fund-0426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</si>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</sst>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4"/>
      <tableStyleElement type="headerRow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C6CEC-3FBF-459B-8666-7417F9126C91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469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189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470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473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470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471</v>
      </c>
      <c r="J5" s="471"/>
      <c r="K5" s="471"/>
      <c r="L5" s="470"/>
      <c r="M5" s="352" t="s">
        <v>115</v>
      </c>
      <c r="N5" s="32" t="s">
        <v>472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"&amp;'GVLA|0001-00'!FiscalYear-1&amp;" SALARY"</f>
        <v>FY 2022 SALARY</v>
      </c>
      <c r="H8" s="50" t="str">
        <f>"FY "&amp;'GVLA|0001-00'!FiscalYear-1&amp;" HEALTH BENEFITS"</f>
        <v>FY 2022 HEALTH BENEFITS</v>
      </c>
      <c r="I8" s="50" t="str">
        <f>"FY "&amp;'GVLA|0001-00'!FiscalYear-1&amp;" VAR BENEFITS"</f>
        <v>FY 2022 VAR BENEFITS</v>
      </c>
      <c r="J8" s="50" t="str">
        <f>"FY "&amp;'GVLA|0001-00'!FiscalYear-1&amp;" TOTAL"</f>
        <v>FY 2022 TOTAL</v>
      </c>
      <c r="K8" s="50" t="str">
        <f>"FY "&amp;'GVLA|0001-00'!FiscalYear&amp;" SALARY CHANGE"</f>
        <v>FY 2023 SALARY CHANGE</v>
      </c>
      <c r="L8" s="50" t="str">
        <f>"FY "&amp;'GVLA|0001-00'!FiscalYear&amp;" CHG HEALTH BENEFITS"</f>
        <v>FY 2023 CHG HEALTH BENEFITS</v>
      </c>
      <c r="M8" s="50" t="str">
        <f>"FY "&amp;'GVLA|0001-00'!FiscalYear&amp;"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[0]!GVLA000100col_INC_FTI</f>
        <v>10.897500000000001</v>
      </c>
      <c r="G10" s="218">
        <f>[0]!GVLA000100col_FTI_SALARY_PERM</f>
        <v>507622.69999999995</v>
      </c>
      <c r="H10" s="218">
        <f>[0]!GVLA000100col_HEALTH_PERM</f>
        <v>128499.5</v>
      </c>
      <c r="I10" s="218">
        <f>[0]!GVLA000100col_TOT_VB_PERM</f>
        <v>110633.8293515</v>
      </c>
      <c r="J10" s="219">
        <f>SUM(G10:I10)</f>
        <v>746756.02935149998</v>
      </c>
      <c r="K10" s="219">
        <f>[0]!GVLA000100col_1_27TH_PP</f>
        <v>0</v>
      </c>
      <c r="L10" s="218">
        <f>[0]!GVLA000100col_HEALTH_PERM_CHG</f>
        <v>0</v>
      </c>
      <c r="M10" s="218">
        <f>[0]!GVLA000100col_TOT_VB_PERM_CHG</f>
        <v>-2436.5889600000005</v>
      </c>
      <c r="N10" s="218">
        <f>SUM(L10:M10)</f>
        <v>-2436.5889600000005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5100</v>
      </c>
      <c r="AB10" s="335">
        <f>ROUND(PermVarBen*CECPerm+(CECPerm*PermVarBenChg),-2)</f>
        <v>1100</v>
      </c>
      <c r="AC10" s="335">
        <f>SUM(AA10:AB10)</f>
        <v>6200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[0]!GVLA000100col_Group_Salary</f>
        <v>700</v>
      </c>
      <c r="H11" s="218">
        <v>0</v>
      </c>
      <c r="I11" s="218">
        <f>[0]!GVLA000100col_Group_Ben</f>
        <v>101.46</v>
      </c>
      <c r="J11" s="219">
        <f>SUM(G11:I11)</f>
        <v>801.46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[0]!GVLA000100col_TOTAL_ELECT_PCN_FTI</f>
        <v>0</v>
      </c>
      <c r="G12" s="218">
        <f>[0]!GVLA000100col_FTI_SALARY_ELECT</f>
        <v>0</v>
      </c>
      <c r="H12" s="218">
        <f>[0]!GVLA000100col_HEALTH_ELECT</f>
        <v>0</v>
      </c>
      <c r="I12" s="218">
        <f>[0]!GVLA000100col_TOT_VB_ELECT</f>
        <v>0</v>
      </c>
      <c r="J12" s="219">
        <f>SUM(G12:I12)</f>
        <v>0</v>
      </c>
      <c r="K12" s="268"/>
      <c r="L12" s="218">
        <f>[0]!GVLA000100col_HEALTH_ELECT_CHG</f>
        <v>0</v>
      </c>
      <c r="M12" s="218">
        <f>[0]!GVLA000100col_TOT_VB_ELECT_CHG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10.897500000000001</v>
      </c>
      <c r="G13" s="221">
        <f>SUM(G10:G12)</f>
        <v>508322.69999999995</v>
      </c>
      <c r="H13" s="221">
        <f>SUM(H10:H12)</f>
        <v>128499.5</v>
      </c>
      <c r="I13" s="221">
        <f>SUM(I10:I12)</f>
        <v>110735.2893515</v>
      </c>
      <c r="J13" s="219">
        <f>SUM(G13:I13)</f>
        <v>747557.48935149994</v>
      </c>
      <c r="K13" s="268"/>
      <c r="L13" s="219">
        <f>SUM(L10:L12)</f>
        <v>0</v>
      </c>
      <c r="M13" s="219">
        <f>SUM(M10:M12)</f>
        <v>-2436.5889600000005</v>
      </c>
      <c r="N13" s="219">
        <f>SUM(N10:N12)</f>
        <v>-2436.5889600000005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"&amp;'GVLA|0001-00'!FiscalYear-1</f>
        <v>FY 2022</v>
      </c>
      <c r="D15" s="158" t="s">
        <v>31</v>
      </c>
      <c r="E15" s="355">
        <v>852800</v>
      </c>
      <c r="F15" s="55">
        <v>10</v>
      </c>
      <c r="G15" s="223">
        <f>IF(OrigApprop=0,0,(G13/$J$13)*OrigApprop)</f>
        <v>579885.2994383825</v>
      </c>
      <c r="H15" s="223">
        <f>IF(OrigApprop=0,0,(H13/$J$13)*OrigApprop)</f>
        <v>146589.89463815492</v>
      </c>
      <c r="I15" s="223">
        <f>IF(G15=0,0,(I13/$J$13)*OrigApprop)</f>
        <v>126324.80592346263</v>
      </c>
      <c r="J15" s="223">
        <f>SUM(G15:I15)</f>
        <v>852800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-0.89750000000000085</v>
      </c>
      <c r="G16" s="162">
        <f>G15-G13</f>
        <v>71562.599438382545</v>
      </c>
      <c r="H16" s="162">
        <f>H15-H13</f>
        <v>18090.394638154918</v>
      </c>
      <c r="I16" s="162">
        <f>I15-I13</f>
        <v>15589.516571962624</v>
      </c>
      <c r="J16" s="162">
        <f>J15-J13</f>
        <v>105242.51064850006</v>
      </c>
      <c r="K16" s="269"/>
      <c r="L16" s="56" t="str">
        <f>IF('GVLA|0001-00'!OrigApprop=0,"ERROR! Enter Original Appropriation amount in DU 3.00!","Calculated "&amp;IF('GVLA|0001-00'!AdjustedTotal&gt;0,"overfunding ","underfunding ")&amp;"is "&amp;TEXT('GVLA|0001-00'!AdjustedTotal/'GVLA|0001-00'!AppropTotal,"#.0%;(#.0% );0% ;")&amp;" of Original Appropriation")</f>
        <v>Calculated overfunding is 12.3%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10.897500000000001</v>
      </c>
      <c r="G38" s="191">
        <f>SUMIF($E10:$E35,$E38,$G10:$G35)</f>
        <v>507622.69999999995</v>
      </c>
      <c r="H38" s="192">
        <f>SUMIF($E10:$E35,$E38,$H10:$H35)</f>
        <v>128499.5</v>
      </c>
      <c r="I38" s="192">
        <f>SUMIF($E10:$E35,$E38,$I10:$I35)</f>
        <v>110633.8293515</v>
      </c>
      <c r="J38" s="192">
        <f>SUM(G38:I38)</f>
        <v>746756.02935149998</v>
      </c>
      <c r="K38" s="166"/>
      <c r="L38" s="191">
        <f>SUMIF($E10:$E35,$E38,$L10:$L35)</f>
        <v>0</v>
      </c>
      <c r="M38" s="192">
        <f>SUMIF($E10:$E35,$E38,$M10:$M35)</f>
        <v>-2436.5889600000005</v>
      </c>
      <c r="N38" s="192">
        <f>SUM(L38:M38)</f>
        <v>-2436.5889600000005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5100</v>
      </c>
      <c r="AB38" s="338">
        <f>ROUND((AdjPermVB*CECPerm+AdjPermVBBY*CECPerm),-2)</f>
        <v>1100</v>
      </c>
      <c r="AC38" s="338">
        <f>SUM(AA38:AB38)</f>
        <v>6200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700</v>
      </c>
      <c r="H39" s="152">
        <f>SUMIF($E10:$E35,$E39,$H10:$H35)</f>
        <v>0</v>
      </c>
      <c r="I39" s="152">
        <f>SUMIF($E10:$E35,$E39,$I10:$I35)</f>
        <v>101.46</v>
      </c>
      <c r="J39" s="152">
        <f>SUM(G39:I39)</f>
        <v>801.46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10.897500000000001</v>
      </c>
      <c r="G41" s="195">
        <f>SUM($G$38:$G$40)</f>
        <v>508322.69999999995</v>
      </c>
      <c r="H41" s="162">
        <f>SUM($H$38:$H$40)</f>
        <v>128499.5</v>
      </c>
      <c r="I41" s="162">
        <f>SUM($I$38:$I$40)</f>
        <v>110735.2893515</v>
      </c>
      <c r="J41" s="162">
        <f>SUM($J$38:$J$40)</f>
        <v>747557.48935149994</v>
      </c>
      <c r="K41" s="259"/>
      <c r="L41" s="195">
        <f>SUM($L$38:$L$40)</f>
        <v>0</v>
      </c>
      <c r="M41" s="162">
        <f>SUM($M$38:$M$40)</f>
        <v>-2436.5889600000005</v>
      </c>
      <c r="N41" s="162">
        <f>SUM(L41:M41)</f>
        <v>-2436.5889600000005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-0.9</v>
      </c>
      <c r="G43" s="206">
        <f>ROUND(G51-G41,-2)</f>
        <v>71600</v>
      </c>
      <c r="H43" s="159">
        <f>ROUND(H51-H41,-2)</f>
        <v>18100</v>
      </c>
      <c r="I43" s="159">
        <f>ROUND(I51-I41,-2)</f>
        <v>15600</v>
      </c>
      <c r="J43" s="159">
        <f>SUM(G43:I43)</f>
        <v>105300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12.3%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-0.9</v>
      </c>
      <c r="G44" s="206">
        <f>ROUND(G60-G41,-2)</f>
        <v>71600</v>
      </c>
      <c r="H44" s="159">
        <f>ROUND(H60-H41,-2)</f>
        <v>18100</v>
      </c>
      <c r="I44" s="159">
        <f>ROUND(I60-I41,-2)</f>
        <v>15600</v>
      </c>
      <c r="J44" s="159">
        <f>SUM(G44:I44)</f>
        <v>105300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12.3%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-0.9</v>
      </c>
      <c r="G45" s="206">
        <f>ROUND(G67-G41-G63,-2)</f>
        <v>71600</v>
      </c>
      <c r="H45" s="206">
        <f>ROUND(H67-H41-H63,-2)</f>
        <v>18100</v>
      </c>
      <c r="I45" s="206">
        <f>ROUND(I67-I41-I63,-2)</f>
        <v>15600</v>
      </c>
      <c r="J45" s="159">
        <f>SUM(G45:I45)</f>
        <v>105300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12.3%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852800</v>
      </c>
      <c r="F51" s="272">
        <f>AppropFTP</f>
        <v>10</v>
      </c>
      <c r="G51" s="274">
        <f>IF(E51=0,0,(G41/$J$41)*$E$51)</f>
        <v>579885.2994383825</v>
      </c>
      <c r="H51" s="274">
        <f>IF(E51=0,0,(H41/$J$41)*$E$51)</f>
        <v>146589.89463815492</v>
      </c>
      <c r="I51" s="275">
        <f>IF(E51=0,0,(I41/$J$41)*$E$51)</f>
        <v>126324.80592346263</v>
      </c>
      <c r="J51" s="90">
        <f>SUM(G51:I51)</f>
        <v>852800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10</v>
      </c>
      <c r="G52" s="79">
        <f>ROUND(G51,-2)</f>
        <v>579900</v>
      </c>
      <c r="H52" s="79">
        <f>ROUND(H51,-2)</f>
        <v>146600</v>
      </c>
      <c r="I52" s="266">
        <f>ROUND(I51,-2)</f>
        <v>126300</v>
      </c>
      <c r="J52" s="80">
        <f>ROUND(J51,-2)</f>
        <v>852800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10</v>
      </c>
      <c r="G56" s="80">
        <f>SUM(G52:G55)</f>
        <v>579900</v>
      </c>
      <c r="H56" s="80">
        <f>SUM(H52:H55)</f>
        <v>146600</v>
      </c>
      <c r="I56" s="260">
        <f>SUM(I52:I55)</f>
        <v>126300</v>
      </c>
      <c r="J56" s="80">
        <f>SUM(J52:J55)</f>
        <v>852800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10</v>
      </c>
      <c r="G60" s="80">
        <f>SUM(G56:G59)</f>
        <v>579900</v>
      </c>
      <c r="H60" s="80">
        <f>SUM(H56:H59)</f>
        <v>146600</v>
      </c>
      <c r="I60" s="260">
        <f>SUM(I56:I59)</f>
        <v>126300</v>
      </c>
      <c r="J60" s="80">
        <f>SUM(J56:J59)</f>
        <v>852800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10</v>
      </c>
      <c r="G67" s="80">
        <f>SUM(G60:G64)</f>
        <v>579900</v>
      </c>
      <c r="H67" s="80">
        <f>SUM(H60:H64)</f>
        <v>146600</v>
      </c>
      <c r="I67" s="80">
        <f>SUM(I60:I64)</f>
        <v>126300</v>
      </c>
      <c r="J67" s="80">
        <f>SUM(J60:J64)</f>
        <v>852800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-2400</v>
      </c>
      <c r="J69" s="287">
        <f>SUM(G69:I69)</f>
        <v>-2400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5100</v>
      </c>
      <c r="H72" s="287"/>
      <c r="I72" s="287">
        <f>ROUND(($G72*PermVBBY+$G72*Retire1BY),-2)</f>
        <v>1100</v>
      </c>
      <c r="J72" s="113">
        <f>SUM(G72:I72)</f>
        <v>6200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10</v>
      </c>
      <c r="G75" s="80">
        <f>SUM(G67:G74)</f>
        <v>585000</v>
      </c>
      <c r="H75" s="80">
        <f>SUM(H67:H74)</f>
        <v>146600</v>
      </c>
      <c r="I75" s="80">
        <f>SUM(I67:I74)</f>
        <v>125000</v>
      </c>
      <c r="J75" s="80">
        <f>SUM(J67:K74)</f>
        <v>856600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10</v>
      </c>
      <c r="G80" s="80">
        <f>SUM(G75:G79)</f>
        <v>585000</v>
      </c>
      <c r="H80" s="80">
        <f>SUM(H75:H79)</f>
        <v>146600</v>
      </c>
      <c r="I80" s="80">
        <f>SUM(I75:I79)</f>
        <v>125000</v>
      </c>
      <c r="J80" s="80">
        <f>SUM(J75:J79)</f>
        <v>856600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2" priority="5">
      <formula>$J$44&lt;0</formula>
    </cfRule>
  </conditionalFormatting>
  <conditionalFormatting sqref="K43">
    <cfRule type="expression" dxfId="21" priority="4">
      <formula>$J$43&lt;0</formula>
    </cfRule>
  </conditionalFormatting>
  <conditionalFormatting sqref="L16">
    <cfRule type="expression" dxfId="20" priority="3">
      <formula>$J$16&lt;0</formula>
    </cfRule>
  </conditionalFormatting>
  <conditionalFormatting sqref="K45">
    <cfRule type="expression" dxfId="19" priority="2">
      <formula>$J$44&lt;0</formula>
    </cfRule>
  </conditionalFormatting>
  <conditionalFormatting sqref="K43:N45">
    <cfRule type="containsText" dxfId="18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CE7DCF-0FD8-4F47-AAB8-FE519F09459F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5CE03-AE20-491A-896A-71A06FCD0D5A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469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189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470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479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470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477</v>
      </c>
      <c r="J5" s="471"/>
      <c r="K5" s="471"/>
      <c r="L5" s="470"/>
      <c r="M5" s="352" t="s">
        <v>115</v>
      </c>
      <c r="N5" s="32" t="s">
        <v>478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"&amp;'GVLA|0348-00'!FiscalYear-1&amp;" SALARY"</f>
        <v>FY 2022 SALARY</v>
      </c>
      <c r="H8" s="50" t="str">
        <f>"FY "&amp;'GVLA|0348-00'!FiscalYear-1&amp;" HEALTH BENEFITS"</f>
        <v>FY 2022 HEALTH BENEFITS</v>
      </c>
      <c r="I8" s="50" t="str">
        <f>"FY "&amp;'GVLA|0348-00'!FiscalYear-1&amp;" VAR BENEFITS"</f>
        <v>FY 2022 VAR BENEFITS</v>
      </c>
      <c r="J8" s="50" t="str">
        <f>"FY "&amp;'GVLA|0348-00'!FiscalYear-1&amp;" TOTAL"</f>
        <v>FY 2022 TOTAL</v>
      </c>
      <c r="K8" s="50" t="str">
        <f>"FY "&amp;'GVLA|0348-00'!FiscalYear&amp;" SALARY CHANGE"</f>
        <v>FY 2023 SALARY CHANGE</v>
      </c>
      <c r="L8" s="50" t="str">
        <f>"FY "&amp;'GVLA|0348-00'!FiscalYear&amp;" CHG HEALTH BENEFITS"</f>
        <v>FY 2023 CHG HEALTH BENEFITS</v>
      </c>
      <c r="M8" s="50" t="str">
        <f>"FY "&amp;'GVLA|0348-00'!FiscalYear&amp;"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[0]!GVLA034800col_INC_FTI</f>
        <v>29.5</v>
      </c>
      <c r="G10" s="218">
        <f>[0]!GVLA034800col_FTI_SALARY_PERM</f>
        <v>1619020</v>
      </c>
      <c r="H10" s="218">
        <f>[0]!GVLA034800col_HEALTH_PERM</f>
        <v>343675</v>
      </c>
      <c r="I10" s="218">
        <f>[0]!GVLA034800col_TOT_VB_PERM</f>
        <v>351763.60902800004</v>
      </c>
      <c r="J10" s="219">
        <f>SUM(G10:I10)</f>
        <v>2314458.6090279999</v>
      </c>
      <c r="K10" s="219">
        <f>[0]!GVLA034800col_1_27TH_PP</f>
        <v>0</v>
      </c>
      <c r="L10" s="218">
        <f>[0]!GVLA034800col_HEALTH_PERM_CHG</f>
        <v>0</v>
      </c>
      <c r="M10" s="218">
        <f>[0]!GVLA034800col_TOT_VB_PERM_CHG</f>
        <v>-7257.7211200000002</v>
      </c>
      <c r="N10" s="218">
        <f>SUM(L10:M10)</f>
        <v>-7257.7211200000002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16200</v>
      </c>
      <c r="AB10" s="335">
        <f>ROUND(PermVarBen*CECPerm+(CECPerm*PermVarBenChg),-2)</f>
        <v>3400</v>
      </c>
      <c r="AC10" s="335">
        <f>SUM(AA10:AB10)</f>
        <v>19600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[0]!GVLA034800col_Group_Salary</f>
        <v>200</v>
      </c>
      <c r="H11" s="218">
        <v>0</v>
      </c>
      <c r="I11" s="218">
        <f>[0]!GVLA034800col_Group_Ben</f>
        <v>27.29</v>
      </c>
      <c r="J11" s="219">
        <f>SUM(G11:I11)</f>
        <v>227.29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[0]!GVLA034800col_TOTAL_ELECT_PCN_FTI</f>
        <v>0</v>
      </c>
      <c r="G12" s="218">
        <f>[0]!GVLA034800col_FTI_SALARY_ELECT</f>
        <v>0</v>
      </c>
      <c r="H12" s="218">
        <f>[0]!GVLA034800col_HEALTH_ELECT</f>
        <v>0</v>
      </c>
      <c r="I12" s="218">
        <f>[0]!GVLA034800col_TOT_VB_ELECT</f>
        <v>0</v>
      </c>
      <c r="J12" s="219">
        <f>SUM(G12:I12)</f>
        <v>0</v>
      </c>
      <c r="K12" s="268"/>
      <c r="L12" s="218">
        <f>[0]!GVLA034800col_HEALTH_ELECT_CHG</f>
        <v>0</v>
      </c>
      <c r="M12" s="218">
        <f>[0]!GVLA034800col_TOT_VB_ELECT_CHG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29.5</v>
      </c>
      <c r="G13" s="221">
        <f>SUM(G10:G12)</f>
        <v>1619220</v>
      </c>
      <c r="H13" s="221">
        <f>SUM(H10:H12)</f>
        <v>343675</v>
      </c>
      <c r="I13" s="221">
        <f>SUM(I10:I12)</f>
        <v>351790.89902800001</v>
      </c>
      <c r="J13" s="219">
        <f>SUM(G13:I13)</f>
        <v>2314685.899028</v>
      </c>
      <c r="K13" s="268"/>
      <c r="L13" s="219">
        <f>SUM(L10:L12)</f>
        <v>0</v>
      </c>
      <c r="M13" s="219">
        <f>SUM(M10:M12)</f>
        <v>-7257.7211200000002</v>
      </c>
      <c r="N13" s="219">
        <f>SUM(N10:N12)</f>
        <v>-7257.7211200000002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"&amp;'GVLA|0348-00'!FiscalYear-1</f>
        <v>FY 2022</v>
      </c>
      <c r="D15" s="158" t="s">
        <v>31</v>
      </c>
      <c r="E15" s="355">
        <v>2244600</v>
      </c>
      <c r="F15" s="55">
        <v>30.75</v>
      </c>
      <c r="G15" s="223">
        <f>IF(OrigApprop=0,0,(G13/$J$13)*OrigApprop)</f>
        <v>1570191.9701183762</v>
      </c>
      <c r="H15" s="223">
        <f>IF(OrigApprop=0,0,(H13/$J$13)*OrigApprop)</f>
        <v>333268.93524686759</v>
      </c>
      <c r="I15" s="223">
        <f>IF(G15=0,0,(I13/$J$13)*OrigApprop)</f>
        <v>341139.09463475633</v>
      </c>
      <c r="J15" s="223">
        <f>SUM(G15:I15)</f>
        <v>2244600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1.25</v>
      </c>
      <c r="G16" s="162">
        <f>G15-G13</f>
        <v>-49028.029881623806</v>
      </c>
      <c r="H16" s="162">
        <f>H15-H13</f>
        <v>-10406.064753132407</v>
      </c>
      <c r="I16" s="162">
        <f>I15-I13</f>
        <v>-10651.804393243685</v>
      </c>
      <c r="J16" s="162">
        <f>J15-J13</f>
        <v>-70085.899027999956</v>
      </c>
      <c r="K16" s="269"/>
      <c r="L16" s="56" t="str">
        <f>IF('GVLA|0348-00'!OrigApprop=0,"ERROR! Enter Original Appropriation amount in DU 3.00!","Calculated "&amp;IF('GVLA|0348-00'!AdjustedTotal&gt;0,"overfunding ","underfunding ")&amp;"is "&amp;TEXT('GVLA|0348-00'!AdjustedTotal/'GVLA|0348-00'!AppropTotal,"#.0%;(#.0% );0% ;")&amp;" of Original Appropriation")</f>
        <v>Calculated underfunding is (3.1%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29.5</v>
      </c>
      <c r="G38" s="191">
        <f>SUMIF($E10:$E35,$E38,$G10:$G35)</f>
        <v>1619020</v>
      </c>
      <c r="H38" s="192">
        <f>SUMIF($E10:$E35,$E38,$H10:$H35)</f>
        <v>343675</v>
      </c>
      <c r="I38" s="192">
        <f>SUMIF($E10:$E35,$E38,$I10:$I35)</f>
        <v>351763.60902800004</v>
      </c>
      <c r="J38" s="192">
        <f>SUM(G38:I38)</f>
        <v>2314458.6090279999</v>
      </c>
      <c r="K38" s="166"/>
      <c r="L38" s="191">
        <f>SUMIF($E10:$E35,$E38,$L10:$L35)</f>
        <v>0</v>
      </c>
      <c r="M38" s="192">
        <f>SUMIF($E10:$E35,$E38,$M10:$M35)</f>
        <v>-7257.7211200000002</v>
      </c>
      <c r="N38" s="192">
        <f>SUM(L38:M38)</f>
        <v>-7257.7211200000002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16200</v>
      </c>
      <c r="AB38" s="338">
        <f>ROUND((AdjPermVB*CECPerm+AdjPermVBBY*CECPerm),-2)</f>
        <v>3400</v>
      </c>
      <c r="AC38" s="338">
        <f>SUM(AA38:AB38)</f>
        <v>19600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200</v>
      </c>
      <c r="H39" s="152">
        <f>SUMIF($E10:$E35,$E39,$H10:$H35)</f>
        <v>0</v>
      </c>
      <c r="I39" s="152">
        <f>SUMIF($E10:$E35,$E39,$I10:$I35)</f>
        <v>27.29</v>
      </c>
      <c r="J39" s="152">
        <f>SUM(G39:I39)</f>
        <v>227.29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29.5</v>
      </c>
      <c r="G41" s="195">
        <f>SUM($G$38:$G$40)</f>
        <v>1619220</v>
      </c>
      <c r="H41" s="162">
        <f>SUM($H$38:$H$40)</f>
        <v>343675</v>
      </c>
      <c r="I41" s="162">
        <f>SUM($I$38:$I$40)</f>
        <v>351790.89902800001</v>
      </c>
      <c r="J41" s="162">
        <f>SUM($J$38:$J$40)</f>
        <v>2314685.899028</v>
      </c>
      <c r="K41" s="259"/>
      <c r="L41" s="195">
        <f>SUM($L$38:$L$40)</f>
        <v>0</v>
      </c>
      <c r="M41" s="162">
        <f>SUM($M$38:$M$40)</f>
        <v>-7257.7211200000002</v>
      </c>
      <c r="N41" s="162">
        <f>SUM(L41:M41)</f>
        <v>-7257.7211200000002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1.25</v>
      </c>
      <c r="G43" s="206">
        <f>ROUND(G51-G41,-2)</f>
        <v>-49000</v>
      </c>
      <c r="H43" s="159">
        <f>ROUND(H51-H41,-2)</f>
        <v>-10400</v>
      </c>
      <c r="I43" s="159">
        <f>ROUND(I51-I41,-2)</f>
        <v>-10700</v>
      </c>
      <c r="J43" s="159">
        <f>SUM(G43:I43)</f>
        <v>-70100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underfunding is (3.1% )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1.25</v>
      </c>
      <c r="G44" s="206">
        <f>ROUND(G60-G41,-2)</f>
        <v>-49000</v>
      </c>
      <c r="H44" s="159">
        <f>ROUND(H60-H41,-2)</f>
        <v>-10400</v>
      </c>
      <c r="I44" s="159">
        <f>ROUND(I60-I41,-2)</f>
        <v>-10700</v>
      </c>
      <c r="J44" s="159">
        <f>SUM(G44:I44)</f>
        <v>-70100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underfunding is (3.1% )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1.25</v>
      </c>
      <c r="G45" s="206">
        <f>ROUND(G67-G41-G63,-2)</f>
        <v>-49000</v>
      </c>
      <c r="H45" s="206">
        <f>ROUND(H67-H41-H63,-2)</f>
        <v>-10400</v>
      </c>
      <c r="I45" s="206">
        <f>ROUND(I67-I41-I63,-2)</f>
        <v>-10700</v>
      </c>
      <c r="J45" s="159">
        <f>SUM(G45:I45)</f>
        <v>-70100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underfunding is (3.1% )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2244600</v>
      </c>
      <c r="F51" s="272">
        <f>AppropFTP</f>
        <v>30.75</v>
      </c>
      <c r="G51" s="274">
        <f>IF(E51=0,0,(G41/$J$41)*$E$51)</f>
        <v>1570191.9701183762</v>
      </c>
      <c r="H51" s="274">
        <f>IF(E51=0,0,(H41/$J$41)*$E$51)</f>
        <v>333268.93524686759</v>
      </c>
      <c r="I51" s="275">
        <f>IF(E51=0,0,(I41/$J$41)*$E$51)</f>
        <v>341139.09463475633</v>
      </c>
      <c r="J51" s="90">
        <f>SUM(G51:I51)</f>
        <v>2244600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30.75</v>
      </c>
      <c r="G52" s="79">
        <f>ROUND(G51,-2)</f>
        <v>1570200</v>
      </c>
      <c r="H52" s="79">
        <f>ROUND(H51,-2)</f>
        <v>333300</v>
      </c>
      <c r="I52" s="266">
        <f>ROUND(I51,-2)</f>
        <v>341100</v>
      </c>
      <c r="J52" s="80">
        <f>ROUND(J51,-2)</f>
        <v>2244600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30.75</v>
      </c>
      <c r="G56" s="80">
        <f>SUM(G52:G55)</f>
        <v>1570200</v>
      </c>
      <c r="H56" s="80">
        <f>SUM(H52:H55)</f>
        <v>333300</v>
      </c>
      <c r="I56" s="260">
        <f>SUM(I52:I55)</f>
        <v>341100</v>
      </c>
      <c r="J56" s="80">
        <f>SUM(J52:J55)</f>
        <v>2244600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30.75</v>
      </c>
      <c r="G60" s="80">
        <f>SUM(G56:G59)</f>
        <v>1570200</v>
      </c>
      <c r="H60" s="80">
        <f>SUM(H56:H59)</f>
        <v>333300</v>
      </c>
      <c r="I60" s="260">
        <f>SUM(I56:I59)</f>
        <v>341100</v>
      </c>
      <c r="J60" s="80">
        <f>SUM(J56:J59)</f>
        <v>2244600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30.75</v>
      </c>
      <c r="G67" s="80">
        <f>SUM(G60:G64)</f>
        <v>1570200</v>
      </c>
      <c r="H67" s="80">
        <f>SUM(H60:H64)</f>
        <v>333300</v>
      </c>
      <c r="I67" s="80">
        <f>SUM(I60:I64)</f>
        <v>341100</v>
      </c>
      <c r="J67" s="80">
        <f>SUM(J60:J64)</f>
        <v>2244600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-7300</v>
      </c>
      <c r="J69" s="287">
        <f>SUM(G69:I69)</f>
        <v>-7300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16200</v>
      </c>
      <c r="H72" s="287"/>
      <c r="I72" s="287">
        <f>ROUND(($G72*PermVBBY+$G72*Retire1BY),-2)</f>
        <v>3500</v>
      </c>
      <c r="J72" s="113">
        <f>SUM(G72:I72)</f>
        <v>19700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30.75</v>
      </c>
      <c r="G75" s="80">
        <f>SUM(G67:G74)</f>
        <v>1586400</v>
      </c>
      <c r="H75" s="80">
        <f>SUM(H67:H74)</f>
        <v>333300</v>
      </c>
      <c r="I75" s="80">
        <f>SUM(I67:I74)</f>
        <v>337300</v>
      </c>
      <c r="J75" s="80">
        <f>SUM(J67:K74)</f>
        <v>2257000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30.75</v>
      </c>
      <c r="G80" s="80">
        <f>SUM(G75:G79)</f>
        <v>1586400</v>
      </c>
      <c r="H80" s="80">
        <f>SUM(H75:H79)</f>
        <v>333300</v>
      </c>
      <c r="I80" s="80">
        <f>SUM(I75:I79)</f>
        <v>337300</v>
      </c>
      <c r="J80" s="80">
        <f>SUM(J75:J79)</f>
        <v>2257000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7" priority="5">
      <formula>$J$44&lt;0</formula>
    </cfRule>
  </conditionalFormatting>
  <conditionalFormatting sqref="K43">
    <cfRule type="expression" dxfId="16" priority="4">
      <formula>$J$43&lt;0</formula>
    </cfRule>
  </conditionalFormatting>
  <conditionalFormatting sqref="L16">
    <cfRule type="expression" dxfId="15" priority="3">
      <formula>$J$16&lt;0</formula>
    </cfRule>
  </conditionalFormatting>
  <conditionalFormatting sqref="K45">
    <cfRule type="expression" dxfId="14" priority="2">
      <formula>$J$44&lt;0</formula>
    </cfRule>
  </conditionalFormatting>
  <conditionalFormatting sqref="K43:N45">
    <cfRule type="containsText" dxfId="13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57A594-E005-4EBF-B8A8-0C1E106CAA13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25A0-4E3C-4159-B71A-C22D47FDC207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469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189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470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485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470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483</v>
      </c>
      <c r="J5" s="471"/>
      <c r="K5" s="471"/>
      <c r="L5" s="470"/>
      <c r="M5" s="352" t="s">
        <v>115</v>
      </c>
      <c r="N5" s="32" t="s">
        <v>484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"&amp;'GVLA|0426-00'!FiscalYear-1&amp;" SALARY"</f>
        <v>FY 2022 SALARY</v>
      </c>
      <c r="H8" s="50" t="str">
        <f>"FY "&amp;'GVLA|0426-00'!FiscalYear-1&amp;" HEALTH BENEFITS"</f>
        <v>FY 2022 HEALTH BENEFITS</v>
      </c>
      <c r="I8" s="50" t="str">
        <f>"FY "&amp;'GVLA|0426-00'!FiscalYear-1&amp;" VAR BENEFITS"</f>
        <v>FY 2022 VAR BENEFITS</v>
      </c>
      <c r="J8" s="50" t="str">
        <f>"FY "&amp;'GVLA|0426-00'!FiscalYear-1&amp;" TOTAL"</f>
        <v>FY 2022 TOTAL</v>
      </c>
      <c r="K8" s="50" t="str">
        <f>"FY "&amp;'GVLA|0426-00'!FiscalYear&amp;" SALARY CHANGE"</f>
        <v>FY 2023 SALARY CHANGE</v>
      </c>
      <c r="L8" s="50" t="str">
        <f>"FY "&amp;'GVLA|0426-00'!FiscalYear&amp;" CHG HEALTH BENEFITS"</f>
        <v>FY 2023 CHG HEALTH BENEFITS</v>
      </c>
      <c r="M8" s="50" t="str">
        <f>"FY "&amp;'GVLA|0426-00'!FiscalYear&amp;"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[0]!GVLA042600col_INC_FTI</f>
        <v>0.35249999999999998</v>
      </c>
      <c r="G10" s="218">
        <f>[0]!GVLA042600col_FTI_SALARY_PERM</f>
        <v>13380.9</v>
      </c>
      <c r="H10" s="218">
        <f>[0]!GVLA042600col_HEALTH_PERM</f>
        <v>5475.5</v>
      </c>
      <c r="I10" s="218">
        <f>[0]!GVLA042600col_TOT_VB_PERM</f>
        <v>2916.3002504999999</v>
      </c>
      <c r="J10" s="219">
        <f>SUM(G10:I10)</f>
        <v>21772.700250500002</v>
      </c>
      <c r="K10" s="219">
        <f>[0]!GVLA042600col_1_27TH_PP</f>
        <v>0</v>
      </c>
      <c r="L10" s="218">
        <f>[0]!GVLA042600col_HEALTH_PERM_CHG</f>
        <v>0</v>
      </c>
      <c r="M10" s="218">
        <f>[0]!GVLA042600col_TOT_VB_PERM_CHG</f>
        <v>-64.228319999999997</v>
      </c>
      <c r="N10" s="218">
        <f>SUM(L10:M10)</f>
        <v>-64.228319999999997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100</v>
      </c>
      <c r="AB10" s="335">
        <f>ROUND(PermVarBen*CECPerm+(CECPerm*PermVarBenChg),-2)</f>
        <v>0</v>
      </c>
      <c r="AC10" s="335">
        <f>SUM(AA10:AB10)</f>
        <v>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[0]!GVLA042600col_Group_Salary</f>
        <v>0</v>
      </c>
      <c r="H11" s="218">
        <v>0</v>
      </c>
      <c r="I11" s="218">
        <f>[0]!GVLA042600col_Group_Ben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[0]!GVLA042600col_TOTAL_ELECT_PCN_FTI</f>
        <v>0</v>
      </c>
      <c r="G12" s="218">
        <f>[0]!GVLA042600col_FTI_SALARY_ELECT</f>
        <v>0</v>
      </c>
      <c r="H12" s="218">
        <f>[0]!GVLA042600col_HEALTH_ELECT</f>
        <v>0</v>
      </c>
      <c r="I12" s="218">
        <f>[0]!GVLA042600col_TOT_VB_ELECT</f>
        <v>0</v>
      </c>
      <c r="J12" s="219">
        <f>SUM(G12:I12)</f>
        <v>0</v>
      </c>
      <c r="K12" s="268"/>
      <c r="L12" s="218">
        <f>[0]!GVLA042600col_HEALTH_ELECT_CHG</f>
        <v>0</v>
      </c>
      <c r="M12" s="218">
        <f>[0]!GVLA042600col_TOT_VB_ELECT_CHG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0.35249999999999998</v>
      </c>
      <c r="G13" s="221">
        <f>SUM(G10:G12)</f>
        <v>13380.9</v>
      </c>
      <c r="H13" s="221">
        <f>SUM(H10:H12)</f>
        <v>5475.5</v>
      </c>
      <c r="I13" s="221">
        <f>SUM(I10:I12)</f>
        <v>2916.3002504999999</v>
      </c>
      <c r="J13" s="219">
        <f>SUM(G13:I13)</f>
        <v>21772.700250500002</v>
      </c>
      <c r="K13" s="268"/>
      <c r="L13" s="219">
        <f>SUM(L10:L12)</f>
        <v>0</v>
      </c>
      <c r="M13" s="219">
        <f>SUM(M10:M12)</f>
        <v>-64.228319999999997</v>
      </c>
      <c r="N13" s="219">
        <f>SUM(N10:N12)</f>
        <v>-64.228319999999997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"&amp;'GVLA|0426-00'!FiscalYear-1</f>
        <v>FY 2022</v>
      </c>
      <c r="D15" s="158" t="s">
        <v>31</v>
      </c>
      <c r="E15" s="355">
        <v>21600</v>
      </c>
      <c r="F15" s="55">
        <v>0.37</v>
      </c>
      <c r="G15" s="223">
        <f>IF(OrigApprop=0,0,(G13/$J$13)*OrigApprop)</f>
        <v>13274.763197705008</v>
      </c>
      <c r="H15" s="223">
        <f>IF(OrigApprop=0,0,(H13/$J$13)*OrigApprop)</f>
        <v>5432.0685371711743</v>
      </c>
      <c r="I15" s="223">
        <f>IF(G15=0,0,(I13/$J$13)*OrigApprop)</f>
        <v>2893.1682651238175</v>
      </c>
      <c r="J15" s="223">
        <f>SUM(G15:I15)</f>
        <v>21600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1.7500000000000016E-2</v>
      </c>
      <c r="G16" s="162">
        <f>G15-G13</f>
        <v>-106.13680229499187</v>
      </c>
      <c r="H16" s="162">
        <f>H15-H13</f>
        <v>-43.431462828825715</v>
      </c>
      <c r="I16" s="162">
        <f>I15-I13</f>
        <v>-23.131985376182456</v>
      </c>
      <c r="J16" s="162">
        <f>J15-J13</f>
        <v>-172.70025050000186</v>
      </c>
      <c r="K16" s="269"/>
      <c r="L16" s="56" t="str">
        <f>IF('GVLA|0426-00'!OrigApprop=0,"ERROR! Enter Original Appropriation amount in DU 3.00!","Calculated "&amp;IF('GVLA|0426-00'!AdjustedTotal&gt;0,"overfunding ","underfunding ")&amp;"is "&amp;TEXT('GVLA|0426-00'!AdjustedTotal/'GVLA|0426-00'!AppropTotal,"#.0%;(#.0% );0% ;")&amp;" of Original Appropriation")</f>
        <v>Calculated underfunding is (.8%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0.35249999999999998</v>
      </c>
      <c r="G38" s="191">
        <f>SUMIF($E10:$E35,$E38,$G10:$G35)</f>
        <v>13380.9</v>
      </c>
      <c r="H38" s="192">
        <f>SUMIF($E10:$E35,$E38,$H10:$H35)</f>
        <v>5475.5</v>
      </c>
      <c r="I38" s="192">
        <f>SUMIF($E10:$E35,$E38,$I10:$I35)</f>
        <v>2916.3002504999999</v>
      </c>
      <c r="J38" s="192">
        <f>SUM(G38:I38)</f>
        <v>21772.700250500002</v>
      </c>
      <c r="K38" s="166"/>
      <c r="L38" s="191">
        <f>SUMIF($E10:$E35,$E38,$L10:$L35)</f>
        <v>0</v>
      </c>
      <c r="M38" s="192">
        <f>SUMIF($E10:$E35,$E38,$M10:$M35)</f>
        <v>-64.228319999999997</v>
      </c>
      <c r="N38" s="192">
        <f>SUM(L38:M38)</f>
        <v>-64.228319999999997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100</v>
      </c>
      <c r="AB38" s="338">
        <f>ROUND((AdjPermVB*CECPerm+AdjPermVBBY*CECPerm),-2)</f>
        <v>0</v>
      </c>
      <c r="AC38" s="338">
        <f>SUM(AA38:AB38)</f>
        <v>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0.35249999999999998</v>
      </c>
      <c r="G41" s="195">
        <f>SUM($G$38:$G$40)</f>
        <v>13380.9</v>
      </c>
      <c r="H41" s="162">
        <f>SUM($H$38:$H$40)</f>
        <v>5475.5</v>
      </c>
      <c r="I41" s="162">
        <f>SUM($I$38:$I$40)</f>
        <v>2916.3002504999999</v>
      </c>
      <c r="J41" s="162">
        <f>SUM($J$38:$J$40)</f>
        <v>21772.700250500002</v>
      </c>
      <c r="K41" s="259"/>
      <c r="L41" s="195">
        <f>SUM($L$38:$L$40)</f>
        <v>0</v>
      </c>
      <c r="M41" s="162">
        <f>SUM($M$38:$M$40)</f>
        <v>-64.228319999999997</v>
      </c>
      <c r="N41" s="162">
        <f>SUM(L41:M41)</f>
        <v>-64.228319999999997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0.02</v>
      </c>
      <c r="G43" s="206">
        <f>ROUND(G51-G41,-2)</f>
        <v>-100</v>
      </c>
      <c r="H43" s="159">
        <f>ROUND(H51-H41,-2)</f>
        <v>0</v>
      </c>
      <c r="I43" s="159">
        <f>ROUND(I51-I41,-2)</f>
        <v>0</v>
      </c>
      <c r="J43" s="159">
        <f>SUM(G43:I43)</f>
        <v>-100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underfunding is (.5% )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0.02</v>
      </c>
      <c r="G44" s="206">
        <f>ROUND(G60-G41,-2)</f>
        <v>-100</v>
      </c>
      <c r="H44" s="159">
        <f>ROUND(H60-H41,-2)</f>
        <v>-100</v>
      </c>
      <c r="I44" s="159">
        <f>ROUND(I60-I41,-2)</f>
        <v>0</v>
      </c>
      <c r="J44" s="159">
        <f>SUM(G44:I44)</f>
        <v>-200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underfunding is (.9% )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0.02</v>
      </c>
      <c r="G45" s="206">
        <f>ROUND(G67-G41-G63,-2)</f>
        <v>-100</v>
      </c>
      <c r="H45" s="206">
        <f>ROUND(H67-H41-H63,-2)</f>
        <v>-100</v>
      </c>
      <c r="I45" s="206">
        <f>ROUND(I67-I41-I63,-2)</f>
        <v>0</v>
      </c>
      <c r="J45" s="159">
        <f>SUM(G45:I45)</f>
        <v>-200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underfunding is (.9% )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21600</v>
      </c>
      <c r="F51" s="272">
        <f>AppropFTP</f>
        <v>0.37</v>
      </c>
      <c r="G51" s="274">
        <f>IF(E51=0,0,(G41/$J$41)*$E$51)</f>
        <v>13274.763197705008</v>
      </c>
      <c r="H51" s="274">
        <f>IF(E51=0,0,(H41/$J$41)*$E$51)</f>
        <v>5432.0685371711743</v>
      </c>
      <c r="I51" s="275">
        <f>IF(E51=0,0,(I41/$J$41)*$E$51)</f>
        <v>2893.1682651238175</v>
      </c>
      <c r="J51" s="90">
        <f>SUM(G51:I51)</f>
        <v>21600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0.37</v>
      </c>
      <c r="G52" s="79">
        <f>ROUND(G51,-2)</f>
        <v>13300</v>
      </c>
      <c r="H52" s="79">
        <f>ROUND(H51,-2)</f>
        <v>5400</v>
      </c>
      <c r="I52" s="266">
        <f>ROUND(I51,-2)</f>
        <v>2900</v>
      </c>
      <c r="J52" s="80">
        <f>ROUND(J51,-2)</f>
        <v>21600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0.37</v>
      </c>
      <c r="G56" s="80">
        <f>SUM(G52:G55)</f>
        <v>13300</v>
      </c>
      <c r="H56" s="80">
        <f>SUM(H52:H55)</f>
        <v>5400</v>
      </c>
      <c r="I56" s="260">
        <f>SUM(I52:I55)</f>
        <v>2900</v>
      </c>
      <c r="J56" s="80">
        <f>SUM(J52:J55)</f>
        <v>21600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0.37</v>
      </c>
      <c r="G60" s="80">
        <f>SUM(G56:G59)</f>
        <v>13300</v>
      </c>
      <c r="H60" s="80">
        <f>SUM(H56:H59)</f>
        <v>5400</v>
      </c>
      <c r="I60" s="260">
        <f>SUM(I56:I59)</f>
        <v>2900</v>
      </c>
      <c r="J60" s="80">
        <f>SUM(J56:J59)</f>
        <v>21600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0.37</v>
      </c>
      <c r="G67" s="80">
        <f>SUM(G60:G64)</f>
        <v>13300</v>
      </c>
      <c r="H67" s="80">
        <f>SUM(H60:H64)</f>
        <v>5400</v>
      </c>
      <c r="I67" s="80">
        <f>SUM(I60:I64)</f>
        <v>2900</v>
      </c>
      <c r="J67" s="80">
        <f>SUM(J60:J64)</f>
        <v>21600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-100</v>
      </c>
      <c r="J69" s="287">
        <f>SUM(G69:I69)</f>
        <v>-100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100</v>
      </c>
      <c r="H72" s="287"/>
      <c r="I72" s="287">
        <f>ROUND(($G72*PermVBBY+$G72*Retire1BY),-2)</f>
        <v>0</v>
      </c>
      <c r="J72" s="113">
        <f>SUM(G72:I72)</f>
        <v>100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0.37</v>
      </c>
      <c r="G75" s="80">
        <f>SUM(G67:G74)</f>
        <v>13400</v>
      </c>
      <c r="H75" s="80">
        <f>SUM(H67:H74)</f>
        <v>5400</v>
      </c>
      <c r="I75" s="80">
        <f>SUM(I67:I74)</f>
        <v>2800</v>
      </c>
      <c r="J75" s="80">
        <f>SUM(J67:K74)</f>
        <v>21600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0.37</v>
      </c>
      <c r="G80" s="80">
        <f>SUM(G75:G79)</f>
        <v>13400</v>
      </c>
      <c r="H80" s="80">
        <f>SUM(H75:H79)</f>
        <v>5400</v>
      </c>
      <c r="I80" s="80">
        <f>SUM(I75:I79)</f>
        <v>2800</v>
      </c>
      <c r="J80" s="80">
        <f>SUM(J75:J79)</f>
        <v>21600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2" priority="5">
      <formula>$J$44&lt;0</formula>
    </cfRule>
  </conditionalFormatting>
  <conditionalFormatting sqref="K43">
    <cfRule type="expression" dxfId="11" priority="4">
      <formula>$J$43&lt;0</formula>
    </cfRule>
  </conditionalFormatting>
  <conditionalFormatting sqref="L16">
    <cfRule type="expression" dxfId="10" priority="3">
      <formula>$J$16&lt;0</formula>
    </cfRule>
  </conditionalFormatting>
  <conditionalFormatting sqref="K45">
    <cfRule type="expression" dxfId="9" priority="2">
      <formula>$J$44&lt;0</formula>
    </cfRule>
  </conditionalFormatting>
  <conditionalFormatting sqref="K43:N45">
    <cfRule type="containsText" dxfId="8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BE52B7-05D2-4427-8F93-AE3E3151EE62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D117"/>
  <sheetViews>
    <sheetView workbookViewId="0">
      <pane xSplit="3" ySplit="1" topLeftCell="AM93" activePane="bottomRight" state="frozen"/>
      <selection pane="topRight" activeCell="D1" sqref="D1"/>
      <selection pane="bottomLeft" activeCell="A2" sqref="A2"/>
      <selection pane="bottomRight" activeCell="AS100" sqref="AS100:BA117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6" width="11.7109375" bestFit="1" customWidth="1"/>
    <col min="57" max="57" width="10.5703125" bestFit="1" customWidth="1"/>
    <col min="58" max="58" width="11.7109375" bestFit="1" customWidth="1"/>
    <col min="59" max="59" width="10.5703125" bestFit="1" customWidth="1"/>
    <col min="60" max="62" width="9.42578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8" width="11.7109375" bestFit="1" customWidth="1"/>
    <col min="69" max="69" width="10.5703125" bestFit="1" customWidth="1"/>
    <col min="70" max="70" width="11.7109375" bestFit="1" customWidth="1"/>
    <col min="71" max="71" width="10.5703125" bestFit="1" customWidth="1"/>
    <col min="72" max="72" width="9" bestFit="1" customWidth="1"/>
    <col min="73" max="74" width="9.42578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0.140625" bestFit="1" customWidth="1"/>
    <col min="85" max="87" width="9" bestFit="1" customWidth="1"/>
    <col min="88" max="88" width="10.140625" bestFit="1" customWidth="1"/>
    <col min="89" max="91" width="9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5" t="s">
        <v>419</v>
      </c>
      <c r="AT1" s="385" t="s">
        <v>420</v>
      </c>
      <c r="AU1" s="385" t="s">
        <v>421</v>
      </c>
      <c r="AV1" s="385" t="s">
        <v>422</v>
      </c>
      <c r="AW1" s="385" t="s">
        <v>423</v>
      </c>
      <c r="AX1" s="385" t="s">
        <v>424</v>
      </c>
      <c r="AY1" s="385" t="s">
        <v>425</v>
      </c>
      <c r="AZ1" s="385" t="s">
        <v>426</v>
      </c>
      <c r="BA1" s="387" t="s">
        <v>427</v>
      </c>
      <c r="BB1" s="388" t="s">
        <v>428</v>
      </c>
      <c r="BC1" s="388" t="s">
        <v>429</v>
      </c>
      <c r="BD1" s="388" t="s">
        <v>430</v>
      </c>
      <c r="BE1" s="388" t="s">
        <v>431</v>
      </c>
      <c r="BF1" s="388" t="s">
        <v>432</v>
      </c>
      <c r="BG1" s="388" t="s">
        <v>433</v>
      </c>
      <c r="BH1" s="388" t="s">
        <v>434</v>
      </c>
      <c r="BI1" s="388" t="s">
        <v>435</v>
      </c>
      <c r="BJ1" s="388" t="s">
        <v>436</v>
      </c>
      <c r="BK1" s="388" t="s">
        <v>437</v>
      </c>
      <c r="BL1" s="389" t="s">
        <v>438</v>
      </c>
      <c r="BM1" s="389" t="s">
        <v>439</v>
      </c>
      <c r="BN1" s="388" t="s">
        <v>440</v>
      </c>
      <c r="BO1" s="388" t="s">
        <v>441</v>
      </c>
      <c r="BP1" s="388" t="s">
        <v>442</v>
      </c>
      <c r="BQ1" s="388" t="s">
        <v>443</v>
      </c>
      <c r="BR1" s="388" t="s">
        <v>444</v>
      </c>
      <c r="BS1" s="388" t="s">
        <v>445</v>
      </c>
      <c r="BT1" s="388" t="s">
        <v>446</v>
      </c>
      <c r="BU1" s="388" t="s">
        <v>447</v>
      </c>
      <c r="BV1" s="388" t="s">
        <v>448</v>
      </c>
      <c r="BW1" s="388" t="s">
        <v>449</v>
      </c>
      <c r="BX1" s="389" t="s">
        <v>450</v>
      </c>
      <c r="BY1" s="389" t="s">
        <v>451</v>
      </c>
      <c r="BZ1" s="388" t="s">
        <v>452</v>
      </c>
      <c r="CA1" s="388" t="s">
        <v>453</v>
      </c>
      <c r="CB1" s="388" t="s">
        <v>454</v>
      </c>
      <c r="CC1" s="388" t="s">
        <v>455</v>
      </c>
      <c r="CD1" s="388" t="s">
        <v>456</v>
      </c>
      <c r="CE1" s="388" t="s">
        <v>457</v>
      </c>
      <c r="CF1" s="388" t="s">
        <v>458</v>
      </c>
      <c r="CG1" s="388" t="s">
        <v>459</v>
      </c>
      <c r="CH1" s="388" t="s">
        <v>460</v>
      </c>
      <c r="CI1" s="388" t="s">
        <v>461</v>
      </c>
      <c r="CJ1" s="389" t="s">
        <v>462</v>
      </c>
      <c r="CK1" s="389" t="s">
        <v>463</v>
      </c>
      <c r="CL1" s="390" t="s">
        <v>464</v>
      </c>
      <c r="CM1" s="390" t="s">
        <v>465</v>
      </c>
      <c r="CN1" s="390" t="s">
        <v>466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171</v>
      </c>
      <c r="N2" s="376" t="s">
        <v>172</v>
      </c>
      <c r="O2" s="379">
        <v>1</v>
      </c>
      <c r="P2" s="384">
        <v>1</v>
      </c>
      <c r="Q2" s="384">
        <v>1</v>
      </c>
      <c r="R2" s="380">
        <v>80</v>
      </c>
      <c r="S2" s="384">
        <v>1</v>
      </c>
      <c r="T2" s="380">
        <v>26388</v>
      </c>
      <c r="U2" s="380">
        <v>0</v>
      </c>
      <c r="V2" s="380">
        <v>17198.04</v>
      </c>
      <c r="W2" s="380">
        <v>36732.800000000003</v>
      </c>
      <c r="X2" s="380">
        <v>19655.88</v>
      </c>
      <c r="Y2" s="380">
        <v>36732.800000000003</v>
      </c>
      <c r="Z2" s="380">
        <v>19479.560000000001</v>
      </c>
      <c r="AA2" s="376" t="s">
        <v>173</v>
      </c>
      <c r="AB2" s="376" t="s">
        <v>174</v>
      </c>
      <c r="AC2" s="376" t="s">
        <v>175</v>
      </c>
      <c r="AD2" s="376" t="s">
        <v>176</v>
      </c>
      <c r="AE2" s="376" t="s">
        <v>169</v>
      </c>
      <c r="AF2" s="376" t="s">
        <v>177</v>
      </c>
      <c r="AG2" s="376" t="s">
        <v>178</v>
      </c>
      <c r="AH2" s="381">
        <v>17.66</v>
      </c>
      <c r="AI2" s="381">
        <v>12365.4</v>
      </c>
      <c r="AJ2" s="376" t="s">
        <v>179</v>
      </c>
      <c r="AK2" s="376" t="s">
        <v>180</v>
      </c>
      <c r="AL2" s="376" t="s">
        <v>181</v>
      </c>
      <c r="AM2" s="376" t="s">
        <v>182</v>
      </c>
      <c r="AN2" s="376" t="s">
        <v>68</v>
      </c>
      <c r="AO2" s="379">
        <v>80</v>
      </c>
      <c r="AP2" s="384">
        <v>1</v>
      </c>
      <c r="AQ2" s="384">
        <v>1</v>
      </c>
      <c r="AR2" s="382" t="s">
        <v>183</v>
      </c>
      <c r="AS2" s="386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6">
        <f>IF(AT2=0,"",IF(AND(AT2=1,M2="F",SUMIF(C2:C84,C2,AS2:AS84)&lt;=1),SUMIF(C2:C84,C2,AS2:AS84),IF(AND(AT2=1,M2="F",SUMIF(C2:C84,C2,AS2:AS84)&gt;1),1,"")))</f>
        <v>1</v>
      </c>
      <c r="AV2" s="386" t="str">
        <f>IF(AT2=0,"",IF(AND(AT2=3,M2="F",SUMIF(C2:C84,C2,AS2:AS84)&lt;=1),SUMIF(C2:C84,C2,AS2:AS84),IF(AND(AT2=3,M2="F",SUMIF(C2:C84,C2,AS2:AS84)&gt;1),1,"")))</f>
        <v/>
      </c>
      <c r="AW2" s="386">
        <f>SUMIF(C2:C84,C2,O2:O84)</f>
        <v>1</v>
      </c>
      <c r="AX2" s="386">
        <f>IF(AND(M2="F",AS2&lt;&gt;0),SUMIF(C2:C84,C2,W2:W84),0)</f>
        <v>36732.800000000003</v>
      </c>
      <c r="AY2" s="386">
        <f>IF(AT2=1,W2,"")</f>
        <v>36732.800000000003</v>
      </c>
      <c r="AZ2" s="386" t="str">
        <f>IF(AT2=3,W2,"")</f>
        <v/>
      </c>
      <c r="BA2" s="386">
        <f>IF(AT2=1,Y2-W2,0)</f>
        <v>0</v>
      </c>
      <c r="BB2" s="386">
        <f t="shared" ref="BB2:BB33" si="0">IF(AND(AT2=1,AK2="E",AU2&gt;=0.75,AW2=1),Health,IF(AND(AT2=1,AK2="E",AU2&gt;=0.75),Health*P2,IF(AND(AT2=1,AK2="E",AU2&gt;=0.5,AW2=1),PTHealth,IF(AND(AT2=1,AK2="E",AU2&gt;=0.5),PTHealth*P2,0))))</f>
        <v>11650</v>
      </c>
      <c r="BC2" s="386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6">
        <f t="shared" ref="BD2:BD33" si="2">IF(AND(AT2&lt;&gt;0,AX2&gt;=MAXSSDI),SSDI*MAXSSDI*P2,IF(AT2&lt;&gt;0,SSDI*W2,0))</f>
        <v>2277.4336000000003</v>
      </c>
      <c r="BE2" s="386">
        <f t="shared" ref="BE2:BE33" si="3">IF(AT2&lt;&gt;0,SSHI*W2,0)</f>
        <v>532.62560000000008</v>
      </c>
      <c r="BF2" s="386">
        <f t="shared" ref="BF2:BF33" si="4">IF(AND(AT2&lt;&gt;0,AN2&lt;&gt;"NE"),VLOOKUP(AN2,Retirement_Rates,3,FALSE)*W2,0)</f>
        <v>4385.8963200000007</v>
      </c>
      <c r="BG2" s="386">
        <f t="shared" ref="BG2:BG33" si="5">IF(AND(AT2&lt;&gt;0,AJ2&lt;&gt;"PF"),Life*W2,0)</f>
        <v>264.84348800000004</v>
      </c>
      <c r="BH2" s="386">
        <f t="shared" ref="BH2:BH33" si="6">IF(AND(AT2&lt;&gt;0,AM2="Y"),UI*W2,0)</f>
        <v>179.99072000000001</v>
      </c>
      <c r="BI2" s="386">
        <f t="shared" ref="BI2:BI33" si="7">IF(AND(AT2&lt;&gt;0,N2&lt;&gt;"NR"),DHR*W2,0)</f>
        <v>203.31604800000002</v>
      </c>
      <c r="BJ2" s="386">
        <f t="shared" ref="BJ2:BJ33" si="8">IF(AT2&lt;&gt;0,WC*W2,0)</f>
        <v>161.62432000000001</v>
      </c>
      <c r="BK2" s="386">
        <f t="shared" ref="BK2:BK33" si="9">IF(OR(AND(AT2&lt;&gt;0,AJ2&lt;&gt;"PF",AN2&lt;&gt;"NE",AG2&lt;&gt;"A"),AND(AL2="E",OR(AT2=1,AT2=3))),Sick*W2,0)</f>
        <v>0</v>
      </c>
      <c r="BL2" s="386">
        <f>IF(AT2=1,SUM(BD2:BK2),0)</f>
        <v>8005.7300960000011</v>
      </c>
      <c r="BM2" s="386">
        <f>IF(AT2=3,SUM(BD2:BK2),0)</f>
        <v>0</v>
      </c>
      <c r="BN2" s="386">
        <f t="shared" ref="BN2:BN33" si="10">IF(AND(AT2=1,AK2="E",AU2&gt;=0.75,AW2=1),HealthBY,IF(AND(AT2=1,AK2="E",AU2&gt;=0.75),HealthBY*P2,IF(AND(AT2=1,AK2="E",AU2&gt;=0.5,AW2=1),PTHealthBY,IF(AND(AT2=1,AK2="E",AU2&gt;=0.5),PTHealthBY*P2,0))))</f>
        <v>11650</v>
      </c>
      <c r="BO2" s="386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6">
        <f t="shared" ref="BP2:BP33" si="12">IF(AND(AT2&lt;&gt;0,(AX2+BA2)&gt;=MAXSSDIBY),SSDIBY*MAXSSDIBY*P2,IF(AT2&lt;&gt;0,SSDIBY*W2,0))</f>
        <v>2277.4336000000003</v>
      </c>
      <c r="BQ2" s="386">
        <f t="shared" ref="BQ2:BQ33" si="13">IF(AT2&lt;&gt;0,SSHIBY*W2,0)</f>
        <v>532.62560000000008</v>
      </c>
      <c r="BR2" s="386">
        <f t="shared" ref="BR2:BR33" si="14">IF(AND(AT2&lt;&gt;0,AN2&lt;&gt;"NE"),VLOOKUP(AN2,Retirement_Rates,4,FALSE)*W2,0)</f>
        <v>4385.8963200000007</v>
      </c>
      <c r="BS2" s="386">
        <f t="shared" ref="BS2:BS33" si="15">IF(AND(AT2&lt;&gt;0,AJ2&lt;&gt;"PF"),LifeBY*W2,0)</f>
        <v>264.84348800000004</v>
      </c>
      <c r="BT2" s="386">
        <f t="shared" ref="BT2:BT33" si="16">IF(AND(AT2&lt;&gt;0,AM2="Y"),UIBY*W2,0)</f>
        <v>0</v>
      </c>
      <c r="BU2" s="386">
        <f t="shared" ref="BU2:BU33" si="17">IF(AND(AT2&lt;&gt;0,N2&lt;&gt;"NR"),DHRBY*W2,0)</f>
        <v>203.31604800000002</v>
      </c>
      <c r="BV2" s="386">
        <f t="shared" ref="BV2:BV33" si="18">IF(AT2&lt;&gt;0,WCBY*W2,0)</f>
        <v>165.29759999999999</v>
      </c>
      <c r="BW2" s="386">
        <f t="shared" ref="BW2:BW33" si="19">IF(OR(AND(AT2&lt;&gt;0,AJ2&lt;&gt;"PF",AN2&lt;&gt;"NE",AG2&lt;&gt;"A"),AND(AL2="E",OR(AT2=1,AT2=3))),SickBY*W2,0)</f>
        <v>0</v>
      </c>
      <c r="BX2" s="386">
        <f>IF(AT2=1,SUM(BP2:BW2),0)</f>
        <v>7829.4126560000013</v>
      </c>
      <c r="BY2" s="386">
        <f>IF(AT2=3,SUM(BP2:BW2),0)</f>
        <v>0</v>
      </c>
      <c r="BZ2" s="386">
        <f>IF(AT2=1,BN2-BB2,0)</f>
        <v>0</v>
      </c>
      <c r="CA2" s="386">
        <f>IF(AT2=3,BO2-BC2,0)</f>
        <v>0</v>
      </c>
      <c r="CB2" s="386">
        <f>BP2-BD2</f>
        <v>0</v>
      </c>
      <c r="CC2" s="386">
        <f t="shared" ref="CC2:CC33" si="20">IF(AT2&lt;&gt;0,SSHICHG*Y2,0)</f>
        <v>0</v>
      </c>
      <c r="CD2" s="386">
        <f t="shared" ref="CD2:CD33" si="21">IF(AND(AT2&lt;&gt;0,AN2&lt;&gt;"NE"),VLOOKUP(AN2,Retirement_Rates,5,FALSE)*Y2,0)</f>
        <v>0</v>
      </c>
      <c r="CE2" s="386">
        <f t="shared" ref="CE2:CE33" si="22">IF(AND(AT2&lt;&gt;0,AJ2&lt;&gt;"PF"),LifeCHG*Y2,0)</f>
        <v>0</v>
      </c>
      <c r="CF2" s="386">
        <f t="shared" ref="CF2:CF33" si="23">IF(AND(AT2&lt;&gt;0,AM2="Y"),UICHG*Y2,0)</f>
        <v>-179.99072000000001</v>
      </c>
      <c r="CG2" s="386">
        <f t="shared" ref="CG2:CG33" si="24">IF(AND(AT2&lt;&gt;0,N2&lt;&gt;"NR"),DHRCHG*Y2,0)</f>
        <v>0</v>
      </c>
      <c r="CH2" s="386">
        <f t="shared" ref="CH2:CH33" si="25">IF(AT2&lt;&gt;0,WCCHG*Y2,0)</f>
        <v>3.6732799999999779</v>
      </c>
      <c r="CI2" s="386">
        <f t="shared" ref="CI2:CI33" si="26">IF(OR(AND(AT2&lt;&gt;0,AJ2&lt;&gt;"PF",AN2&lt;&gt;"NE",AG2&lt;&gt;"A"),AND(AL2="E",OR(AT2=1,AT2=3))),SickCHG*Y2,0)</f>
        <v>0</v>
      </c>
      <c r="CJ2" s="386">
        <f>IF(AT2=1,SUM(CB2:CI2),0)</f>
        <v>-176.31744000000003</v>
      </c>
      <c r="CK2" s="386" t="str">
        <f>IF(AT2=3,SUM(CB2:CI2),"")</f>
        <v/>
      </c>
      <c r="CL2" s="386" t="str">
        <f>IF(OR(N2="NG",AG2="D"),(T2+U2),"")</f>
        <v/>
      </c>
      <c r="CM2" s="386" t="str">
        <f>IF(OR(N2="NG",AG2="D"),V2,"")</f>
        <v/>
      </c>
      <c r="CN2" s="386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184</v>
      </c>
      <c r="D3" s="376" t="s">
        <v>185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186</v>
      </c>
      <c r="L3" s="376" t="s">
        <v>187</v>
      </c>
      <c r="M3" s="376" t="s">
        <v>171</v>
      </c>
      <c r="N3" s="376" t="s">
        <v>172</v>
      </c>
      <c r="O3" s="379">
        <v>1</v>
      </c>
      <c r="P3" s="384">
        <v>0</v>
      </c>
      <c r="Q3" s="384">
        <v>0</v>
      </c>
      <c r="R3" s="380">
        <v>80</v>
      </c>
      <c r="S3" s="384">
        <v>0</v>
      </c>
      <c r="T3" s="380">
        <v>2688</v>
      </c>
      <c r="U3" s="380">
        <v>0</v>
      </c>
      <c r="V3" s="380">
        <v>1546.78</v>
      </c>
      <c r="W3" s="380">
        <v>0</v>
      </c>
      <c r="X3" s="380">
        <v>0</v>
      </c>
      <c r="Y3" s="380">
        <v>0</v>
      </c>
      <c r="Z3" s="380">
        <v>0</v>
      </c>
      <c r="AA3" s="376" t="s">
        <v>188</v>
      </c>
      <c r="AB3" s="376" t="s">
        <v>189</v>
      </c>
      <c r="AC3" s="376" t="s">
        <v>190</v>
      </c>
      <c r="AD3" s="376" t="s">
        <v>191</v>
      </c>
      <c r="AE3" s="376" t="s">
        <v>186</v>
      </c>
      <c r="AF3" s="376" t="s">
        <v>192</v>
      </c>
      <c r="AG3" s="376" t="s">
        <v>178</v>
      </c>
      <c r="AH3" s="381">
        <v>17.72</v>
      </c>
      <c r="AI3" s="379">
        <v>4956</v>
      </c>
      <c r="AJ3" s="376" t="s">
        <v>179</v>
      </c>
      <c r="AK3" s="376" t="s">
        <v>180</v>
      </c>
      <c r="AL3" s="376" t="s">
        <v>181</v>
      </c>
      <c r="AM3" s="376" t="s">
        <v>182</v>
      </c>
      <c r="AN3" s="376" t="s">
        <v>68</v>
      </c>
      <c r="AO3" s="379">
        <v>80</v>
      </c>
      <c r="AP3" s="384">
        <v>1</v>
      </c>
      <c r="AQ3" s="384">
        <v>0</v>
      </c>
      <c r="AR3" s="382" t="s">
        <v>183</v>
      </c>
      <c r="AS3" s="386">
        <f t="shared" ref="AS3:AS66" si="27">IF(((AO3/80)*AP3*P3)&gt;1,AQ3,((AO3/80)*AP3*P3))</f>
        <v>0</v>
      </c>
      <c r="AT3">
        <f t="shared" ref="AT3:AT66" si="28">IF(AND(M3="F",N3&lt;&gt;"NG",AS3&lt;&gt;0,AND(AR3&lt;&gt;6,AR3&lt;&gt;36,AR3&lt;&gt;56),AG3&lt;&gt;"A",OR(AG3="H",AJ3="FS")),1,IF(AND(M3="F",N3&lt;&gt;"NG",AS3&lt;&gt;0,AG3="A"),3,0))</f>
        <v>0</v>
      </c>
      <c r="AU3" s="386" t="str">
        <f>IF(AT3=0,"",IF(AND(AT3=1,M3="F",SUMIF(C2:C84,C3,AS2:AS84)&lt;=1),SUMIF(C2:C84,C3,AS2:AS84),IF(AND(AT3=1,M3="F",SUMIF(C2:C84,C3,AS2:AS84)&gt;1),1,"")))</f>
        <v/>
      </c>
      <c r="AV3" s="386" t="str">
        <f>IF(AT3=0,"",IF(AND(AT3=3,M3="F",SUMIF(C2:C84,C3,AS2:AS84)&lt;=1),SUMIF(C2:C84,C3,AS2:AS84),IF(AND(AT3=3,M3="F",SUMIF(C2:C84,C3,AS2:AS84)&gt;1),1,"")))</f>
        <v/>
      </c>
      <c r="AW3" s="386">
        <f>SUMIF(C2:C84,C3,O2:O84)</f>
        <v>2</v>
      </c>
      <c r="AX3" s="386">
        <f>IF(AND(M3="F",AS3&lt;&gt;0),SUMIF(C2:C84,C3,W2:W84),0)</f>
        <v>0</v>
      </c>
      <c r="AY3" s="386" t="str">
        <f t="shared" ref="AY3:AY66" si="29">IF(AT3=1,W3,"")</f>
        <v/>
      </c>
      <c r="AZ3" s="386" t="str">
        <f t="shared" ref="AZ3:AZ66" si="30">IF(AT3=3,W3,"")</f>
        <v/>
      </c>
      <c r="BA3" s="386">
        <f t="shared" ref="BA3:BA66" si="31">IF(AT3=1,Y3-W3,0)</f>
        <v>0</v>
      </c>
      <c r="BB3" s="386">
        <f t="shared" si="0"/>
        <v>0</v>
      </c>
      <c r="BC3" s="386">
        <f t="shared" si="1"/>
        <v>0</v>
      </c>
      <c r="BD3" s="386">
        <f t="shared" si="2"/>
        <v>0</v>
      </c>
      <c r="BE3" s="386">
        <f t="shared" si="3"/>
        <v>0</v>
      </c>
      <c r="BF3" s="386">
        <f t="shared" si="4"/>
        <v>0</v>
      </c>
      <c r="BG3" s="386">
        <f t="shared" si="5"/>
        <v>0</v>
      </c>
      <c r="BH3" s="386">
        <f t="shared" si="6"/>
        <v>0</v>
      </c>
      <c r="BI3" s="386">
        <f t="shared" si="7"/>
        <v>0</v>
      </c>
      <c r="BJ3" s="386">
        <f t="shared" si="8"/>
        <v>0</v>
      </c>
      <c r="BK3" s="386">
        <f t="shared" si="9"/>
        <v>0</v>
      </c>
      <c r="BL3" s="386">
        <f t="shared" ref="BL3:BL66" si="32">IF(AT3=1,SUM(BD3:BK3),0)</f>
        <v>0</v>
      </c>
      <c r="BM3" s="386">
        <f t="shared" ref="BM3:BM66" si="33">IF(AT3=3,SUM(BD3:BK3),0)</f>
        <v>0</v>
      </c>
      <c r="BN3" s="386">
        <f t="shared" si="10"/>
        <v>0</v>
      </c>
      <c r="BO3" s="386">
        <f t="shared" si="11"/>
        <v>0</v>
      </c>
      <c r="BP3" s="386">
        <f t="shared" si="12"/>
        <v>0</v>
      </c>
      <c r="BQ3" s="386">
        <f t="shared" si="13"/>
        <v>0</v>
      </c>
      <c r="BR3" s="386">
        <f t="shared" si="14"/>
        <v>0</v>
      </c>
      <c r="BS3" s="386">
        <f t="shared" si="15"/>
        <v>0</v>
      </c>
      <c r="BT3" s="386">
        <f t="shared" si="16"/>
        <v>0</v>
      </c>
      <c r="BU3" s="386">
        <f t="shared" si="17"/>
        <v>0</v>
      </c>
      <c r="BV3" s="386">
        <f t="shared" si="18"/>
        <v>0</v>
      </c>
      <c r="BW3" s="386">
        <f t="shared" si="19"/>
        <v>0</v>
      </c>
      <c r="BX3" s="386">
        <f t="shared" ref="BX3:BX66" si="34">IF(AT3=1,SUM(BP3:BW3),0)</f>
        <v>0</v>
      </c>
      <c r="BY3" s="386">
        <f t="shared" ref="BY3:BY66" si="35">IF(AT3=3,SUM(BP3:BW3),0)</f>
        <v>0</v>
      </c>
      <c r="BZ3" s="386">
        <f t="shared" ref="BZ3:BZ66" si="36">IF(AT3=1,BN3-BB3,0)</f>
        <v>0</v>
      </c>
      <c r="CA3" s="386">
        <f t="shared" ref="CA3:CA66" si="37">IF(AT3=3,BO3-BC3,0)</f>
        <v>0</v>
      </c>
      <c r="CB3" s="386">
        <f t="shared" ref="CB3:CB66" si="38">BP3-BD3</f>
        <v>0</v>
      </c>
      <c r="CC3" s="386">
        <f t="shared" si="20"/>
        <v>0</v>
      </c>
      <c r="CD3" s="386">
        <f t="shared" si="21"/>
        <v>0</v>
      </c>
      <c r="CE3" s="386">
        <f t="shared" si="22"/>
        <v>0</v>
      </c>
      <c r="CF3" s="386">
        <f t="shared" si="23"/>
        <v>0</v>
      </c>
      <c r="CG3" s="386">
        <f t="shared" si="24"/>
        <v>0</v>
      </c>
      <c r="CH3" s="386">
        <f t="shared" si="25"/>
        <v>0</v>
      </c>
      <c r="CI3" s="386">
        <f t="shared" si="26"/>
        <v>0</v>
      </c>
      <c r="CJ3" s="386">
        <f t="shared" ref="CJ3:CJ66" si="39">IF(AT3=1,SUM(CB3:CI3),0)</f>
        <v>0</v>
      </c>
      <c r="CK3" s="386" t="str">
        <f t="shared" ref="CK3:CK66" si="40">IF(AT3=3,SUM(CB3:CI3),"")</f>
        <v/>
      </c>
      <c r="CL3" s="386" t="str">
        <f t="shared" ref="CL3:CL66" si="41">IF(OR(N3="NG",AG3="D"),(T3+U3),"")</f>
        <v/>
      </c>
      <c r="CM3" s="386" t="str">
        <f t="shared" ref="CM3:CM66" si="42">IF(OR(N3="NG",AG3="D"),V3,"")</f>
        <v/>
      </c>
      <c r="CN3" s="386" t="str">
        <f t="shared" ref="CN3:CN66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193</v>
      </c>
      <c r="D4" s="376" t="s">
        <v>185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194</v>
      </c>
      <c r="L4" s="376" t="s">
        <v>195</v>
      </c>
      <c r="M4" s="376" t="s">
        <v>171</v>
      </c>
      <c r="N4" s="376" t="s">
        <v>172</v>
      </c>
      <c r="O4" s="379">
        <v>1</v>
      </c>
      <c r="P4" s="384">
        <v>0</v>
      </c>
      <c r="Q4" s="384">
        <v>0</v>
      </c>
      <c r="R4" s="380">
        <v>80</v>
      </c>
      <c r="S4" s="384">
        <v>0</v>
      </c>
      <c r="T4" s="380">
        <v>4134.3999999999996</v>
      </c>
      <c r="U4" s="380">
        <v>0</v>
      </c>
      <c r="V4" s="380">
        <v>1835.38</v>
      </c>
      <c r="W4" s="380">
        <v>0</v>
      </c>
      <c r="X4" s="380">
        <v>0</v>
      </c>
      <c r="Y4" s="380">
        <v>0</v>
      </c>
      <c r="Z4" s="380">
        <v>0</v>
      </c>
      <c r="AA4" s="376" t="s">
        <v>196</v>
      </c>
      <c r="AB4" s="376" t="s">
        <v>197</v>
      </c>
      <c r="AC4" s="376" t="s">
        <v>198</v>
      </c>
      <c r="AD4" s="376" t="s">
        <v>199</v>
      </c>
      <c r="AE4" s="376" t="s">
        <v>194</v>
      </c>
      <c r="AF4" s="376" t="s">
        <v>200</v>
      </c>
      <c r="AG4" s="376" t="s">
        <v>178</v>
      </c>
      <c r="AH4" s="381">
        <v>27.2</v>
      </c>
      <c r="AI4" s="381">
        <v>12472.7</v>
      </c>
      <c r="AJ4" s="376" t="s">
        <v>179</v>
      </c>
      <c r="AK4" s="376" t="s">
        <v>180</v>
      </c>
      <c r="AL4" s="376" t="s">
        <v>181</v>
      </c>
      <c r="AM4" s="376" t="s">
        <v>182</v>
      </c>
      <c r="AN4" s="376" t="s">
        <v>68</v>
      </c>
      <c r="AO4" s="379">
        <v>80</v>
      </c>
      <c r="AP4" s="384">
        <v>1</v>
      </c>
      <c r="AQ4" s="384">
        <v>0</v>
      </c>
      <c r="AR4" s="382" t="s">
        <v>183</v>
      </c>
      <c r="AS4" s="386">
        <f t="shared" si="27"/>
        <v>0</v>
      </c>
      <c r="AT4">
        <f t="shared" si="28"/>
        <v>0</v>
      </c>
      <c r="AU4" s="386" t="str">
        <f>IF(AT4=0,"",IF(AND(AT4=1,M4="F",SUMIF(C2:C84,C4,AS2:AS84)&lt;=1),SUMIF(C2:C84,C4,AS2:AS84),IF(AND(AT4=1,M4="F",SUMIF(C2:C84,C4,AS2:AS84)&gt;1),1,"")))</f>
        <v/>
      </c>
      <c r="AV4" s="386" t="str">
        <f>IF(AT4=0,"",IF(AND(AT4=3,M4="F",SUMIF(C2:C84,C4,AS2:AS84)&lt;=1),SUMIF(C2:C84,C4,AS2:AS84),IF(AND(AT4=3,M4="F",SUMIF(C2:C84,C4,AS2:AS84)&gt;1),1,"")))</f>
        <v/>
      </c>
      <c r="AW4" s="386">
        <f>SUMIF(C2:C84,C4,O2:O84)</f>
        <v>2</v>
      </c>
      <c r="AX4" s="386">
        <f>IF(AND(M4="F",AS4&lt;&gt;0),SUMIF(C2:C84,C4,W2:W84),0)</f>
        <v>0</v>
      </c>
      <c r="AY4" s="386" t="str">
        <f t="shared" si="29"/>
        <v/>
      </c>
      <c r="AZ4" s="386" t="str">
        <f t="shared" si="30"/>
        <v/>
      </c>
      <c r="BA4" s="386">
        <f t="shared" si="31"/>
        <v>0</v>
      </c>
      <c r="BB4" s="386">
        <f t="shared" si="0"/>
        <v>0</v>
      </c>
      <c r="BC4" s="386">
        <f t="shared" si="1"/>
        <v>0</v>
      </c>
      <c r="BD4" s="386">
        <f t="shared" si="2"/>
        <v>0</v>
      </c>
      <c r="BE4" s="386">
        <f t="shared" si="3"/>
        <v>0</v>
      </c>
      <c r="BF4" s="386">
        <f t="shared" si="4"/>
        <v>0</v>
      </c>
      <c r="BG4" s="386">
        <f t="shared" si="5"/>
        <v>0</v>
      </c>
      <c r="BH4" s="386">
        <f t="shared" si="6"/>
        <v>0</v>
      </c>
      <c r="BI4" s="386">
        <f t="shared" si="7"/>
        <v>0</v>
      </c>
      <c r="BJ4" s="386">
        <f t="shared" si="8"/>
        <v>0</v>
      </c>
      <c r="BK4" s="386">
        <f t="shared" si="9"/>
        <v>0</v>
      </c>
      <c r="BL4" s="386">
        <f t="shared" si="32"/>
        <v>0</v>
      </c>
      <c r="BM4" s="386">
        <f t="shared" si="33"/>
        <v>0</v>
      </c>
      <c r="BN4" s="386">
        <f t="shared" si="10"/>
        <v>0</v>
      </c>
      <c r="BO4" s="386">
        <f t="shared" si="11"/>
        <v>0</v>
      </c>
      <c r="BP4" s="386">
        <f t="shared" si="12"/>
        <v>0</v>
      </c>
      <c r="BQ4" s="386">
        <f t="shared" si="13"/>
        <v>0</v>
      </c>
      <c r="BR4" s="386">
        <f t="shared" si="14"/>
        <v>0</v>
      </c>
      <c r="BS4" s="386">
        <f t="shared" si="15"/>
        <v>0</v>
      </c>
      <c r="BT4" s="386">
        <f t="shared" si="16"/>
        <v>0</v>
      </c>
      <c r="BU4" s="386">
        <f t="shared" si="17"/>
        <v>0</v>
      </c>
      <c r="BV4" s="386">
        <f t="shared" si="18"/>
        <v>0</v>
      </c>
      <c r="BW4" s="386">
        <f t="shared" si="19"/>
        <v>0</v>
      </c>
      <c r="BX4" s="386">
        <f t="shared" si="34"/>
        <v>0</v>
      </c>
      <c r="BY4" s="386">
        <f t="shared" si="35"/>
        <v>0</v>
      </c>
      <c r="BZ4" s="386">
        <f t="shared" si="36"/>
        <v>0</v>
      </c>
      <c r="CA4" s="386">
        <f t="shared" si="37"/>
        <v>0</v>
      </c>
      <c r="CB4" s="386">
        <f t="shared" si="38"/>
        <v>0</v>
      </c>
      <c r="CC4" s="386">
        <f t="shared" si="20"/>
        <v>0</v>
      </c>
      <c r="CD4" s="386">
        <f t="shared" si="21"/>
        <v>0</v>
      </c>
      <c r="CE4" s="386">
        <f t="shared" si="22"/>
        <v>0</v>
      </c>
      <c r="CF4" s="386">
        <f t="shared" si="23"/>
        <v>0</v>
      </c>
      <c r="CG4" s="386">
        <f t="shared" si="24"/>
        <v>0</v>
      </c>
      <c r="CH4" s="386">
        <f t="shared" si="25"/>
        <v>0</v>
      </c>
      <c r="CI4" s="386">
        <f t="shared" si="26"/>
        <v>0</v>
      </c>
      <c r="CJ4" s="386">
        <f t="shared" si="39"/>
        <v>0</v>
      </c>
      <c r="CK4" s="386" t="str">
        <f t="shared" si="40"/>
        <v/>
      </c>
      <c r="CL4" s="386" t="str">
        <f t="shared" si="41"/>
        <v/>
      </c>
      <c r="CM4" s="386" t="str">
        <f t="shared" si="42"/>
        <v/>
      </c>
      <c r="CN4" s="386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201</v>
      </c>
      <c r="D5" s="376" t="s">
        <v>202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203</v>
      </c>
      <c r="L5" s="376" t="s">
        <v>166</v>
      </c>
      <c r="M5" s="376" t="s">
        <v>171</v>
      </c>
      <c r="N5" s="376" t="s">
        <v>204</v>
      </c>
      <c r="O5" s="379">
        <v>0</v>
      </c>
      <c r="P5" s="384">
        <v>1</v>
      </c>
      <c r="Q5" s="384">
        <v>0</v>
      </c>
      <c r="R5" s="380">
        <v>0</v>
      </c>
      <c r="S5" s="384">
        <v>0</v>
      </c>
      <c r="T5" s="380">
        <v>700</v>
      </c>
      <c r="U5" s="380">
        <v>0</v>
      </c>
      <c r="V5" s="380">
        <v>101.46</v>
      </c>
      <c r="W5" s="380">
        <v>900</v>
      </c>
      <c r="X5" s="380">
        <v>128.75</v>
      </c>
      <c r="Y5" s="380">
        <v>900</v>
      </c>
      <c r="Z5" s="380">
        <v>128.75</v>
      </c>
      <c r="AA5" s="378"/>
      <c r="AB5" s="376" t="s">
        <v>45</v>
      </c>
      <c r="AC5" s="376" t="s">
        <v>45</v>
      </c>
      <c r="AD5" s="378"/>
      <c r="AE5" s="378"/>
      <c r="AF5" s="378"/>
      <c r="AG5" s="378"/>
      <c r="AH5" s="379">
        <v>0</v>
      </c>
      <c r="AI5" s="379">
        <v>0</v>
      </c>
      <c r="AJ5" s="378"/>
      <c r="AK5" s="378"/>
      <c r="AL5" s="376" t="s">
        <v>181</v>
      </c>
      <c r="AM5" s="378"/>
      <c r="AN5" s="378"/>
      <c r="AO5" s="379">
        <v>0</v>
      </c>
      <c r="AP5" s="384">
        <v>0</v>
      </c>
      <c r="AQ5" s="384">
        <v>0</v>
      </c>
      <c r="AR5" s="383"/>
      <c r="AS5" s="386">
        <f t="shared" si="27"/>
        <v>0</v>
      </c>
      <c r="AT5">
        <f t="shared" si="28"/>
        <v>0</v>
      </c>
      <c r="AU5" s="386" t="str">
        <f>IF(AT5=0,"",IF(AND(AT5=1,M5="F",SUMIF(C2:C84,C5,AS2:AS84)&lt;=1),SUMIF(C2:C84,C5,AS2:AS84),IF(AND(AT5=1,M5="F",SUMIF(C2:C84,C5,AS2:AS84)&gt;1),1,"")))</f>
        <v/>
      </c>
      <c r="AV5" s="386" t="str">
        <f>IF(AT5=0,"",IF(AND(AT5=3,M5="F",SUMIF(C2:C84,C5,AS2:AS84)&lt;=1),SUMIF(C2:C84,C5,AS2:AS84),IF(AND(AT5=3,M5="F",SUMIF(C2:C84,C5,AS2:AS84)&gt;1),1,"")))</f>
        <v/>
      </c>
      <c r="AW5" s="386">
        <f>SUMIF(C2:C84,C5,O2:O84)</f>
        <v>0</v>
      </c>
      <c r="AX5" s="386">
        <f>IF(AND(M5="F",AS5&lt;&gt;0),SUMIF(C2:C84,C5,W2:W84),0)</f>
        <v>0</v>
      </c>
      <c r="AY5" s="386" t="str">
        <f t="shared" si="29"/>
        <v/>
      </c>
      <c r="AZ5" s="386" t="str">
        <f t="shared" si="30"/>
        <v/>
      </c>
      <c r="BA5" s="386">
        <f t="shared" si="31"/>
        <v>0</v>
      </c>
      <c r="BB5" s="386">
        <f t="shared" si="0"/>
        <v>0</v>
      </c>
      <c r="BC5" s="386">
        <f t="shared" si="1"/>
        <v>0</v>
      </c>
      <c r="BD5" s="386">
        <f t="shared" si="2"/>
        <v>0</v>
      </c>
      <c r="BE5" s="386">
        <f t="shared" si="3"/>
        <v>0</v>
      </c>
      <c r="BF5" s="386">
        <f t="shared" si="4"/>
        <v>0</v>
      </c>
      <c r="BG5" s="386">
        <f t="shared" si="5"/>
        <v>0</v>
      </c>
      <c r="BH5" s="386">
        <f t="shared" si="6"/>
        <v>0</v>
      </c>
      <c r="BI5" s="386">
        <f t="shared" si="7"/>
        <v>0</v>
      </c>
      <c r="BJ5" s="386">
        <f t="shared" si="8"/>
        <v>0</v>
      </c>
      <c r="BK5" s="386">
        <f t="shared" si="9"/>
        <v>0</v>
      </c>
      <c r="BL5" s="386">
        <f t="shared" si="32"/>
        <v>0</v>
      </c>
      <c r="BM5" s="386">
        <f t="shared" si="33"/>
        <v>0</v>
      </c>
      <c r="BN5" s="386">
        <f t="shared" si="10"/>
        <v>0</v>
      </c>
      <c r="BO5" s="386">
        <f t="shared" si="11"/>
        <v>0</v>
      </c>
      <c r="BP5" s="386">
        <f t="shared" si="12"/>
        <v>0</v>
      </c>
      <c r="BQ5" s="386">
        <f t="shared" si="13"/>
        <v>0</v>
      </c>
      <c r="BR5" s="386">
        <f t="shared" si="14"/>
        <v>0</v>
      </c>
      <c r="BS5" s="386">
        <f t="shared" si="15"/>
        <v>0</v>
      </c>
      <c r="BT5" s="386">
        <f t="shared" si="16"/>
        <v>0</v>
      </c>
      <c r="BU5" s="386">
        <f t="shared" si="17"/>
        <v>0</v>
      </c>
      <c r="BV5" s="386">
        <f t="shared" si="18"/>
        <v>0</v>
      </c>
      <c r="BW5" s="386">
        <f t="shared" si="19"/>
        <v>0</v>
      </c>
      <c r="BX5" s="386">
        <f t="shared" si="34"/>
        <v>0</v>
      </c>
      <c r="BY5" s="386">
        <f t="shared" si="35"/>
        <v>0</v>
      </c>
      <c r="BZ5" s="386">
        <f t="shared" si="36"/>
        <v>0</v>
      </c>
      <c r="CA5" s="386">
        <f t="shared" si="37"/>
        <v>0</v>
      </c>
      <c r="CB5" s="386">
        <f t="shared" si="38"/>
        <v>0</v>
      </c>
      <c r="CC5" s="386">
        <f t="shared" si="20"/>
        <v>0</v>
      </c>
      <c r="CD5" s="386">
        <f t="shared" si="21"/>
        <v>0</v>
      </c>
      <c r="CE5" s="386">
        <f t="shared" si="22"/>
        <v>0</v>
      </c>
      <c r="CF5" s="386">
        <f t="shared" si="23"/>
        <v>0</v>
      </c>
      <c r="CG5" s="386">
        <f t="shared" si="24"/>
        <v>0</v>
      </c>
      <c r="CH5" s="386">
        <f t="shared" si="25"/>
        <v>0</v>
      </c>
      <c r="CI5" s="386">
        <f t="shared" si="26"/>
        <v>0</v>
      </c>
      <c r="CJ5" s="386">
        <f t="shared" si="39"/>
        <v>0</v>
      </c>
      <c r="CK5" s="386" t="str">
        <f t="shared" si="40"/>
        <v/>
      </c>
      <c r="CL5" s="386">
        <f t="shared" si="41"/>
        <v>700</v>
      </c>
      <c r="CM5" s="386">
        <f t="shared" si="42"/>
        <v>101.46</v>
      </c>
      <c r="CN5" s="386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205</v>
      </c>
      <c r="D6" s="376" t="s">
        <v>206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207</v>
      </c>
      <c r="L6" s="376" t="s">
        <v>195</v>
      </c>
      <c r="M6" s="376" t="s">
        <v>171</v>
      </c>
      <c r="N6" s="376" t="s">
        <v>172</v>
      </c>
      <c r="O6" s="379">
        <v>1</v>
      </c>
      <c r="P6" s="384">
        <v>1</v>
      </c>
      <c r="Q6" s="384">
        <v>1</v>
      </c>
      <c r="R6" s="380">
        <v>80</v>
      </c>
      <c r="S6" s="384">
        <v>1</v>
      </c>
      <c r="T6" s="380">
        <v>29770.93</v>
      </c>
      <c r="U6" s="380">
        <v>0</v>
      </c>
      <c r="V6" s="380">
        <v>14301.24</v>
      </c>
      <c r="W6" s="380">
        <v>46363.199999999997</v>
      </c>
      <c r="X6" s="380">
        <v>21754.81</v>
      </c>
      <c r="Y6" s="380">
        <v>46363.199999999997</v>
      </c>
      <c r="Z6" s="380">
        <v>21532.28</v>
      </c>
      <c r="AA6" s="376" t="s">
        <v>208</v>
      </c>
      <c r="AB6" s="376" t="s">
        <v>209</v>
      </c>
      <c r="AC6" s="376" t="s">
        <v>210</v>
      </c>
      <c r="AD6" s="376" t="s">
        <v>211</v>
      </c>
      <c r="AE6" s="376" t="s">
        <v>207</v>
      </c>
      <c r="AF6" s="376" t="s">
        <v>200</v>
      </c>
      <c r="AG6" s="376" t="s">
        <v>178</v>
      </c>
      <c r="AH6" s="381">
        <v>22.29</v>
      </c>
      <c r="AI6" s="379">
        <v>33576</v>
      </c>
      <c r="AJ6" s="376" t="s">
        <v>179</v>
      </c>
      <c r="AK6" s="376" t="s">
        <v>180</v>
      </c>
      <c r="AL6" s="376" t="s">
        <v>181</v>
      </c>
      <c r="AM6" s="376" t="s">
        <v>182</v>
      </c>
      <c r="AN6" s="376" t="s">
        <v>68</v>
      </c>
      <c r="AO6" s="379">
        <v>80</v>
      </c>
      <c r="AP6" s="384">
        <v>1</v>
      </c>
      <c r="AQ6" s="384">
        <v>1</v>
      </c>
      <c r="AR6" s="382" t="s">
        <v>183</v>
      </c>
      <c r="AS6" s="386">
        <f t="shared" si="27"/>
        <v>1</v>
      </c>
      <c r="AT6">
        <f t="shared" si="28"/>
        <v>1</v>
      </c>
      <c r="AU6" s="386">
        <f>IF(AT6=0,"",IF(AND(AT6=1,M6="F",SUMIF(C2:C84,C6,AS2:AS84)&lt;=1),SUMIF(C2:C84,C6,AS2:AS84),IF(AND(AT6=1,M6="F",SUMIF(C2:C84,C6,AS2:AS84)&gt;1),1,"")))</f>
        <v>1</v>
      </c>
      <c r="AV6" s="386" t="str">
        <f>IF(AT6=0,"",IF(AND(AT6=3,M6="F",SUMIF(C2:C84,C6,AS2:AS84)&lt;=1),SUMIF(C2:C84,C6,AS2:AS84),IF(AND(AT6=3,M6="F",SUMIF(C2:C84,C6,AS2:AS84)&gt;1),1,"")))</f>
        <v/>
      </c>
      <c r="AW6" s="386">
        <f>SUMIF(C2:C84,C6,O2:O84)</f>
        <v>2</v>
      </c>
      <c r="AX6" s="386">
        <f>IF(AND(M6="F",AS6&lt;&gt;0),SUMIF(C2:C84,C6,W2:W84),0)</f>
        <v>46363.199999999997</v>
      </c>
      <c r="AY6" s="386">
        <f t="shared" si="29"/>
        <v>46363.199999999997</v>
      </c>
      <c r="AZ6" s="386" t="str">
        <f t="shared" si="30"/>
        <v/>
      </c>
      <c r="BA6" s="386">
        <f t="shared" si="31"/>
        <v>0</v>
      </c>
      <c r="BB6" s="386">
        <f t="shared" si="0"/>
        <v>11650</v>
      </c>
      <c r="BC6" s="386">
        <f t="shared" si="1"/>
        <v>0</v>
      </c>
      <c r="BD6" s="386">
        <f t="shared" si="2"/>
        <v>2874.5183999999999</v>
      </c>
      <c r="BE6" s="386">
        <f t="shared" si="3"/>
        <v>672.26639999999998</v>
      </c>
      <c r="BF6" s="386">
        <f t="shared" si="4"/>
        <v>5535.7660800000003</v>
      </c>
      <c r="BG6" s="386">
        <f t="shared" si="5"/>
        <v>334.27867199999997</v>
      </c>
      <c r="BH6" s="386">
        <f t="shared" si="6"/>
        <v>227.17967999999999</v>
      </c>
      <c r="BI6" s="386">
        <f t="shared" si="7"/>
        <v>256.62031199999996</v>
      </c>
      <c r="BJ6" s="386">
        <f t="shared" si="8"/>
        <v>203.99807999999999</v>
      </c>
      <c r="BK6" s="386">
        <f t="shared" si="9"/>
        <v>0</v>
      </c>
      <c r="BL6" s="386">
        <f t="shared" si="32"/>
        <v>10104.627623999999</v>
      </c>
      <c r="BM6" s="386">
        <f t="shared" si="33"/>
        <v>0</v>
      </c>
      <c r="BN6" s="386">
        <f t="shared" si="10"/>
        <v>11650</v>
      </c>
      <c r="BO6" s="386">
        <f t="shared" si="11"/>
        <v>0</v>
      </c>
      <c r="BP6" s="386">
        <f t="shared" si="12"/>
        <v>2874.5183999999999</v>
      </c>
      <c r="BQ6" s="386">
        <f t="shared" si="13"/>
        <v>672.26639999999998</v>
      </c>
      <c r="BR6" s="386">
        <f t="shared" si="14"/>
        <v>5535.7660800000003</v>
      </c>
      <c r="BS6" s="386">
        <f t="shared" si="15"/>
        <v>334.27867199999997</v>
      </c>
      <c r="BT6" s="386">
        <f t="shared" si="16"/>
        <v>0</v>
      </c>
      <c r="BU6" s="386">
        <f t="shared" si="17"/>
        <v>256.62031199999996</v>
      </c>
      <c r="BV6" s="386">
        <f t="shared" si="18"/>
        <v>208.63439999999997</v>
      </c>
      <c r="BW6" s="386">
        <f t="shared" si="19"/>
        <v>0</v>
      </c>
      <c r="BX6" s="386">
        <f t="shared" si="34"/>
        <v>9882.084264000001</v>
      </c>
      <c r="BY6" s="386">
        <f t="shared" si="35"/>
        <v>0</v>
      </c>
      <c r="BZ6" s="386">
        <f t="shared" si="36"/>
        <v>0</v>
      </c>
      <c r="CA6" s="386">
        <f t="shared" si="37"/>
        <v>0</v>
      </c>
      <c r="CB6" s="386">
        <f t="shared" si="38"/>
        <v>0</v>
      </c>
      <c r="CC6" s="386">
        <f t="shared" si="20"/>
        <v>0</v>
      </c>
      <c r="CD6" s="386">
        <f t="shared" si="21"/>
        <v>0</v>
      </c>
      <c r="CE6" s="386">
        <f t="shared" si="22"/>
        <v>0</v>
      </c>
      <c r="CF6" s="386">
        <f t="shared" si="23"/>
        <v>-227.17967999999999</v>
      </c>
      <c r="CG6" s="386">
        <f t="shared" si="24"/>
        <v>0</v>
      </c>
      <c r="CH6" s="386">
        <f t="shared" si="25"/>
        <v>4.636319999999972</v>
      </c>
      <c r="CI6" s="386">
        <f t="shared" si="26"/>
        <v>0</v>
      </c>
      <c r="CJ6" s="386">
        <f t="shared" si="39"/>
        <v>-222.54336000000001</v>
      </c>
      <c r="CK6" s="386" t="str">
        <f t="shared" si="40"/>
        <v/>
      </c>
      <c r="CL6" s="386" t="str">
        <f t="shared" si="41"/>
        <v/>
      </c>
      <c r="CM6" s="386" t="str">
        <f t="shared" si="42"/>
        <v/>
      </c>
      <c r="CN6" s="386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212</v>
      </c>
      <c r="D7" s="376" t="s">
        <v>206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207</v>
      </c>
      <c r="L7" s="376" t="s">
        <v>195</v>
      </c>
      <c r="M7" s="376" t="s">
        <v>171</v>
      </c>
      <c r="N7" s="376" t="s">
        <v>172</v>
      </c>
      <c r="O7" s="379">
        <v>1</v>
      </c>
      <c r="P7" s="384">
        <v>1</v>
      </c>
      <c r="Q7" s="384">
        <v>1</v>
      </c>
      <c r="R7" s="380">
        <v>80</v>
      </c>
      <c r="S7" s="384">
        <v>1</v>
      </c>
      <c r="T7" s="380">
        <v>30972.95</v>
      </c>
      <c r="U7" s="380">
        <v>0</v>
      </c>
      <c r="V7" s="380">
        <v>14102.19</v>
      </c>
      <c r="W7" s="380">
        <v>51521.599999999999</v>
      </c>
      <c r="X7" s="380">
        <v>22879.09</v>
      </c>
      <c r="Y7" s="380">
        <v>51521.599999999999</v>
      </c>
      <c r="Z7" s="380">
        <v>22631.79</v>
      </c>
      <c r="AA7" s="376" t="s">
        <v>213</v>
      </c>
      <c r="AB7" s="376" t="s">
        <v>214</v>
      </c>
      <c r="AC7" s="376" t="s">
        <v>215</v>
      </c>
      <c r="AD7" s="376" t="s">
        <v>216</v>
      </c>
      <c r="AE7" s="376" t="s">
        <v>207</v>
      </c>
      <c r="AF7" s="376" t="s">
        <v>200</v>
      </c>
      <c r="AG7" s="376" t="s">
        <v>178</v>
      </c>
      <c r="AH7" s="381">
        <v>24.77</v>
      </c>
      <c r="AI7" s="381">
        <v>29437.9</v>
      </c>
      <c r="AJ7" s="376" t="s">
        <v>179</v>
      </c>
      <c r="AK7" s="376" t="s">
        <v>180</v>
      </c>
      <c r="AL7" s="376" t="s">
        <v>181</v>
      </c>
      <c r="AM7" s="376" t="s">
        <v>182</v>
      </c>
      <c r="AN7" s="376" t="s">
        <v>68</v>
      </c>
      <c r="AO7" s="379">
        <v>80</v>
      </c>
      <c r="AP7" s="384">
        <v>1</v>
      </c>
      <c r="AQ7" s="384">
        <v>1</v>
      </c>
      <c r="AR7" s="382" t="s">
        <v>183</v>
      </c>
      <c r="AS7" s="386">
        <f t="shared" si="27"/>
        <v>1</v>
      </c>
      <c r="AT7">
        <f t="shared" si="28"/>
        <v>1</v>
      </c>
      <c r="AU7" s="386">
        <f>IF(AT7=0,"",IF(AND(AT7=1,M7="F",SUMIF(C2:C84,C7,AS2:AS84)&lt;=1),SUMIF(C2:C84,C7,AS2:AS84),IF(AND(AT7=1,M7="F",SUMIF(C2:C84,C7,AS2:AS84)&gt;1),1,"")))</f>
        <v>1</v>
      </c>
      <c r="AV7" s="386" t="str">
        <f>IF(AT7=0,"",IF(AND(AT7=3,M7="F",SUMIF(C2:C84,C7,AS2:AS84)&lt;=1),SUMIF(C2:C84,C7,AS2:AS84),IF(AND(AT7=3,M7="F",SUMIF(C2:C84,C7,AS2:AS84)&gt;1),1,"")))</f>
        <v/>
      </c>
      <c r="AW7" s="386">
        <f>SUMIF(C2:C84,C7,O2:O84)</f>
        <v>2</v>
      </c>
      <c r="AX7" s="386">
        <f>IF(AND(M7="F",AS7&lt;&gt;0),SUMIF(C2:C84,C7,W2:W84),0)</f>
        <v>51521.599999999999</v>
      </c>
      <c r="AY7" s="386">
        <f t="shared" si="29"/>
        <v>51521.599999999999</v>
      </c>
      <c r="AZ7" s="386" t="str">
        <f t="shared" si="30"/>
        <v/>
      </c>
      <c r="BA7" s="386">
        <f t="shared" si="31"/>
        <v>0</v>
      </c>
      <c r="BB7" s="386">
        <f t="shared" si="0"/>
        <v>11650</v>
      </c>
      <c r="BC7" s="386">
        <f t="shared" si="1"/>
        <v>0</v>
      </c>
      <c r="BD7" s="386">
        <f t="shared" si="2"/>
        <v>3194.3391999999999</v>
      </c>
      <c r="BE7" s="386">
        <f t="shared" si="3"/>
        <v>747.06320000000005</v>
      </c>
      <c r="BF7" s="386">
        <f t="shared" si="4"/>
        <v>6151.67904</v>
      </c>
      <c r="BG7" s="386">
        <f t="shared" si="5"/>
        <v>371.47073599999999</v>
      </c>
      <c r="BH7" s="386">
        <f t="shared" si="6"/>
        <v>252.45583999999999</v>
      </c>
      <c r="BI7" s="386">
        <f t="shared" si="7"/>
        <v>285.172056</v>
      </c>
      <c r="BJ7" s="386">
        <f t="shared" si="8"/>
        <v>226.69504000000001</v>
      </c>
      <c r="BK7" s="386">
        <f t="shared" si="9"/>
        <v>0</v>
      </c>
      <c r="BL7" s="386">
        <f t="shared" si="32"/>
        <v>11228.875112</v>
      </c>
      <c r="BM7" s="386">
        <f t="shared" si="33"/>
        <v>0</v>
      </c>
      <c r="BN7" s="386">
        <f t="shared" si="10"/>
        <v>11650</v>
      </c>
      <c r="BO7" s="386">
        <f t="shared" si="11"/>
        <v>0</v>
      </c>
      <c r="BP7" s="386">
        <f t="shared" si="12"/>
        <v>3194.3391999999999</v>
      </c>
      <c r="BQ7" s="386">
        <f t="shared" si="13"/>
        <v>747.06320000000005</v>
      </c>
      <c r="BR7" s="386">
        <f t="shared" si="14"/>
        <v>6151.67904</v>
      </c>
      <c r="BS7" s="386">
        <f t="shared" si="15"/>
        <v>371.47073599999999</v>
      </c>
      <c r="BT7" s="386">
        <f t="shared" si="16"/>
        <v>0</v>
      </c>
      <c r="BU7" s="386">
        <f t="shared" si="17"/>
        <v>285.172056</v>
      </c>
      <c r="BV7" s="386">
        <f t="shared" si="18"/>
        <v>231.84719999999999</v>
      </c>
      <c r="BW7" s="386">
        <f t="shared" si="19"/>
        <v>0</v>
      </c>
      <c r="BX7" s="386">
        <f t="shared" si="34"/>
        <v>10981.571431999999</v>
      </c>
      <c r="BY7" s="386">
        <f t="shared" si="35"/>
        <v>0</v>
      </c>
      <c r="BZ7" s="386">
        <f t="shared" si="36"/>
        <v>0</v>
      </c>
      <c r="CA7" s="386">
        <f t="shared" si="37"/>
        <v>0</v>
      </c>
      <c r="CB7" s="386">
        <f t="shared" si="38"/>
        <v>0</v>
      </c>
      <c r="CC7" s="386">
        <f t="shared" si="20"/>
        <v>0</v>
      </c>
      <c r="CD7" s="386">
        <f t="shared" si="21"/>
        <v>0</v>
      </c>
      <c r="CE7" s="386">
        <f t="shared" si="22"/>
        <v>0</v>
      </c>
      <c r="CF7" s="386">
        <f t="shared" si="23"/>
        <v>-252.45583999999999</v>
      </c>
      <c r="CG7" s="386">
        <f t="shared" si="24"/>
        <v>0</v>
      </c>
      <c r="CH7" s="386">
        <f t="shared" si="25"/>
        <v>5.1521599999999683</v>
      </c>
      <c r="CI7" s="386">
        <f t="shared" si="26"/>
        <v>0</v>
      </c>
      <c r="CJ7" s="386">
        <f t="shared" si="39"/>
        <v>-247.30368000000001</v>
      </c>
      <c r="CK7" s="386" t="str">
        <f t="shared" si="40"/>
        <v/>
      </c>
      <c r="CL7" s="386" t="str">
        <f t="shared" si="41"/>
        <v/>
      </c>
      <c r="CM7" s="386" t="str">
        <f t="shared" si="42"/>
        <v/>
      </c>
      <c r="CN7" s="386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217</v>
      </c>
      <c r="D8" s="376" t="s">
        <v>206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218</v>
      </c>
      <c r="K8" s="376" t="s">
        <v>207</v>
      </c>
      <c r="L8" s="376" t="s">
        <v>195</v>
      </c>
      <c r="M8" s="376" t="s">
        <v>171</v>
      </c>
      <c r="N8" s="376" t="s">
        <v>172</v>
      </c>
      <c r="O8" s="379">
        <v>1</v>
      </c>
      <c r="P8" s="384">
        <v>0.5</v>
      </c>
      <c r="Q8" s="384">
        <v>0.5</v>
      </c>
      <c r="R8" s="380">
        <v>80</v>
      </c>
      <c r="S8" s="384">
        <v>0.5</v>
      </c>
      <c r="T8" s="380">
        <v>22155.95</v>
      </c>
      <c r="U8" s="380">
        <v>0</v>
      </c>
      <c r="V8" s="380">
        <v>10619.92</v>
      </c>
      <c r="W8" s="380">
        <v>23223.200000000001</v>
      </c>
      <c r="X8" s="380">
        <v>10886.48</v>
      </c>
      <c r="Y8" s="380">
        <v>23223.200000000001</v>
      </c>
      <c r="Z8" s="380">
        <v>10775.01</v>
      </c>
      <c r="AA8" s="376" t="s">
        <v>219</v>
      </c>
      <c r="AB8" s="376" t="s">
        <v>220</v>
      </c>
      <c r="AC8" s="376" t="s">
        <v>221</v>
      </c>
      <c r="AD8" s="376" t="s">
        <v>222</v>
      </c>
      <c r="AE8" s="376" t="s">
        <v>207</v>
      </c>
      <c r="AF8" s="376" t="s">
        <v>200</v>
      </c>
      <c r="AG8" s="376" t="s">
        <v>178</v>
      </c>
      <c r="AH8" s="381">
        <v>22.33</v>
      </c>
      <c r="AI8" s="379">
        <v>18210</v>
      </c>
      <c r="AJ8" s="376" t="s">
        <v>179</v>
      </c>
      <c r="AK8" s="376" t="s">
        <v>180</v>
      </c>
      <c r="AL8" s="376" t="s">
        <v>181</v>
      </c>
      <c r="AM8" s="376" t="s">
        <v>182</v>
      </c>
      <c r="AN8" s="376" t="s">
        <v>68</v>
      </c>
      <c r="AO8" s="379">
        <v>80</v>
      </c>
      <c r="AP8" s="384">
        <v>1</v>
      </c>
      <c r="AQ8" s="384">
        <v>0.5</v>
      </c>
      <c r="AR8" s="382" t="s">
        <v>183</v>
      </c>
      <c r="AS8" s="386">
        <f t="shared" si="27"/>
        <v>0.5</v>
      </c>
      <c r="AT8">
        <f t="shared" si="28"/>
        <v>1</v>
      </c>
      <c r="AU8" s="386">
        <f>IF(AT8=0,"",IF(AND(AT8=1,M8="F",SUMIF(C2:C84,C8,AS2:AS84)&lt;=1),SUMIF(C2:C84,C8,AS2:AS84),IF(AND(AT8=1,M8="F",SUMIF(C2:C84,C8,AS2:AS84)&gt;1),1,"")))</f>
        <v>1</v>
      </c>
      <c r="AV8" s="386" t="str">
        <f>IF(AT8=0,"",IF(AND(AT8=3,M8="F",SUMIF(C2:C84,C8,AS2:AS84)&lt;=1),SUMIF(C2:C84,C8,AS2:AS84),IF(AND(AT8=3,M8="F",SUMIF(C2:C84,C8,AS2:AS84)&gt;1),1,"")))</f>
        <v/>
      </c>
      <c r="AW8" s="386">
        <f>SUMIF(C2:C84,C8,O2:O84)</f>
        <v>2</v>
      </c>
      <c r="AX8" s="386">
        <f>IF(AND(M8="F",AS8&lt;&gt;0),SUMIF(C2:C84,C8,W2:W84),0)</f>
        <v>46446.400000000001</v>
      </c>
      <c r="AY8" s="386">
        <f t="shared" si="29"/>
        <v>23223.200000000001</v>
      </c>
      <c r="AZ8" s="386" t="str">
        <f t="shared" si="30"/>
        <v/>
      </c>
      <c r="BA8" s="386">
        <f t="shared" si="31"/>
        <v>0</v>
      </c>
      <c r="BB8" s="386">
        <f t="shared" si="0"/>
        <v>5825</v>
      </c>
      <c r="BC8" s="386">
        <f t="shared" si="1"/>
        <v>0</v>
      </c>
      <c r="BD8" s="386">
        <f t="shared" si="2"/>
        <v>1439.8384000000001</v>
      </c>
      <c r="BE8" s="386">
        <f t="shared" si="3"/>
        <v>336.7364</v>
      </c>
      <c r="BF8" s="386">
        <f t="shared" si="4"/>
        <v>2772.8500800000002</v>
      </c>
      <c r="BG8" s="386">
        <f t="shared" si="5"/>
        <v>167.43927200000002</v>
      </c>
      <c r="BH8" s="386">
        <f t="shared" si="6"/>
        <v>113.79367999999999</v>
      </c>
      <c r="BI8" s="386">
        <f t="shared" si="7"/>
        <v>128.540412</v>
      </c>
      <c r="BJ8" s="386">
        <f t="shared" si="8"/>
        <v>102.18208000000001</v>
      </c>
      <c r="BK8" s="386">
        <f t="shared" si="9"/>
        <v>0</v>
      </c>
      <c r="BL8" s="386">
        <f t="shared" si="32"/>
        <v>5061.3803239999997</v>
      </c>
      <c r="BM8" s="386">
        <f t="shared" si="33"/>
        <v>0</v>
      </c>
      <c r="BN8" s="386">
        <f t="shared" si="10"/>
        <v>5825</v>
      </c>
      <c r="BO8" s="386">
        <f t="shared" si="11"/>
        <v>0</v>
      </c>
      <c r="BP8" s="386">
        <f t="shared" si="12"/>
        <v>1439.8384000000001</v>
      </c>
      <c r="BQ8" s="386">
        <f t="shared" si="13"/>
        <v>336.7364</v>
      </c>
      <c r="BR8" s="386">
        <f t="shared" si="14"/>
        <v>2772.8500800000002</v>
      </c>
      <c r="BS8" s="386">
        <f t="shared" si="15"/>
        <v>167.43927200000002</v>
      </c>
      <c r="BT8" s="386">
        <f t="shared" si="16"/>
        <v>0</v>
      </c>
      <c r="BU8" s="386">
        <f t="shared" si="17"/>
        <v>128.540412</v>
      </c>
      <c r="BV8" s="386">
        <f t="shared" si="18"/>
        <v>104.50439999999999</v>
      </c>
      <c r="BW8" s="386">
        <f t="shared" si="19"/>
        <v>0</v>
      </c>
      <c r="BX8" s="386">
        <f t="shared" si="34"/>
        <v>4949.9089640000002</v>
      </c>
      <c r="BY8" s="386">
        <f t="shared" si="35"/>
        <v>0</v>
      </c>
      <c r="BZ8" s="386">
        <f t="shared" si="36"/>
        <v>0</v>
      </c>
      <c r="CA8" s="386">
        <f t="shared" si="37"/>
        <v>0</v>
      </c>
      <c r="CB8" s="386">
        <f t="shared" si="38"/>
        <v>0</v>
      </c>
      <c r="CC8" s="386">
        <f t="shared" si="20"/>
        <v>0</v>
      </c>
      <c r="CD8" s="386">
        <f t="shared" si="21"/>
        <v>0</v>
      </c>
      <c r="CE8" s="386">
        <f t="shared" si="22"/>
        <v>0</v>
      </c>
      <c r="CF8" s="386">
        <f t="shared" si="23"/>
        <v>-113.79367999999999</v>
      </c>
      <c r="CG8" s="386">
        <f t="shared" si="24"/>
        <v>0</v>
      </c>
      <c r="CH8" s="386">
        <f t="shared" si="25"/>
        <v>2.3223199999999862</v>
      </c>
      <c r="CI8" s="386">
        <f t="shared" si="26"/>
        <v>0</v>
      </c>
      <c r="CJ8" s="386">
        <f t="shared" si="39"/>
        <v>-111.47136</v>
      </c>
      <c r="CK8" s="386" t="str">
        <f t="shared" si="40"/>
        <v/>
      </c>
      <c r="CL8" s="386" t="str">
        <f t="shared" si="41"/>
        <v/>
      </c>
      <c r="CM8" s="386" t="str">
        <f t="shared" si="42"/>
        <v/>
      </c>
      <c r="CN8" s="386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223</v>
      </c>
      <c r="D9" s="376" t="s">
        <v>224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225</v>
      </c>
      <c r="L9" s="376" t="s">
        <v>226</v>
      </c>
      <c r="M9" s="376" t="s">
        <v>171</v>
      </c>
      <c r="N9" s="376" t="s">
        <v>172</v>
      </c>
      <c r="O9" s="379">
        <v>1</v>
      </c>
      <c r="P9" s="384">
        <v>0</v>
      </c>
      <c r="Q9" s="384">
        <v>0</v>
      </c>
      <c r="R9" s="380">
        <v>80</v>
      </c>
      <c r="S9" s="384">
        <v>0</v>
      </c>
      <c r="T9" s="380">
        <v>32247.84</v>
      </c>
      <c r="U9" s="380">
        <v>0</v>
      </c>
      <c r="V9" s="380">
        <v>2206.84</v>
      </c>
      <c r="W9" s="380">
        <v>0</v>
      </c>
      <c r="X9" s="380">
        <v>0</v>
      </c>
      <c r="Y9" s="380">
        <v>0</v>
      </c>
      <c r="Z9" s="380">
        <v>0</v>
      </c>
      <c r="AA9" s="376" t="s">
        <v>227</v>
      </c>
      <c r="AB9" s="376" t="s">
        <v>228</v>
      </c>
      <c r="AC9" s="376" t="s">
        <v>229</v>
      </c>
      <c r="AD9" s="376" t="s">
        <v>230</v>
      </c>
      <c r="AE9" s="376" t="s">
        <v>225</v>
      </c>
      <c r="AF9" s="376" t="s">
        <v>231</v>
      </c>
      <c r="AG9" s="376" t="s">
        <v>178</v>
      </c>
      <c r="AH9" s="381">
        <v>38.729999999999997</v>
      </c>
      <c r="AI9" s="381">
        <v>47563.5</v>
      </c>
      <c r="AJ9" s="376" t="s">
        <v>179</v>
      </c>
      <c r="AK9" s="376" t="s">
        <v>180</v>
      </c>
      <c r="AL9" s="376" t="s">
        <v>181</v>
      </c>
      <c r="AM9" s="376" t="s">
        <v>182</v>
      </c>
      <c r="AN9" s="376" t="s">
        <v>68</v>
      </c>
      <c r="AO9" s="379">
        <v>80</v>
      </c>
      <c r="AP9" s="384">
        <v>1</v>
      </c>
      <c r="AQ9" s="384">
        <v>0</v>
      </c>
      <c r="AR9" s="382" t="s">
        <v>183</v>
      </c>
      <c r="AS9" s="386">
        <f t="shared" si="27"/>
        <v>0</v>
      </c>
      <c r="AT9">
        <f t="shared" si="28"/>
        <v>0</v>
      </c>
      <c r="AU9" s="386" t="str">
        <f>IF(AT9=0,"",IF(AND(AT9=1,M9="F",SUMIF(C2:C84,C9,AS2:AS84)&lt;=1),SUMIF(C2:C84,C9,AS2:AS84),IF(AND(AT9=1,M9="F",SUMIF(C2:C84,C9,AS2:AS84)&gt;1),1,"")))</f>
        <v/>
      </c>
      <c r="AV9" s="386" t="str">
        <f>IF(AT9=0,"",IF(AND(AT9=3,M9="F",SUMIF(C2:C84,C9,AS2:AS84)&lt;=1),SUMIF(C2:C84,C9,AS2:AS84),IF(AND(AT9=3,M9="F",SUMIF(C2:C84,C9,AS2:AS84)&gt;1),1,"")))</f>
        <v/>
      </c>
      <c r="AW9" s="386">
        <f>SUMIF(C2:C84,C9,O2:O84)</f>
        <v>2</v>
      </c>
      <c r="AX9" s="386">
        <f>IF(AND(M9="F",AS9&lt;&gt;0),SUMIF(C2:C84,C9,W2:W84),0)</f>
        <v>0</v>
      </c>
      <c r="AY9" s="386" t="str">
        <f t="shared" si="29"/>
        <v/>
      </c>
      <c r="AZ9" s="386" t="str">
        <f t="shared" si="30"/>
        <v/>
      </c>
      <c r="BA9" s="386">
        <f t="shared" si="31"/>
        <v>0</v>
      </c>
      <c r="BB9" s="386">
        <f t="shared" si="0"/>
        <v>0</v>
      </c>
      <c r="BC9" s="386">
        <f t="shared" si="1"/>
        <v>0</v>
      </c>
      <c r="BD9" s="386">
        <f t="shared" si="2"/>
        <v>0</v>
      </c>
      <c r="BE9" s="386">
        <f t="shared" si="3"/>
        <v>0</v>
      </c>
      <c r="BF9" s="386">
        <f t="shared" si="4"/>
        <v>0</v>
      </c>
      <c r="BG9" s="386">
        <f t="shared" si="5"/>
        <v>0</v>
      </c>
      <c r="BH9" s="386">
        <f t="shared" si="6"/>
        <v>0</v>
      </c>
      <c r="BI9" s="386">
        <f t="shared" si="7"/>
        <v>0</v>
      </c>
      <c r="BJ9" s="386">
        <f t="shared" si="8"/>
        <v>0</v>
      </c>
      <c r="BK9" s="386">
        <f t="shared" si="9"/>
        <v>0</v>
      </c>
      <c r="BL9" s="386">
        <f t="shared" si="32"/>
        <v>0</v>
      </c>
      <c r="BM9" s="386">
        <f t="shared" si="33"/>
        <v>0</v>
      </c>
      <c r="BN9" s="386">
        <f t="shared" si="10"/>
        <v>0</v>
      </c>
      <c r="BO9" s="386">
        <f t="shared" si="11"/>
        <v>0</v>
      </c>
      <c r="BP9" s="386">
        <f t="shared" si="12"/>
        <v>0</v>
      </c>
      <c r="BQ9" s="386">
        <f t="shared" si="13"/>
        <v>0</v>
      </c>
      <c r="BR9" s="386">
        <f t="shared" si="14"/>
        <v>0</v>
      </c>
      <c r="BS9" s="386">
        <f t="shared" si="15"/>
        <v>0</v>
      </c>
      <c r="BT9" s="386">
        <f t="shared" si="16"/>
        <v>0</v>
      </c>
      <c r="BU9" s="386">
        <f t="shared" si="17"/>
        <v>0</v>
      </c>
      <c r="BV9" s="386">
        <f t="shared" si="18"/>
        <v>0</v>
      </c>
      <c r="BW9" s="386">
        <f t="shared" si="19"/>
        <v>0</v>
      </c>
      <c r="BX9" s="386">
        <f t="shared" si="34"/>
        <v>0</v>
      </c>
      <c r="BY9" s="386">
        <f t="shared" si="35"/>
        <v>0</v>
      </c>
      <c r="BZ9" s="386">
        <f t="shared" si="36"/>
        <v>0</v>
      </c>
      <c r="CA9" s="386">
        <f t="shared" si="37"/>
        <v>0</v>
      </c>
      <c r="CB9" s="386">
        <f t="shared" si="38"/>
        <v>0</v>
      </c>
      <c r="CC9" s="386">
        <f t="shared" si="20"/>
        <v>0</v>
      </c>
      <c r="CD9" s="386">
        <f t="shared" si="21"/>
        <v>0</v>
      </c>
      <c r="CE9" s="386">
        <f t="shared" si="22"/>
        <v>0</v>
      </c>
      <c r="CF9" s="386">
        <f t="shared" si="23"/>
        <v>0</v>
      </c>
      <c r="CG9" s="386">
        <f t="shared" si="24"/>
        <v>0</v>
      </c>
      <c r="CH9" s="386">
        <f t="shared" si="25"/>
        <v>0</v>
      </c>
      <c r="CI9" s="386">
        <f t="shared" si="26"/>
        <v>0</v>
      </c>
      <c r="CJ9" s="386">
        <f t="shared" si="39"/>
        <v>0</v>
      </c>
      <c r="CK9" s="386" t="str">
        <f t="shared" si="40"/>
        <v/>
      </c>
      <c r="CL9" s="386" t="str">
        <f t="shared" si="41"/>
        <v/>
      </c>
      <c r="CM9" s="386" t="str">
        <f t="shared" si="42"/>
        <v/>
      </c>
      <c r="CN9" s="386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232</v>
      </c>
      <c r="D10" s="376" t="s">
        <v>206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207</v>
      </c>
      <c r="L10" s="376" t="s">
        <v>195</v>
      </c>
      <c r="M10" s="376" t="s">
        <v>171</v>
      </c>
      <c r="N10" s="376" t="s">
        <v>172</v>
      </c>
      <c r="O10" s="379">
        <v>1</v>
      </c>
      <c r="P10" s="384">
        <v>0</v>
      </c>
      <c r="Q10" s="384">
        <v>0</v>
      </c>
      <c r="R10" s="380">
        <v>80</v>
      </c>
      <c r="S10" s="384">
        <v>0</v>
      </c>
      <c r="T10" s="380">
        <v>4254.42</v>
      </c>
      <c r="U10" s="380">
        <v>0</v>
      </c>
      <c r="V10" s="380">
        <v>1877.6</v>
      </c>
      <c r="W10" s="380">
        <v>0</v>
      </c>
      <c r="X10" s="380">
        <v>0</v>
      </c>
      <c r="Y10" s="380">
        <v>0</v>
      </c>
      <c r="Z10" s="380">
        <v>0</v>
      </c>
      <c r="AA10" s="376" t="s">
        <v>233</v>
      </c>
      <c r="AB10" s="376" t="s">
        <v>234</v>
      </c>
      <c r="AC10" s="376" t="s">
        <v>235</v>
      </c>
      <c r="AD10" s="376" t="s">
        <v>226</v>
      </c>
      <c r="AE10" s="376" t="s">
        <v>207</v>
      </c>
      <c r="AF10" s="376" t="s">
        <v>200</v>
      </c>
      <c r="AG10" s="376" t="s">
        <v>178</v>
      </c>
      <c r="AH10" s="381">
        <v>27.99</v>
      </c>
      <c r="AI10" s="381">
        <v>34705.4</v>
      </c>
      <c r="AJ10" s="376" t="s">
        <v>179</v>
      </c>
      <c r="AK10" s="376" t="s">
        <v>180</v>
      </c>
      <c r="AL10" s="376" t="s">
        <v>181</v>
      </c>
      <c r="AM10" s="376" t="s">
        <v>182</v>
      </c>
      <c r="AN10" s="376" t="s">
        <v>68</v>
      </c>
      <c r="AO10" s="379">
        <v>80</v>
      </c>
      <c r="AP10" s="384">
        <v>1</v>
      </c>
      <c r="AQ10" s="384">
        <v>0</v>
      </c>
      <c r="AR10" s="382" t="s">
        <v>183</v>
      </c>
      <c r="AS10" s="386">
        <f t="shared" si="27"/>
        <v>0</v>
      </c>
      <c r="AT10">
        <f t="shared" si="28"/>
        <v>0</v>
      </c>
      <c r="AU10" s="386" t="str">
        <f>IF(AT10=0,"",IF(AND(AT10=1,M10="F",SUMIF(C2:C84,C10,AS2:AS84)&lt;=1),SUMIF(C2:C84,C10,AS2:AS84),IF(AND(AT10=1,M10="F",SUMIF(C2:C84,C10,AS2:AS84)&gt;1),1,"")))</f>
        <v/>
      </c>
      <c r="AV10" s="386" t="str">
        <f>IF(AT10=0,"",IF(AND(AT10=3,M10="F",SUMIF(C2:C84,C10,AS2:AS84)&lt;=1),SUMIF(C2:C84,C10,AS2:AS84),IF(AND(AT10=3,M10="F",SUMIF(C2:C84,C10,AS2:AS84)&gt;1),1,"")))</f>
        <v/>
      </c>
      <c r="AW10" s="386">
        <f>SUMIF(C2:C84,C10,O2:O84)</f>
        <v>2</v>
      </c>
      <c r="AX10" s="386">
        <f>IF(AND(M10="F",AS10&lt;&gt;0),SUMIF(C2:C84,C10,W2:W84),0)</f>
        <v>0</v>
      </c>
      <c r="AY10" s="386" t="str">
        <f t="shared" si="29"/>
        <v/>
      </c>
      <c r="AZ10" s="386" t="str">
        <f t="shared" si="30"/>
        <v/>
      </c>
      <c r="BA10" s="386">
        <f t="shared" si="31"/>
        <v>0</v>
      </c>
      <c r="BB10" s="386">
        <f t="shared" si="0"/>
        <v>0</v>
      </c>
      <c r="BC10" s="386">
        <f t="shared" si="1"/>
        <v>0</v>
      </c>
      <c r="BD10" s="386">
        <f t="shared" si="2"/>
        <v>0</v>
      </c>
      <c r="BE10" s="386">
        <f t="shared" si="3"/>
        <v>0</v>
      </c>
      <c r="BF10" s="386">
        <f t="shared" si="4"/>
        <v>0</v>
      </c>
      <c r="BG10" s="386">
        <f t="shared" si="5"/>
        <v>0</v>
      </c>
      <c r="BH10" s="386">
        <f t="shared" si="6"/>
        <v>0</v>
      </c>
      <c r="BI10" s="386">
        <f t="shared" si="7"/>
        <v>0</v>
      </c>
      <c r="BJ10" s="386">
        <f t="shared" si="8"/>
        <v>0</v>
      </c>
      <c r="BK10" s="386">
        <f t="shared" si="9"/>
        <v>0</v>
      </c>
      <c r="BL10" s="386">
        <f t="shared" si="32"/>
        <v>0</v>
      </c>
      <c r="BM10" s="386">
        <f t="shared" si="33"/>
        <v>0</v>
      </c>
      <c r="BN10" s="386">
        <f t="shared" si="10"/>
        <v>0</v>
      </c>
      <c r="BO10" s="386">
        <f t="shared" si="11"/>
        <v>0</v>
      </c>
      <c r="BP10" s="386">
        <f t="shared" si="12"/>
        <v>0</v>
      </c>
      <c r="BQ10" s="386">
        <f t="shared" si="13"/>
        <v>0</v>
      </c>
      <c r="BR10" s="386">
        <f t="shared" si="14"/>
        <v>0</v>
      </c>
      <c r="BS10" s="386">
        <f t="shared" si="15"/>
        <v>0</v>
      </c>
      <c r="BT10" s="386">
        <f t="shared" si="16"/>
        <v>0</v>
      </c>
      <c r="BU10" s="386">
        <f t="shared" si="17"/>
        <v>0</v>
      </c>
      <c r="BV10" s="386">
        <f t="shared" si="18"/>
        <v>0</v>
      </c>
      <c r="BW10" s="386">
        <f t="shared" si="19"/>
        <v>0</v>
      </c>
      <c r="BX10" s="386">
        <f t="shared" si="34"/>
        <v>0</v>
      </c>
      <c r="BY10" s="386">
        <f t="shared" si="35"/>
        <v>0</v>
      </c>
      <c r="BZ10" s="386">
        <f t="shared" si="36"/>
        <v>0</v>
      </c>
      <c r="CA10" s="386">
        <f t="shared" si="37"/>
        <v>0</v>
      </c>
      <c r="CB10" s="386">
        <f t="shared" si="38"/>
        <v>0</v>
      </c>
      <c r="CC10" s="386">
        <f t="shared" si="20"/>
        <v>0</v>
      </c>
      <c r="CD10" s="386">
        <f t="shared" si="21"/>
        <v>0</v>
      </c>
      <c r="CE10" s="386">
        <f t="shared" si="22"/>
        <v>0</v>
      </c>
      <c r="CF10" s="386">
        <f t="shared" si="23"/>
        <v>0</v>
      </c>
      <c r="CG10" s="386">
        <f t="shared" si="24"/>
        <v>0</v>
      </c>
      <c r="CH10" s="386">
        <f t="shared" si="25"/>
        <v>0</v>
      </c>
      <c r="CI10" s="386">
        <f t="shared" si="26"/>
        <v>0</v>
      </c>
      <c r="CJ10" s="386">
        <f t="shared" si="39"/>
        <v>0</v>
      </c>
      <c r="CK10" s="386" t="str">
        <f t="shared" si="40"/>
        <v/>
      </c>
      <c r="CL10" s="386" t="str">
        <f t="shared" si="41"/>
        <v/>
      </c>
      <c r="CM10" s="386" t="str">
        <f t="shared" si="42"/>
        <v/>
      </c>
      <c r="CN10" s="386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236</v>
      </c>
      <c r="D11" s="376" t="s">
        <v>206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207</v>
      </c>
      <c r="L11" s="376" t="s">
        <v>195</v>
      </c>
      <c r="M11" s="376" t="s">
        <v>171</v>
      </c>
      <c r="N11" s="376" t="s">
        <v>172</v>
      </c>
      <c r="O11" s="379">
        <v>1</v>
      </c>
      <c r="P11" s="384">
        <v>1</v>
      </c>
      <c r="Q11" s="384">
        <v>1</v>
      </c>
      <c r="R11" s="380">
        <v>80</v>
      </c>
      <c r="S11" s="384">
        <v>1</v>
      </c>
      <c r="T11" s="380">
        <v>38485.440000000002</v>
      </c>
      <c r="U11" s="380">
        <v>0</v>
      </c>
      <c r="V11" s="380">
        <v>17533.03</v>
      </c>
      <c r="W11" s="380">
        <v>50752</v>
      </c>
      <c r="X11" s="380">
        <v>22711.360000000001</v>
      </c>
      <c r="Y11" s="380">
        <v>50752</v>
      </c>
      <c r="Z11" s="380">
        <v>22467.759999999998</v>
      </c>
      <c r="AA11" s="376" t="s">
        <v>237</v>
      </c>
      <c r="AB11" s="376" t="s">
        <v>238</v>
      </c>
      <c r="AC11" s="376" t="s">
        <v>239</v>
      </c>
      <c r="AD11" s="376" t="s">
        <v>180</v>
      </c>
      <c r="AE11" s="376" t="s">
        <v>207</v>
      </c>
      <c r="AF11" s="376" t="s">
        <v>200</v>
      </c>
      <c r="AG11" s="376" t="s">
        <v>178</v>
      </c>
      <c r="AH11" s="381">
        <v>24.4</v>
      </c>
      <c r="AI11" s="381">
        <v>29098.400000000001</v>
      </c>
      <c r="AJ11" s="376" t="s">
        <v>179</v>
      </c>
      <c r="AK11" s="376" t="s">
        <v>180</v>
      </c>
      <c r="AL11" s="376" t="s">
        <v>181</v>
      </c>
      <c r="AM11" s="376" t="s">
        <v>182</v>
      </c>
      <c r="AN11" s="376" t="s">
        <v>68</v>
      </c>
      <c r="AO11" s="379">
        <v>80</v>
      </c>
      <c r="AP11" s="384">
        <v>1</v>
      </c>
      <c r="AQ11" s="384">
        <v>1</v>
      </c>
      <c r="AR11" s="382" t="s">
        <v>183</v>
      </c>
      <c r="AS11" s="386">
        <f t="shared" si="27"/>
        <v>1</v>
      </c>
      <c r="AT11">
        <f t="shared" si="28"/>
        <v>1</v>
      </c>
      <c r="AU11" s="386">
        <f>IF(AT11=0,"",IF(AND(AT11=1,M11="F",SUMIF(C2:C84,C11,AS2:AS84)&lt;=1),SUMIF(C2:C84,C11,AS2:AS84),IF(AND(AT11=1,M11="F",SUMIF(C2:C84,C11,AS2:AS84)&gt;1),1,"")))</f>
        <v>1</v>
      </c>
      <c r="AV11" s="386" t="str">
        <f>IF(AT11=0,"",IF(AND(AT11=3,M11="F",SUMIF(C2:C84,C11,AS2:AS84)&lt;=1),SUMIF(C2:C84,C11,AS2:AS84),IF(AND(AT11=3,M11="F",SUMIF(C2:C84,C11,AS2:AS84)&gt;1),1,"")))</f>
        <v/>
      </c>
      <c r="AW11" s="386">
        <f>SUMIF(C2:C84,C11,O2:O84)</f>
        <v>2</v>
      </c>
      <c r="AX11" s="386">
        <f>IF(AND(M11="F",AS11&lt;&gt;0),SUMIF(C2:C84,C11,W2:W84),0)</f>
        <v>50752</v>
      </c>
      <c r="AY11" s="386">
        <f t="shared" si="29"/>
        <v>50752</v>
      </c>
      <c r="AZ11" s="386" t="str">
        <f t="shared" si="30"/>
        <v/>
      </c>
      <c r="BA11" s="386">
        <f t="shared" si="31"/>
        <v>0</v>
      </c>
      <c r="BB11" s="386">
        <f t="shared" si="0"/>
        <v>11650</v>
      </c>
      <c r="BC11" s="386">
        <f t="shared" si="1"/>
        <v>0</v>
      </c>
      <c r="BD11" s="386">
        <f t="shared" si="2"/>
        <v>3146.6239999999998</v>
      </c>
      <c r="BE11" s="386">
        <f t="shared" si="3"/>
        <v>735.904</v>
      </c>
      <c r="BF11" s="386">
        <f t="shared" si="4"/>
        <v>6059.7888000000003</v>
      </c>
      <c r="BG11" s="386">
        <f t="shared" si="5"/>
        <v>365.92192</v>
      </c>
      <c r="BH11" s="386">
        <f t="shared" si="6"/>
        <v>248.6848</v>
      </c>
      <c r="BI11" s="386">
        <f t="shared" si="7"/>
        <v>280.91232000000002</v>
      </c>
      <c r="BJ11" s="386">
        <f t="shared" si="8"/>
        <v>223.30880000000002</v>
      </c>
      <c r="BK11" s="386">
        <f t="shared" si="9"/>
        <v>0</v>
      </c>
      <c r="BL11" s="386">
        <f t="shared" si="32"/>
        <v>11061.14464</v>
      </c>
      <c r="BM11" s="386">
        <f t="shared" si="33"/>
        <v>0</v>
      </c>
      <c r="BN11" s="386">
        <f t="shared" si="10"/>
        <v>11650</v>
      </c>
      <c r="BO11" s="386">
        <f t="shared" si="11"/>
        <v>0</v>
      </c>
      <c r="BP11" s="386">
        <f t="shared" si="12"/>
        <v>3146.6239999999998</v>
      </c>
      <c r="BQ11" s="386">
        <f t="shared" si="13"/>
        <v>735.904</v>
      </c>
      <c r="BR11" s="386">
        <f t="shared" si="14"/>
        <v>6059.7888000000003</v>
      </c>
      <c r="BS11" s="386">
        <f t="shared" si="15"/>
        <v>365.92192</v>
      </c>
      <c r="BT11" s="386">
        <f t="shared" si="16"/>
        <v>0</v>
      </c>
      <c r="BU11" s="386">
        <f t="shared" si="17"/>
        <v>280.91232000000002</v>
      </c>
      <c r="BV11" s="386">
        <f t="shared" si="18"/>
        <v>228.38399999999999</v>
      </c>
      <c r="BW11" s="386">
        <f t="shared" si="19"/>
        <v>0</v>
      </c>
      <c r="BX11" s="386">
        <f t="shared" si="34"/>
        <v>10817.535040000001</v>
      </c>
      <c r="BY11" s="386">
        <f t="shared" si="35"/>
        <v>0</v>
      </c>
      <c r="BZ11" s="386">
        <f t="shared" si="36"/>
        <v>0</v>
      </c>
      <c r="CA11" s="386">
        <f t="shared" si="37"/>
        <v>0</v>
      </c>
      <c r="CB11" s="386">
        <f t="shared" si="38"/>
        <v>0</v>
      </c>
      <c r="CC11" s="386">
        <f t="shared" si="20"/>
        <v>0</v>
      </c>
      <c r="CD11" s="386">
        <f t="shared" si="21"/>
        <v>0</v>
      </c>
      <c r="CE11" s="386">
        <f t="shared" si="22"/>
        <v>0</v>
      </c>
      <c r="CF11" s="386">
        <f t="shared" si="23"/>
        <v>-248.6848</v>
      </c>
      <c r="CG11" s="386">
        <f t="shared" si="24"/>
        <v>0</v>
      </c>
      <c r="CH11" s="386">
        <f t="shared" si="25"/>
        <v>5.0751999999999695</v>
      </c>
      <c r="CI11" s="386">
        <f t="shared" si="26"/>
        <v>0</v>
      </c>
      <c r="CJ11" s="386">
        <f t="shared" si="39"/>
        <v>-243.60960000000003</v>
      </c>
      <c r="CK11" s="386" t="str">
        <f t="shared" si="40"/>
        <v/>
      </c>
      <c r="CL11" s="386" t="str">
        <f t="shared" si="41"/>
        <v/>
      </c>
      <c r="CM11" s="386" t="str">
        <f t="shared" si="42"/>
        <v/>
      </c>
      <c r="CN11" s="386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240</v>
      </c>
      <c r="D12" s="376" t="s">
        <v>206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207</v>
      </c>
      <c r="L12" s="376" t="s">
        <v>195</v>
      </c>
      <c r="M12" s="376" t="s">
        <v>171</v>
      </c>
      <c r="N12" s="376" t="s">
        <v>172</v>
      </c>
      <c r="O12" s="379">
        <v>1</v>
      </c>
      <c r="P12" s="384">
        <v>0</v>
      </c>
      <c r="Q12" s="384">
        <v>0</v>
      </c>
      <c r="R12" s="380">
        <v>80</v>
      </c>
      <c r="S12" s="384">
        <v>0</v>
      </c>
      <c r="T12" s="380">
        <v>3771.2</v>
      </c>
      <c r="U12" s="380">
        <v>0</v>
      </c>
      <c r="V12" s="380">
        <v>1764.33</v>
      </c>
      <c r="W12" s="380">
        <v>0</v>
      </c>
      <c r="X12" s="380">
        <v>0</v>
      </c>
      <c r="Y12" s="380">
        <v>0</v>
      </c>
      <c r="Z12" s="380">
        <v>0</v>
      </c>
      <c r="AA12" s="376" t="s">
        <v>241</v>
      </c>
      <c r="AB12" s="376" t="s">
        <v>242</v>
      </c>
      <c r="AC12" s="376" t="s">
        <v>243</v>
      </c>
      <c r="AD12" s="376" t="s">
        <v>244</v>
      </c>
      <c r="AE12" s="376" t="s">
        <v>207</v>
      </c>
      <c r="AF12" s="376" t="s">
        <v>200</v>
      </c>
      <c r="AG12" s="376" t="s">
        <v>178</v>
      </c>
      <c r="AH12" s="381">
        <v>24.93</v>
      </c>
      <c r="AI12" s="379">
        <v>19538</v>
      </c>
      <c r="AJ12" s="376" t="s">
        <v>179</v>
      </c>
      <c r="AK12" s="376" t="s">
        <v>180</v>
      </c>
      <c r="AL12" s="376" t="s">
        <v>181</v>
      </c>
      <c r="AM12" s="376" t="s">
        <v>182</v>
      </c>
      <c r="AN12" s="376" t="s">
        <v>68</v>
      </c>
      <c r="AO12" s="379">
        <v>80</v>
      </c>
      <c r="AP12" s="384">
        <v>1</v>
      </c>
      <c r="AQ12" s="384">
        <v>0</v>
      </c>
      <c r="AR12" s="382" t="s">
        <v>183</v>
      </c>
      <c r="AS12" s="386">
        <f t="shared" si="27"/>
        <v>0</v>
      </c>
      <c r="AT12">
        <f t="shared" si="28"/>
        <v>0</v>
      </c>
      <c r="AU12" s="386" t="str">
        <f>IF(AT12=0,"",IF(AND(AT12=1,M12="F",SUMIF(C2:C84,C12,AS2:AS84)&lt;=1),SUMIF(C2:C84,C12,AS2:AS84),IF(AND(AT12=1,M12="F",SUMIF(C2:C84,C12,AS2:AS84)&gt;1),1,"")))</f>
        <v/>
      </c>
      <c r="AV12" s="386" t="str">
        <f>IF(AT12=0,"",IF(AND(AT12=3,M12="F",SUMIF(C2:C84,C12,AS2:AS84)&lt;=1),SUMIF(C2:C84,C12,AS2:AS84),IF(AND(AT12=3,M12="F",SUMIF(C2:C84,C12,AS2:AS84)&gt;1),1,"")))</f>
        <v/>
      </c>
      <c r="AW12" s="386">
        <f>SUMIF(C2:C84,C12,O2:O84)</f>
        <v>2</v>
      </c>
      <c r="AX12" s="386">
        <f>IF(AND(M12="F",AS12&lt;&gt;0),SUMIF(C2:C84,C12,W2:W84),0)</f>
        <v>0</v>
      </c>
      <c r="AY12" s="386" t="str">
        <f t="shared" si="29"/>
        <v/>
      </c>
      <c r="AZ12" s="386" t="str">
        <f t="shared" si="30"/>
        <v/>
      </c>
      <c r="BA12" s="386">
        <f t="shared" si="31"/>
        <v>0</v>
      </c>
      <c r="BB12" s="386">
        <f t="shared" si="0"/>
        <v>0</v>
      </c>
      <c r="BC12" s="386">
        <f t="shared" si="1"/>
        <v>0</v>
      </c>
      <c r="BD12" s="386">
        <f t="shared" si="2"/>
        <v>0</v>
      </c>
      <c r="BE12" s="386">
        <f t="shared" si="3"/>
        <v>0</v>
      </c>
      <c r="BF12" s="386">
        <f t="shared" si="4"/>
        <v>0</v>
      </c>
      <c r="BG12" s="386">
        <f t="shared" si="5"/>
        <v>0</v>
      </c>
      <c r="BH12" s="386">
        <f t="shared" si="6"/>
        <v>0</v>
      </c>
      <c r="BI12" s="386">
        <f t="shared" si="7"/>
        <v>0</v>
      </c>
      <c r="BJ12" s="386">
        <f t="shared" si="8"/>
        <v>0</v>
      </c>
      <c r="BK12" s="386">
        <f t="shared" si="9"/>
        <v>0</v>
      </c>
      <c r="BL12" s="386">
        <f t="shared" si="32"/>
        <v>0</v>
      </c>
      <c r="BM12" s="386">
        <f t="shared" si="33"/>
        <v>0</v>
      </c>
      <c r="BN12" s="386">
        <f t="shared" si="10"/>
        <v>0</v>
      </c>
      <c r="BO12" s="386">
        <f t="shared" si="11"/>
        <v>0</v>
      </c>
      <c r="BP12" s="386">
        <f t="shared" si="12"/>
        <v>0</v>
      </c>
      <c r="BQ12" s="386">
        <f t="shared" si="13"/>
        <v>0</v>
      </c>
      <c r="BR12" s="386">
        <f t="shared" si="14"/>
        <v>0</v>
      </c>
      <c r="BS12" s="386">
        <f t="shared" si="15"/>
        <v>0</v>
      </c>
      <c r="BT12" s="386">
        <f t="shared" si="16"/>
        <v>0</v>
      </c>
      <c r="BU12" s="386">
        <f t="shared" si="17"/>
        <v>0</v>
      </c>
      <c r="BV12" s="386">
        <f t="shared" si="18"/>
        <v>0</v>
      </c>
      <c r="BW12" s="386">
        <f t="shared" si="19"/>
        <v>0</v>
      </c>
      <c r="BX12" s="386">
        <f t="shared" si="34"/>
        <v>0</v>
      </c>
      <c r="BY12" s="386">
        <f t="shared" si="35"/>
        <v>0</v>
      </c>
      <c r="BZ12" s="386">
        <f t="shared" si="36"/>
        <v>0</v>
      </c>
      <c r="CA12" s="386">
        <f t="shared" si="37"/>
        <v>0</v>
      </c>
      <c r="CB12" s="386">
        <f t="shared" si="38"/>
        <v>0</v>
      </c>
      <c r="CC12" s="386">
        <f t="shared" si="20"/>
        <v>0</v>
      </c>
      <c r="CD12" s="386">
        <f t="shared" si="21"/>
        <v>0</v>
      </c>
      <c r="CE12" s="386">
        <f t="shared" si="22"/>
        <v>0</v>
      </c>
      <c r="CF12" s="386">
        <f t="shared" si="23"/>
        <v>0</v>
      </c>
      <c r="CG12" s="386">
        <f t="shared" si="24"/>
        <v>0</v>
      </c>
      <c r="CH12" s="386">
        <f t="shared" si="25"/>
        <v>0</v>
      </c>
      <c r="CI12" s="386">
        <f t="shared" si="26"/>
        <v>0</v>
      </c>
      <c r="CJ12" s="386">
        <f t="shared" si="39"/>
        <v>0</v>
      </c>
      <c r="CK12" s="386" t="str">
        <f t="shared" si="40"/>
        <v/>
      </c>
      <c r="CL12" s="386" t="str">
        <f t="shared" si="41"/>
        <v/>
      </c>
      <c r="CM12" s="386" t="str">
        <f t="shared" si="42"/>
        <v/>
      </c>
      <c r="CN12" s="386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245</v>
      </c>
      <c r="D13" s="376" t="s">
        <v>206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207</v>
      </c>
      <c r="L13" s="376" t="s">
        <v>195</v>
      </c>
      <c r="M13" s="376" t="s">
        <v>171</v>
      </c>
      <c r="N13" s="376" t="s">
        <v>172</v>
      </c>
      <c r="O13" s="379">
        <v>1</v>
      </c>
      <c r="P13" s="384">
        <v>0</v>
      </c>
      <c r="Q13" s="384">
        <v>0</v>
      </c>
      <c r="R13" s="380">
        <v>80</v>
      </c>
      <c r="S13" s="384">
        <v>0</v>
      </c>
      <c r="T13" s="380">
        <v>4254.3999999999996</v>
      </c>
      <c r="U13" s="380">
        <v>0</v>
      </c>
      <c r="V13" s="380">
        <v>1873.4</v>
      </c>
      <c r="W13" s="380">
        <v>0</v>
      </c>
      <c r="X13" s="380">
        <v>0</v>
      </c>
      <c r="Y13" s="380">
        <v>0</v>
      </c>
      <c r="Z13" s="380">
        <v>0</v>
      </c>
      <c r="AA13" s="376" t="s">
        <v>246</v>
      </c>
      <c r="AB13" s="376" t="s">
        <v>247</v>
      </c>
      <c r="AC13" s="376" t="s">
        <v>248</v>
      </c>
      <c r="AD13" s="376" t="s">
        <v>249</v>
      </c>
      <c r="AE13" s="376" t="s">
        <v>207</v>
      </c>
      <c r="AF13" s="376" t="s">
        <v>200</v>
      </c>
      <c r="AG13" s="376" t="s">
        <v>178</v>
      </c>
      <c r="AH13" s="381">
        <v>27.99</v>
      </c>
      <c r="AI13" s="381">
        <v>29031.4</v>
      </c>
      <c r="AJ13" s="376" t="s">
        <v>179</v>
      </c>
      <c r="AK13" s="376" t="s">
        <v>180</v>
      </c>
      <c r="AL13" s="376" t="s">
        <v>181</v>
      </c>
      <c r="AM13" s="376" t="s">
        <v>182</v>
      </c>
      <c r="AN13" s="376" t="s">
        <v>68</v>
      </c>
      <c r="AO13" s="379">
        <v>80</v>
      </c>
      <c r="AP13" s="384">
        <v>1</v>
      </c>
      <c r="AQ13" s="384">
        <v>0</v>
      </c>
      <c r="AR13" s="382" t="s">
        <v>183</v>
      </c>
      <c r="AS13" s="386">
        <f t="shared" si="27"/>
        <v>0</v>
      </c>
      <c r="AT13">
        <f t="shared" si="28"/>
        <v>0</v>
      </c>
      <c r="AU13" s="386" t="str">
        <f>IF(AT13=0,"",IF(AND(AT13=1,M13="F",SUMIF(C2:C84,C13,AS2:AS84)&lt;=1),SUMIF(C2:C84,C13,AS2:AS84),IF(AND(AT13=1,M13="F",SUMIF(C2:C84,C13,AS2:AS84)&gt;1),1,"")))</f>
        <v/>
      </c>
      <c r="AV13" s="386" t="str">
        <f>IF(AT13=0,"",IF(AND(AT13=3,M13="F",SUMIF(C2:C84,C13,AS2:AS84)&lt;=1),SUMIF(C2:C84,C13,AS2:AS84),IF(AND(AT13=3,M13="F",SUMIF(C2:C84,C13,AS2:AS84)&gt;1),1,"")))</f>
        <v/>
      </c>
      <c r="AW13" s="386">
        <f>SUMIF(C2:C84,C13,O2:O84)</f>
        <v>2</v>
      </c>
      <c r="AX13" s="386">
        <f>IF(AND(M13="F",AS13&lt;&gt;0),SUMIF(C2:C84,C13,W2:W84),0)</f>
        <v>0</v>
      </c>
      <c r="AY13" s="386" t="str">
        <f t="shared" si="29"/>
        <v/>
      </c>
      <c r="AZ13" s="386" t="str">
        <f t="shared" si="30"/>
        <v/>
      </c>
      <c r="BA13" s="386">
        <f t="shared" si="31"/>
        <v>0</v>
      </c>
      <c r="BB13" s="386">
        <f t="shared" si="0"/>
        <v>0</v>
      </c>
      <c r="BC13" s="386">
        <f t="shared" si="1"/>
        <v>0</v>
      </c>
      <c r="BD13" s="386">
        <f t="shared" si="2"/>
        <v>0</v>
      </c>
      <c r="BE13" s="386">
        <f t="shared" si="3"/>
        <v>0</v>
      </c>
      <c r="BF13" s="386">
        <f t="shared" si="4"/>
        <v>0</v>
      </c>
      <c r="BG13" s="386">
        <f t="shared" si="5"/>
        <v>0</v>
      </c>
      <c r="BH13" s="386">
        <f t="shared" si="6"/>
        <v>0</v>
      </c>
      <c r="BI13" s="386">
        <f t="shared" si="7"/>
        <v>0</v>
      </c>
      <c r="BJ13" s="386">
        <f t="shared" si="8"/>
        <v>0</v>
      </c>
      <c r="BK13" s="386">
        <f t="shared" si="9"/>
        <v>0</v>
      </c>
      <c r="BL13" s="386">
        <f t="shared" si="32"/>
        <v>0</v>
      </c>
      <c r="BM13" s="386">
        <f t="shared" si="33"/>
        <v>0</v>
      </c>
      <c r="BN13" s="386">
        <f t="shared" si="10"/>
        <v>0</v>
      </c>
      <c r="BO13" s="386">
        <f t="shared" si="11"/>
        <v>0</v>
      </c>
      <c r="BP13" s="386">
        <f t="shared" si="12"/>
        <v>0</v>
      </c>
      <c r="BQ13" s="386">
        <f t="shared" si="13"/>
        <v>0</v>
      </c>
      <c r="BR13" s="386">
        <f t="shared" si="14"/>
        <v>0</v>
      </c>
      <c r="BS13" s="386">
        <f t="shared" si="15"/>
        <v>0</v>
      </c>
      <c r="BT13" s="386">
        <f t="shared" si="16"/>
        <v>0</v>
      </c>
      <c r="BU13" s="386">
        <f t="shared" si="17"/>
        <v>0</v>
      </c>
      <c r="BV13" s="386">
        <f t="shared" si="18"/>
        <v>0</v>
      </c>
      <c r="BW13" s="386">
        <f t="shared" si="19"/>
        <v>0</v>
      </c>
      <c r="BX13" s="386">
        <f t="shared" si="34"/>
        <v>0</v>
      </c>
      <c r="BY13" s="386">
        <f t="shared" si="35"/>
        <v>0</v>
      </c>
      <c r="BZ13" s="386">
        <f t="shared" si="36"/>
        <v>0</v>
      </c>
      <c r="CA13" s="386">
        <f t="shared" si="37"/>
        <v>0</v>
      </c>
      <c r="CB13" s="386">
        <f t="shared" si="38"/>
        <v>0</v>
      </c>
      <c r="CC13" s="386">
        <f t="shared" si="20"/>
        <v>0</v>
      </c>
      <c r="CD13" s="386">
        <f t="shared" si="21"/>
        <v>0</v>
      </c>
      <c r="CE13" s="386">
        <f t="shared" si="22"/>
        <v>0</v>
      </c>
      <c r="CF13" s="386">
        <f t="shared" si="23"/>
        <v>0</v>
      </c>
      <c r="CG13" s="386">
        <f t="shared" si="24"/>
        <v>0</v>
      </c>
      <c r="CH13" s="386">
        <f t="shared" si="25"/>
        <v>0</v>
      </c>
      <c r="CI13" s="386">
        <f t="shared" si="26"/>
        <v>0</v>
      </c>
      <c r="CJ13" s="386">
        <f t="shared" si="39"/>
        <v>0</v>
      </c>
      <c r="CK13" s="386" t="str">
        <f t="shared" si="40"/>
        <v/>
      </c>
      <c r="CL13" s="386" t="str">
        <f t="shared" si="41"/>
        <v/>
      </c>
      <c r="CM13" s="386" t="str">
        <f t="shared" si="42"/>
        <v/>
      </c>
      <c r="CN13" s="386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250</v>
      </c>
      <c r="D14" s="376" t="s">
        <v>251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252</v>
      </c>
      <c r="L14" s="376" t="s">
        <v>195</v>
      </c>
      <c r="M14" s="376" t="s">
        <v>171</v>
      </c>
      <c r="N14" s="376" t="s">
        <v>172</v>
      </c>
      <c r="O14" s="379">
        <v>1</v>
      </c>
      <c r="P14" s="384">
        <v>0</v>
      </c>
      <c r="Q14" s="384">
        <v>0</v>
      </c>
      <c r="R14" s="380">
        <v>80</v>
      </c>
      <c r="S14" s="384">
        <v>0</v>
      </c>
      <c r="T14" s="380">
        <v>5329.6</v>
      </c>
      <c r="U14" s="380">
        <v>0</v>
      </c>
      <c r="V14" s="380">
        <v>2081.6</v>
      </c>
      <c r="W14" s="380">
        <v>0</v>
      </c>
      <c r="X14" s="380">
        <v>0</v>
      </c>
      <c r="Y14" s="380">
        <v>0</v>
      </c>
      <c r="Z14" s="380">
        <v>0</v>
      </c>
      <c r="AA14" s="376" t="s">
        <v>253</v>
      </c>
      <c r="AB14" s="376" t="s">
        <v>254</v>
      </c>
      <c r="AC14" s="376" t="s">
        <v>255</v>
      </c>
      <c r="AD14" s="376" t="s">
        <v>256</v>
      </c>
      <c r="AE14" s="376" t="s">
        <v>252</v>
      </c>
      <c r="AF14" s="376" t="s">
        <v>200</v>
      </c>
      <c r="AG14" s="376" t="s">
        <v>178</v>
      </c>
      <c r="AH14" s="381">
        <v>34.81</v>
      </c>
      <c r="AI14" s="381">
        <v>20348.599999999999</v>
      </c>
      <c r="AJ14" s="376" t="s">
        <v>179</v>
      </c>
      <c r="AK14" s="376" t="s">
        <v>180</v>
      </c>
      <c r="AL14" s="376" t="s">
        <v>181</v>
      </c>
      <c r="AM14" s="376" t="s">
        <v>182</v>
      </c>
      <c r="AN14" s="376" t="s">
        <v>68</v>
      </c>
      <c r="AO14" s="379">
        <v>80</v>
      </c>
      <c r="AP14" s="384">
        <v>1</v>
      </c>
      <c r="AQ14" s="384">
        <v>0</v>
      </c>
      <c r="AR14" s="382" t="s">
        <v>183</v>
      </c>
      <c r="AS14" s="386">
        <f t="shared" si="27"/>
        <v>0</v>
      </c>
      <c r="AT14">
        <f t="shared" si="28"/>
        <v>0</v>
      </c>
      <c r="AU14" s="386" t="str">
        <f>IF(AT14=0,"",IF(AND(AT14=1,M14="F",SUMIF(C2:C84,C14,AS2:AS84)&lt;=1),SUMIF(C2:C84,C14,AS2:AS84),IF(AND(AT14=1,M14="F",SUMIF(C2:C84,C14,AS2:AS84)&gt;1),1,"")))</f>
        <v/>
      </c>
      <c r="AV14" s="386" t="str">
        <f>IF(AT14=0,"",IF(AND(AT14=3,M14="F",SUMIF(C2:C84,C14,AS2:AS84)&lt;=1),SUMIF(C2:C84,C14,AS2:AS84),IF(AND(AT14=3,M14="F",SUMIF(C2:C84,C14,AS2:AS84)&gt;1),1,"")))</f>
        <v/>
      </c>
      <c r="AW14" s="386">
        <f>SUMIF(C2:C84,C14,O2:O84)</f>
        <v>2</v>
      </c>
      <c r="AX14" s="386">
        <f>IF(AND(M14="F",AS14&lt;&gt;0),SUMIF(C2:C84,C14,W2:W84),0)</f>
        <v>0</v>
      </c>
      <c r="AY14" s="386" t="str">
        <f t="shared" si="29"/>
        <v/>
      </c>
      <c r="AZ14" s="386" t="str">
        <f t="shared" si="30"/>
        <v/>
      </c>
      <c r="BA14" s="386">
        <f t="shared" si="31"/>
        <v>0</v>
      </c>
      <c r="BB14" s="386">
        <f t="shared" si="0"/>
        <v>0</v>
      </c>
      <c r="BC14" s="386">
        <f t="shared" si="1"/>
        <v>0</v>
      </c>
      <c r="BD14" s="386">
        <f t="shared" si="2"/>
        <v>0</v>
      </c>
      <c r="BE14" s="386">
        <f t="shared" si="3"/>
        <v>0</v>
      </c>
      <c r="BF14" s="386">
        <f t="shared" si="4"/>
        <v>0</v>
      </c>
      <c r="BG14" s="386">
        <f t="shared" si="5"/>
        <v>0</v>
      </c>
      <c r="BH14" s="386">
        <f t="shared" si="6"/>
        <v>0</v>
      </c>
      <c r="BI14" s="386">
        <f t="shared" si="7"/>
        <v>0</v>
      </c>
      <c r="BJ14" s="386">
        <f t="shared" si="8"/>
        <v>0</v>
      </c>
      <c r="BK14" s="386">
        <f t="shared" si="9"/>
        <v>0</v>
      </c>
      <c r="BL14" s="386">
        <f t="shared" si="32"/>
        <v>0</v>
      </c>
      <c r="BM14" s="386">
        <f t="shared" si="33"/>
        <v>0</v>
      </c>
      <c r="BN14" s="386">
        <f t="shared" si="10"/>
        <v>0</v>
      </c>
      <c r="BO14" s="386">
        <f t="shared" si="11"/>
        <v>0</v>
      </c>
      <c r="BP14" s="386">
        <f t="shared" si="12"/>
        <v>0</v>
      </c>
      <c r="BQ14" s="386">
        <f t="shared" si="13"/>
        <v>0</v>
      </c>
      <c r="BR14" s="386">
        <f t="shared" si="14"/>
        <v>0</v>
      </c>
      <c r="BS14" s="386">
        <f t="shared" si="15"/>
        <v>0</v>
      </c>
      <c r="BT14" s="386">
        <f t="shared" si="16"/>
        <v>0</v>
      </c>
      <c r="BU14" s="386">
        <f t="shared" si="17"/>
        <v>0</v>
      </c>
      <c r="BV14" s="386">
        <f t="shared" si="18"/>
        <v>0</v>
      </c>
      <c r="BW14" s="386">
        <f t="shared" si="19"/>
        <v>0</v>
      </c>
      <c r="BX14" s="386">
        <f t="shared" si="34"/>
        <v>0</v>
      </c>
      <c r="BY14" s="386">
        <f t="shared" si="35"/>
        <v>0</v>
      </c>
      <c r="BZ14" s="386">
        <f t="shared" si="36"/>
        <v>0</v>
      </c>
      <c r="CA14" s="386">
        <f t="shared" si="37"/>
        <v>0</v>
      </c>
      <c r="CB14" s="386">
        <f t="shared" si="38"/>
        <v>0</v>
      </c>
      <c r="CC14" s="386">
        <f t="shared" si="20"/>
        <v>0</v>
      </c>
      <c r="CD14" s="386">
        <f t="shared" si="21"/>
        <v>0</v>
      </c>
      <c r="CE14" s="386">
        <f t="shared" si="22"/>
        <v>0</v>
      </c>
      <c r="CF14" s="386">
        <f t="shared" si="23"/>
        <v>0</v>
      </c>
      <c r="CG14" s="386">
        <f t="shared" si="24"/>
        <v>0</v>
      </c>
      <c r="CH14" s="386">
        <f t="shared" si="25"/>
        <v>0</v>
      </c>
      <c r="CI14" s="386">
        <f t="shared" si="26"/>
        <v>0</v>
      </c>
      <c r="CJ14" s="386">
        <f t="shared" si="39"/>
        <v>0</v>
      </c>
      <c r="CK14" s="386" t="str">
        <f t="shared" si="40"/>
        <v/>
      </c>
      <c r="CL14" s="386" t="str">
        <f t="shared" si="41"/>
        <v/>
      </c>
      <c r="CM14" s="386" t="str">
        <f t="shared" si="42"/>
        <v/>
      </c>
      <c r="CN14" s="386" t="str">
        <f t="shared" si="43"/>
        <v>0001-00</v>
      </c>
    </row>
    <row r="15" spans="1:92" ht="15.75" thickBot="1" x14ac:dyDescent="0.3">
      <c r="A15" s="376" t="s">
        <v>161</v>
      </c>
      <c r="B15" s="376" t="s">
        <v>162</v>
      </c>
      <c r="C15" s="376" t="s">
        <v>257</v>
      </c>
      <c r="D15" s="376" t="s">
        <v>258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259</v>
      </c>
      <c r="L15" s="376" t="s">
        <v>226</v>
      </c>
      <c r="M15" s="376" t="s">
        <v>171</v>
      </c>
      <c r="N15" s="376" t="s">
        <v>172</v>
      </c>
      <c r="O15" s="379">
        <v>1</v>
      </c>
      <c r="P15" s="384">
        <v>0</v>
      </c>
      <c r="Q15" s="384">
        <v>0</v>
      </c>
      <c r="R15" s="380">
        <v>80</v>
      </c>
      <c r="S15" s="384">
        <v>0</v>
      </c>
      <c r="T15" s="380">
        <v>3910.93</v>
      </c>
      <c r="U15" s="380">
        <v>0</v>
      </c>
      <c r="V15" s="380">
        <v>1774.36</v>
      </c>
      <c r="W15" s="380">
        <v>0</v>
      </c>
      <c r="X15" s="380">
        <v>0</v>
      </c>
      <c r="Y15" s="380">
        <v>0</v>
      </c>
      <c r="Z15" s="380">
        <v>0</v>
      </c>
      <c r="AA15" s="376" t="s">
        <v>260</v>
      </c>
      <c r="AB15" s="376" t="s">
        <v>261</v>
      </c>
      <c r="AC15" s="376" t="s">
        <v>262</v>
      </c>
      <c r="AD15" s="376" t="s">
        <v>263</v>
      </c>
      <c r="AE15" s="376" t="s">
        <v>259</v>
      </c>
      <c r="AF15" s="376" t="s">
        <v>231</v>
      </c>
      <c r="AG15" s="376" t="s">
        <v>178</v>
      </c>
      <c r="AH15" s="381">
        <v>26.64</v>
      </c>
      <c r="AI15" s="379">
        <v>32071</v>
      </c>
      <c r="AJ15" s="376" t="s">
        <v>179</v>
      </c>
      <c r="AK15" s="376" t="s">
        <v>180</v>
      </c>
      <c r="AL15" s="376" t="s">
        <v>181</v>
      </c>
      <c r="AM15" s="376" t="s">
        <v>182</v>
      </c>
      <c r="AN15" s="376" t="s">
        <v>68</v>
      </c>
      <c r="AO15" s="379">
        <v>80</v>
      </c>
      <c r="AP15" s="384">
        <v>1</v>
      </c>
      <c r="AQ15" s="384">
        <v>0</v>
      </c>
      <c r="AR15" s="382" t="s">
        <v>183</v>
      </c>
      <c r="AS15" s="386">
        <f t="shared" si="27"/>
        <v>0</v>
      </c>
      <c r="AT15">
        <f t="shared" si="28"/>
        <v>0</v>
      </c>
      <c r="AU15" s="386" t="str">
        <f>IF(AT15=0,"",IF(AND(AT15=1,M15="F",SUMIF(C2:C84,C15,AS2:AS84)&lt;=1),SUMIF(C2:C84,C15,AS2:AS84),IF(AND(AT15=1,M15="F",SUMIF(C2:C84,C15,AS2:AS84)&gt;1),1,"")))</f>
        <v/>
      </c>
      <c r="AV15" s="386" t="str">
        <f>IF(AT15=0,"",IF(AND(AT15=3,M15="F",SUMIF(C2:C84,C15,AS2:AS84)&lt;=1),SUMIF(C2:C84,C15,AS2:AS84),IF(AND(AT15=3,M15="F",SUMIF(C2:C84,C15,AS2:AS84)&gt;1),1,"")))</f>
        <v/>
      </c>
      <c r="AW15" s="386">
        <f>SUMIF(C2:C84,C15,O2:O84)</f>
        <v>2</v>
      </c>
      <c r="AX15" s="386">
        <f>IF(AND(M15="F",AS15&lt;&gt;0),SUMIF(C2:C84,C15,W2:W84),0)</f>
        <v>0</v>
      </c>
      <c r="AY15" s="386" t="str">
        <f t="shared" si="29"/>
        <v/>
      </c>
      <c r="AZ15" s="386" t="str">
        <f t="shared" si="30"/>
        <v/>
      </c>
      <c r="BA15" s="386">
        <f t="shared" si="31"/>
        <v>0</v>
      </c>
      <c r="BB15" s="386">
        <f t="shared" si="0"/>
        <v>0</v>
      </c>
      <c r="BC15" s="386">
        <f t="shared" si="1"/>
        <v>0</v>
      </c>
      <c r="BD15" s="386">
        <f t="shared" si="2"/>
        <v>0</v>
      </c>
      <c r="BE15" s="386">
        <f t="shared" si="3"/>
        <v>0</v>
      </c>
      <c r="BF15" s="386">
        <f t="shared" si="4"/>
        <v>0</v>
      </c>
      <c r="BG15" s="386">
        <f t="shared" si="5"/>
        <v>0</v>
      </c>
      <c r="BH15" s="386">
        <f t="shared" si="6"/>
        <v>0</v>
      </c>
      <c r="BI15" s="386">
        <f t="shared" si="7"/>
        <v>0</v>
      </c>
      <c r="BJ15" s="386">
        <f t="shared" si="8"/>
        <v>0</v>
      </c>
      <c r="BK15" s="386">
        <f t="shared" si="9"/>
        <v>0</v>
      </c>
      <c r="BL15" s="386">
        <f t="shared" si="32"/>
        <v>0</v>
      </c>
      <c r="BM15" s="386">
        <f t="shared" si="33"/>
        <v>0</v>
      </c>
      <c r="BN15" s="386">
        <f t="shared" si="10"/>
        <v>0</v>
      </c>
      <c r="BO15" s="386">
        <f t="shared" si="11"/>
        <v>0</v>
      </c>
      <c r="BP15" s="386">
        <f t="shared" si="12"/>
        <v>0</v>
      </c>
      <c r="BQ15" s="386">
        <f t="shared" si="13"/>
        <v>0</v>
      </c>
      <c r="BR15" s="386">
        <f t="shared" si="14"/>
        <v>0</v>
      </c>
      <c r="BS15" s="386">
        <f t="shared" si="15"/>
        <v>0</v>
      </c>
      <c r="BT15" s="386">
        <f t="shared" si="16"/>
        <v>0</v>
      </c>
      <c r="BU15" s="386">
        <f t="shared" si="17"/>
        <v>0</v>
      </c>
      <c r="BV15" s="386">
        <f t="shared" si="18"/>
        <v>0</v>
      </c>
      <c r="BW15" s="386">
        <f t="shared" si="19"/>
        <v>0</v>
      </c>
      <c r="BX15" s="386">
        <f t="shared" si="34"/>
        <v>0</v>
      </c>
      <c r="BY15" s="386">
        <f t="shared" si="35"/>
        <v>0</v>
      </c>
      <c r="BZ15" s="386">
        <f t="shared" si="36"/>
        <v>0</v>
      </c>
      <c r="CA15" s="386">
        <f t="shared" si="37"/>
        <v>0</v>
      </c>
      <c r="CB15" s="386">
        <f t="shared" si="38"/>
        <v>0</v>
      </c>
      <c r="CC15" s="386">
        <f t="shared" si="20"/>
        <v>0</v>
      </c>
      <c r="CD15" s="386">
        <f t="shared" si="21"/>
        <v>0</v>
      </c>
      <c r="CE15" s="386">
        <f t="shared" si="22"/>
        <v>0</v>
      </c>
      <c r="CF15" s="386">
        <f t="shared" si="23"/>
        <v>0</v>
      </c>
      <c r="CG15" s="386">
        <f t="shared" si="24"/>
        <v>0</v>
      </c>
      <c r="CH15" s="386">
        <f t="shared" si="25"/>
        <v>0</v>
      </c>
      <c r="CI15" s="386">
        <f t="shared" si="26"/>
        <v>0</v>
      </c>
      <c r="CJ15" s="386">
        <f t="shared" si="39"/>
        <v>0</v>
      </c>
      <c r="CK15" s="386" t="str">
        <f t="shared" si="40"/>
        <v/>
      </c>
      <c r="CL15" s="386" t="str">
        <f t="shared" si="41"/>
        <v/>
      </c>
      <c r="CM15" s="386" t="str">
        <f t="shared" si="42"/>
        <v/>
      </c>
      <c r="CN15" s="386" t="str">
        <f t="shared" si="43"/>
        <v>0001-00</v>
      </c>
    </row>
    <row r="16" spans="1:92" ht="15.75" thickBot="1" x14ac:dyDescent="0.3">
      <c r="A16" s="376" t="s">
        <v>161</v>
      </c>
      <c r="B16" s="376" t="s">
        <v>162</v>
      </c>
      <c r="C16" s="376" t="s">
        <v>264</v>
      </c>
      <c r="D16" s="376" t="s">
        <v>258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259</v>
      </c>
      <c r="L16" s="376" t="s">
        <v>226</v>
      </c>
      <c r="M16" s="376" t="s">
        <v>171</v>
      </c>
      <c r="N16" s="376" t="s">
        <v>172</v>
      </c>
      <c r="O16" s="379">
        <v>1</v>
      </c>
      <c r="P16" s="384">
        <v>0</v>
      </c>
      <c r="Q16" s="384">
        <v>0</v>
      </c>
      <c r="R16" s="380">
        <v>80</v>
      </c>
      <c r="S16" s="384">
        <v>0</v>
      </c>
      <c r="T16" s="380">
        <v>6434.55</v>
      </c>
      <c r="U16" s="380">
        <v>0</v>
      </c>
      <c r="V16" s="380">
        <v>2750.83</v>
      </c>
      <c r="W16" s="380">
        <v>0</v>
      </c>
      <c r="X16" s="380">
        <v>0</v>
      </c>
      <c r="Y16" s="380">
        <v>0</v>
      </c>
      <c r="Z16" s="380">
        <v>0</v>
      </c>
      <c r="AA16" s="376" t="s">
        <v>265</v>
      </c>
      <c r="AB16" s="376" t="s">
        <v>266</v>
      </c>
      <c r="AC16" s="376" t="s">
        <v>267</v>
      </c>
      <c r="AD16" s="376" t="s">
        <v>268</v>
      </c>
      <c r="AE16" s="376" t="s">
        <v>259</v>
      </c>
      <c r="AF16" s="376" t="s">
        <v>231</v>
      </c>
      <c r="AG16" s="376" t="s">
        <v>178</v>
      </c>
      <c r="AH16" s="381">
        <v>28.71</v>
      </c>
      <c r="AI16" s="381">
        <v>17787.8</v>
      </c>
      <c r="AJ16" s="376" t="s">
        <v>179</v>
      </c>
      <c r="AK16" s="376" t="s">
        <v>180</v>
      </c>
      <c r="AL16" s="376" t="s">
        <v>181</v>
      </c>
      <c r="AM16" s="376" t="s">
        <v>182</v>
      </c>
      <c r="AN16" s="376" t="s">
        <v>68</v>
      </c>
      <c r="AO16" s="379">
        <v>80</v>
      </c>
      <c r="AP16" s="384">
        <v>1</v>
      </c>
      <c r="AQ16" s="384">
        <v>0</v>
      </c>
      <c r="AR16" s="382" t="s">
        <v>183</v>
      </c>
      <c r="AS16" s="386">
        <f t="shared" si="27"/>
        <v>0</v>
      </c>
      <c r="AT16">
        <f t="shared" si="28"/>
        <v>0</v>
      </c>
      <c r="AU16" s="386" t="str">
        <f>IF(AT16=0,"",IF(AND(AT16=1,M16="F",SUMIF(C2:C84,C16,AS2:AS84)&lt;=1),SUMIF(C2:C84,C16,AS2:AS84),IF(AND(AT16=1,M16="F",SUMIF(C2:C84,C16,AS2:AS84)&gt;1),1,"")))</f>
        <v/>
      </c>
      <c r="AV16" s="386" t="str">
        <f>IF(AT16=0,"",IF(AND(AT16=3,M16="F",SUMIF(C2:C84,C16,AS2:AS84)&lt;=1),SUMIF(C2:C84,C16,AS2:AS84),IF(AND(AT16=3,M16="F",SUMIF(C2:C84,C16,AS2:AS84)&gt;1),1,"")))</f>
        <v/>
      </c>
      <c r="AW16" s="386">
        <f>SUMIF(C2:C84,C16,O2:O84)</f>
        <v>2</v>
      </c>
      <c r="AX16" s="386">
        <f>IF(AND(M16="F",AS16&lt;&gt;0),SUMIF(C2:C84,C16,W2:W84),0)</f>
        <v>0</v>
      </c>
      <c r="AY16" s="386" t="str">
        <f t="shared" si="29"/>
        <v/>
      </c>
      <c r="AZ16" s="386" t="str">
        <f t="shared" si="30"/>
        <v/>
      </c>
      <c r="BA16" s="386">
        <f t="shared" si="31"/>
        <v>0</v>
      </c>
      <c r="BB16" s="386">
        <f t="shared" si="0"/>
        <v>0</v>
      </c>
      <c r="BC16" s="386">
        <f t="shared" si="1"/>
        <v>0</v>
      </c>
      <c r="BD16" s="386">
        <f t="shared" si="2"/>
        <v>0</v>
      </c>
      <c r="BE16" s="386">
        <f t="shared" si="3"/>
        <v>0</v>
      </c>
      <c r="BF16" s="386">
        <f t="shared" si="4"/>
        <v>0</v>
      </c>
      <c r="BG16" s="386">
        <f t="shared" si="5"/>
        <v>0</v>
      </c>
      <c r="BH16" s="386">
        <f t="shared" si="6"/>
        <v>0</v>
      </c>
      <c r="BI16" s="386">
        <f t="shared" si="7"/>
        <v>0</v>
      </c>
      <c r="BJ16" s="386">
        <f t="shared" si="8"/>
        <v>0</v>
      </c>
      <c r="BK16" s="386">
        <f t="shared" si="9"/>
        <v>0</v>
      </c>
      <c r="BL16" s="386">
        <f t="shared" si="32"/>
        <v>0</v>
      </c>
      <c r="BM16" s="386">
        <f t="shared" si="33"/>
        <v>0</v>
      </c>
      <c r="BN16" s="386">
        <f t="shared" si="10"/>
        <v>0</v>
      </c>
      <c r="BO16" s="386">
        <f t="shared" si="11"/>
        <v>0</v>
      </c>
      <c r="BP16" s="386">
        <f t="shared" si="12"/>
        <v>0</v>
      </c>
      <c r="BQ16" s="386">
        <f t="shared" si="13"/>
        <v>0</v>
      </c>
      <c r="BR16" s="386">
        <f t="shared" si="14"/>
        <v>0</v>
      </c>
      <c r="BS16" s="386">
        <f t="shared" si="15"/>
        <v>0</v>
      </c>
      <c r="BT16" s="386">
        <f t="shared" si="16"/>
        <v>0</v>
      </c>
      <c r="BU16" s="386">
        <f t="shared" si="17"/>
        <v>0</v>
      </c>
      <c r="BV16" s="386">
        <f t="shared" si="18"/>
        <v>0</v>
      </c>
      <c r="BW16" s="386">
        <f t="shared" si="19"/>
        <v>0</v>
      </c>
      <c r="BX16" s="386">
        <f t="shared" si="34"/>
        <v>0</v>
      </c>
      <c r="BY16" s="386">
        <f t="shared" si="35"/>
        <v>0</v>
      </c>
      <c r="BZ16" s="386">
        <f t="shared" si="36"/>
        <v>0</v>
      </c>
      <c r="CA16" s="386">
        <f t="shared" si="37"/>
        <v>0</v>
      </c>
      <c r="CB16" s="386">
        <f t="shared" si="38"/>
        <v>0</v>
      </c>
      <c r="CC16" s="386">
        <f t="shared" si="20"/>
        <v>0</v>
      </c>
      <c r="CD16" s="386">
        <f t="shared" si="21"/>
        <v>0</v>
      </c>
      <c r="CE16" s="386">
        <f t="shared" si="22"/>
        <v>0</v>
      </c>
      <c r="CF16" s="386">
        <f t="shared" si="23"/>
        <v>0</v>
      </c>
      <c r="CG16" s="386">
        <f t="shared" si="24"/>
        <v>0</v>
      </c>
      <c r="CH16" s="386">
        <f t="shared" si="25"/>
        <v>0</v>
      </c>
      <c r="CI16" s="386">
        <f t="shared" si="26"/>
        <v>0</v>
      </c>
      <c r="CJ16" s="386">
        <f t="shared" si="39"/>
        <v>0</v>
      </c>
      <c r="CK16" s="386" t="str">
        <f t="shared" si="40"/>
        <v/>
      </c>
      <c r="CL16" s="386" t="str">
        <f t="shared" si="41"/>
        <v/>
      </c>
      <c r="CM16" s="386" t="str">
        <f t="shared" si="42"/>
        <v/>
      </c>
      <c r="CN16" s="386" t="str">
        <f t="shared" si="43"/>
        <v>0001-00</v>
      </c>
    </row>
    <row r="17" spans="1:92" ht="15.75" thickBot="1" x14ac:dyDescent="0.3">
      <c r="A17" s="376" t="s">
        <v>161</v>
      </c>
      <c r="B17" s="376" t="s">
        <v>162</v>
      </c>
      <c r="C17" s="376" t="s">
        <v>269</v>
      </c>
      <c r="D17" s="376" t="s">
        <v>258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259</v>
      </c>
      <c r="L17" s="376" t="s">
        <v>226</v>
      </c>
      <c r="M17" s="376" t="s">
        <v>171</v>
      </c>
      <c r="N17" s="376" t="s">
        <v>172</v>
      </c>
      <c r="O17" s="379">
        <v>1</v>
      </c>
      <c r="P17" s="384">
        <v>0</v>
      </c>
      <c r="Q17" s="384">
        <v>0</v>
      </c>
      <c r="R17" s="380">
        <v>80</v>
      </c>
      <c r="S17" s="384">
        <v>0</v>
      </c>
      <c r="T17" s="380">
        <v>3998.79</v>
      </c>
      <c r="U17" s="380">
        <v>0</v>
      </c>
      <c r="V17" s="380">
        <v>1770.31</v>
      </c>
      <c r="W17" s="380">
        <v>0</v>
      </c>
      <c r="X17" s="380">
        <v>0</v>
      </c>
      <c r="Y17" s="380">
        <v>0</v>
      </c>
      <c r="Z17" s="380">
        <v>0</v>
      </c>
      <c r="AA17" s="376" t="s">
        <v>270</v>
      </c>
      <c r="AB17" s="376" t="s">
        <v>271</v>
      </c>
      <c r="AC17" s="376" t="s">
        <v>272</v>
      </c>
      <c r="AD17" s="376" t="s">
        <v>273</v>
      </c>
      <c r="AE17" s="376" t="s">
        <v>259</v>
      </c>
      <c r="AF17" s="376" t="s">
        <v>231</v>
      </c>
      <c r="AG17" s="376" t="s">
        <v>178</v>
      </c>
      <c r="AH17" s="381">
        <v>26.74</v>
      </c>
      <c r="AI17" s="381">
        <v>22548.3</v>
      </c>
      <c r="AJ17" s="376" t="s">
        <v>179</v>
      </c>
      <c r="AK17" s="376" t="s">
        <v>180</v>
      </c>
      <c r="AL17" s="376" t="s">
        <v>181</v>
      </c>
      <c r="AM17" s="376" t="s">
        <v>182</v>
      </c>
      <c r="AN17" s="376" t="s">
        <v>68</v>
      </c>
      <c r="AO17" s="379">
        <v>80</v>
      </c>
      <c r="AP17" s="384">
        <v>1</v>
      </c>
      <c r="AQ17" s="384">
        <v>0</v>
      </c>
      <c r="AR17" s="382" t="s">
        <v>183</v>
      </c>
      <c r="AS17" s="386">
        <f t="shared" si="27"/>
        <v>0</v>
      </c>
      <c r="AT17">
        <f t="shared" si="28"/>
        <v>0</v>
      </c>
      <c r="AU17" s="386" t="str">
        <f>IF(AT17=0,"",IF(AND(AT17=1,M17="F",SUMIF(C2:C84,C17,AS2:AS84)&lt;=1),SUMIF(C2:C84,C17,AS2:AS84),IF(AND(AT17=1,M17="F",SUMIF(C2:C84,C17,AS2:AS84)&gt;1),1,"")))</f>
        <v/>
      </c>
      <c r="AV17" s="386" t="str">
        <f>IF(AT17=0,"",IF(AND(AT17=3,M17="F",SUMIF(C2:C84,C17,AS2:AS84)&lt;=1),SUMIF(C2:C84,C17,AS2:AS84),IF(AND(AT17=3,M17="F",SUMIF(C2:C84,C17,AS2:AS84)&gt;1),1,"")))</f>
        <v/>
      </c>
      <c r="AW17" s="386">
        <f>SUMIF(C2:C84,C17,O2:O84)</f>
        <v>2</v>
      </c>
      <c r="AX17" s="386">
        <f>IF(AND(M17="F",AS17&lt;&gt;0),SUMIF(C2:C84,C17,W2:W84),0)</f>
        <v>0</v>
      </c>
      <c r="AY17" s="386" t="str">
        <f t="shared" si="29"/>
        <v/>
      </c>
      <c r="AZ17" s="386" t="str">
        <f t="shared" si="30"/>
        <v/>
      </c>
      <c r="BA17" s="386">
        <f t="shared" si="31"/>
        <v>0</v>
      </c>
      <c r="BB17" s="386">
        <f t="shared" si="0"/>
        <v>0</v>
      </c>
      <c r="BC17" s="386">
        <f t="shared" si="1"/>
        <v>0</v>
      </c>
      <c r="BD17" s="386">
        <f t="shared" si="2"/>
        <v>0</v>
      </c>
      <c r="BE17" s="386">
        <f t="shared" si="3"/>
        <v>0</v>
      </c>
      <c r="BF17" s="386">
        <f t="shared" si="4"/>
        <v>0</v>
      </c>
      <c r="BG17" s="386">
        <f t="shared" si="5"/>
        <v>0</v>
      </c>
      <c r="BH17" s="386">
        <f t="shared" si="6"/>
        <v>0</v>
      </c>
      <c r="BI17" s="386">
        <f t="shared" si="7"/>
        <v>0</v>
      </c>
      <c r="BJ17" s="386">
        <f t="shared" si="8"/>
        <v>0</v>
      </c>
      <c r="BK17" s="386">
        <f t="shared" si="9"/>
        <v>0</v>
      </c>
      <c r="BL17" s="386">
        <f t="shared" si="32"/>
        <v>0</v>
      </c>
      <c r="BM17" s="386">
        <f t="shared" si="33"/>
        <v>0</v>
      </c>
      <c r="BN17" s="386">
        <f t="shared" si="10"/>
        <v>0</v>
      </c>
      <c r="BO17" s="386">
        <f t="shared" si="11"/>
        <v>0</v>
      </c>
      <c r="BP17" s="386">
        <f t="shared" si="12"/>
        <v>0</v>
      </c>
      <c r="BQ17" s="386">
        <f t="shared" si="13"/>
        <v>0</v>
      </c>
      <c r="BR17" s="386">
        <f t="shared" si="14"/>
        <v>0</v>
      </c>
      <c r="BS17" s="386">
        <f t="shared" si="15"/>
        <v>0</v>
      </c>
      <c r="BT17" s="386">
        <f t="shared" si="16"/>
        <v>0</v>
      </c>
      <c r="BU17" s="386">
        <f t="shared" si="17"/>
        <v>0</v>
      </c>
      <c r="BV17" s="386">
        <f t="shared" si="18"/>
        <v>0</v>
      </c>
      <c r="BW17" s="386">
        <f t="shared" si="19"/>
        <v>0</v>
      </c>
      <c r="BX17" s="386">
        <f t="shared" si="34"/>
        <v>0</v>
      </c>
      <c r="BY17" s="386">
        <f t="shared" si="35"/>
        <v>0</v>
      </c>
      <c r="BZ17" s="386">
        <f t="shared" si="36"/>
        <v>0</v>
      </c>
      <c r="CA17" s="386">
        <f t="shared" si="37"/>
        <v>0</v>
      </c>
      <c r="CB17" s="386">
        <f t="shared" si="38"/>
        <v>0</v>
      </c>
      <c r="CC17" s="386">
        <f t="shared" si="20"/>
        <v>0</v>
      </c>
      <c r="CD17" s="386">
        <f t="shared" si="21"/>
        <v>0</v>
      </c>
      <c r="CE17" s="386">
        <f t="shared" si="22"/>
        <v>0</v>
      </c>
      <c r="CF17" s="386">
        <f t="shared" si="23"/>
        <v>0</v>
      </c>
      <c r="CG17" s="386">
        <f t="shared" si="24"/>
        <v>0</v>
      </c>
      <c r="CH17" s="386">
        <f t="shared" si="25"/>
        <v>0</v>
      </c>
      <c r="CI17" s="386">
        <f t="shared" si="26"/>
        <v>0</v>
      </c>
      <c r="CJ17" s="386">
        <f t="shared" si="39"/>
        <v>0</v>
      </c>
      <c r="CK17" s="386" t="str">
        <f t="shared" si="40"/>
        <v/>
      </c>
      <c r="CL17" s="386" t="str">
        <f t="shared" si="41"/>
        <v/>
      </c>
      <c r="CM17" s="386" t="str">
        <f t="shared" si="42"/>
        <v/>
      </c>
      <c r="CN17" s="386" t="str">
        <f t="shared" si="43"/>
        <v>0001-00</v>
      </c>
    </row>
    <row r="18" spans="1:92" ht="15.75" thickBot="1" x14ac:dyDescent="0.3">
      <c r="A18" s="376" t="s">
        <v>161</v>
      </c>
      <c r="B18" s="376" t="s">
        <v>162</v>
      </c>
      <c r="C18" s="376" t="s">
        <v>274</v>
      </c>
      <c r="D18" s="376" t="s">
        <v>258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259</v>
      </c>
      <c r="L18" s="376" t="s">
        <v>226</v>
      </c>
      <c r="M18" s="376" t="s">
        <v>171</v>
      </c>
      <c r="N18" s="376" t="s">
        <v>172</v>
      </c>
      <c r="O18" s="379">
        <v>1</v>
      </c>
      <c r="P18" s="384">
        <v>0</v>
      </c>
      <c r="Q18" s="384">
        <v>0</v>
      </c>
      <c r="R18" s="380">
        <v>80</v>
      </c>
      <c r="S18" s="384">
        <v>0</v>
      </c>
      <c r="T18" s="380">
        <v>4025.35</v>
      </c>
      <c r="U18" s="380">
        <v>0</v>
      </c>
      <c r="V18" s="380">
        <v>1795.09</v>
      </c>
      <c r="W18" s="380">
        <v>0</v>
      </c>
      <c r="X18" s="380">
        <v>0</v>
      </c>
      <c r="Y18" s="380">
        <v>0</v>
      </c>
      <c r="Z18" s="380">
        <v>0</v>
      </c>
      <c r="AA18" s="376" t="s">
        <v>275</v>
      </c>
      <c r="AB18" s="376" t="s">
        <v>276</v>
      </c>
      <c r="AC18" s="376" t="s">
        <v>277</v>
      </c>
      <c r="AD18" s="376" t="s">
        <v>199</v>
      </c>
      <c r="AE18" s="376" t="s">
        <v>259</v>
      </c>
      <c r="AF18" s="376" t="s">
        <v>231</v>
      </c>
      <c r="AG18" s="376" t="s">
        <v>178</v>
      </c>
      <c r="AH18" s="381">
        <v>28.52</v>
      </c>
      <c r="AI18" s="379">
        <v>47222</v>
      </c>
      <c r="AJ18" s="376" t="s">
        <v>179</v>
      </c>
      <c r="AK18" s="376" t="s">
        <v>180</v>
      </c>
      <c r="AL18" s="376" t="s">
        <v>181</v>
      </c>
      <c r="AM18" s="376" t="s">
        <v>182</v>
      </c>
      <c r="AN18" s="376" t="s">
        <v>68</v>
      </c>
      <c r="AO18" s="379">
        <v>80</v>
      </c>
      <c r="AP18" s="384">
        <v>1</v>
      </c>
      <c r="AQ18" s="384">
        <v>0</v>
      </c>
      <c r="AR18" s="382" t="s">
        <v>183</v>
      </c>
      <c r="AS18" s="386">
        <f t="shared" si="27"/>
        <v>0</v>
      </c>
      <c r="AT18">
        <f t="shared" si="28"/>
        <v>0</v>
      </c>
      <c r="AU18" s="386" t="str">
        <f>IF(AT18=0,"",IF(AND(AT18=1,M18="F",SUMIF(C2:C84,C18,AS2:AS84)&lt;=1),SUMIF(C2:C84,C18,AS2:AS84),IF(AND(AT18=1,M18="F",SUMIF(C2:C84,C18,AS2:AS84)&gt;1),1,"")))</f>
        <v/>
      </c>
      <c r="AV18" s="386" t="str">
        <f>IF(AT18=0,"",IF(AND(AT18=3,M18="F",SUMIF(C2:C84,C18,AS2:AS84)&lt;=1),SUMIF(C2:C84,C18,AS2:AS84),IF(AND(AT18=3,M18="F",SUMIF(C2:C84,C18,AS2:AS84)&gt;1),1,"")))</f>
        <v/>
      </c>
      <c r="AW18" s="386">
        <f>SUMIF(C2:C84,C18,O2:O84)</f>
        <v>2</v>
      </c>
      <c r="AX18" s="386">
        <f>IF(AND(M18="F",AS18&lt;&gt;0),SUMIF(C2:C84,C18,W2:W84),0)</f>
        <v>0</v>
      </c>
      <c r="AY18" s="386" t="str">
        <f t="shared" si="29"/>
        <v/>
      </c>
      <c r="AZ18" s="386" t="str">
        <f t="shared" si="30"/>
        <v/>
      </c>
      <c r="BA18" s="386">
        <f t="shared" si="31"/>
        <v>0</v>
      </c>
      <c r="BB18" s="386">
        <f t="shared" si="0"/>
        <v>0</v>
      </c>
      <c r="BC18" s="386">
        <f t="shared" si="1"/>
        <v>0</v>
      </c>
      <c r="BD18" s="386">
        <f t="shared" si="2"/>
        <v>0</v>
      </c>
      <c r="BE18" s="386">
        <f t="shared" si="3"/>
        <v>0</v>
      </c>
      <c r="BF18" s="386">
        <f t="shared" si="4"/>
        <v>0</v>
      </c>
      <c r="BG18" s="386">
        <f t="shared" si="5"/>
        <v>0</v>
      </c>
      <c r="BH18" s="386">
        <f t="shared" si="6"/>
        <v>0</v>
      </c>
      <c r="BI18" s="386">
        <f t="shared" si="7"/>
        <v>0</v>
      </c>
      <c r="BJ18" s="386">
        <f t="shared" si="8"/>
        <v>0</v>
      </c>
      <c r="BK18" s="386">
        <f t="shared" si="9"/>
        <v>0</v>
      </c>
      <c r="BL18" s="386">
        <f t="shared" si="32"/>
        <v>0</v>
      </c>
      <c r="BM18" s="386">
        <f t="shared" si="33"/>
        <v>0</v>
      </c>
      <c r="BN18" s="386">
        <f t="shared" si="10"/>
        <v>0</v>
      </c>
      <c r="BO18" s="386">
        <f t="shared" si="11"/>
        <v>0</v>
      </c>
      <c r="BP18" s="386">
        <f t="shared" si="12"/>
        <v>0</v>
      </c>
      <c r="BQ18" s="386">
        <f t="shared" si="13"/>
        <v>0</v>
      </c>
      <c r="BR18" s="386">
        <f t="shared" si="14"/>
        <v>0</v>
      </c>
      <c r="BS18" s="386">
        <f t="shared" si="15"/>
        <v>0</v>
      </c>
      <c r="BT18" s="386">
        <f t="shared" si="16"/>
        <v>0</v>
      </c>
      <c r="BU18" s="386">
        <f t="shared" si="17"/>
        <v>0</v>
      </c>
      <c r="BV18" s="386">
        <f t="shared" si="18"/>
        <v>0</v>
      </c>
      <c r="BW18" s="386">
        <f t="shared" si="19"/>
        <v>0</v>
      </c>
      <c r="BX18" s="386">
        <f t="shared" si="34"/>
        <v>0</v>
      </c>
      <c r="BY18" s="386">
        <f t="shared" si="35"/>
        <v>0</v>
      </c>
      <c r="BZ18" s="386">
        <f t="shared" si="36"/>
        <v>0</v>
      </c>
      <c r="CA18" s="386">
        <f t="shared" si="37"/>
        <v>0</v>
      </c>
      <c r="CB18" s="386">
        <f t="shared" si="38"/>
        <v>0</v>
      </c>
      <c r="CC18" s="386">
        <f t="shared" si="20"/>
        <v>0</v>
      </c>
      <c r="CD18" s="386">
        <f t="shared" si="21"/>
        <v>0</v>
      </c>
      <c r="CE18" s="386">
        <f t="shared" si="22"/>
        <v>0</v>
      </c>
      <c r="CF18" s="386">
        <f t="shared" si="23"/>
        <v>0</v>
      </c>
      <c r="CG18" s="386">
        <f t="shared" si="24"/>
        <v>0</v>
      </c>
      <c r="CH18" s="386">
        <f t="shared" si="25"/>
        <v>0</v>
      </c>
      <c r="CI18" s="386">
        <f t="shared" si="26"/>
        <v>0</v>
      </c>
      <c r="CJ18" s="386">
        <f t="shared" si="39"/>
        <v>0</v>
      </c>
      <c r="CK18" s="386" t="str">
        <f t="shared" si="40"/>
        <v/>
      </c>
      <c r="CL18" s="386" t="str">
        <f t="shared" si="41"/>
        <v/>
      </c>
      <c r="CM18" s="386" t="str">
        <f t="shared" si="42"/>
        <v/>
      </c>
      <c r="CN18" s="386" t="str">
        <f t="shared" si="43"/>
        <v>0001-00</v>
      </c>
    </row>
    <row r="19" spans="1:92" ht="15.75" thickBot="1" x14ac:dyDescent="0.3">
      <c r="A19" s="376" t="s">
        <v>161</v>
      </c>
      <c r="B19" s="376" t="s">
        <v>162</v>
      </c>
      <c r="C19" s="376" t="s">
        <v>278</v>
      </c>
      <c r="D19" s="376" t="s">
        <v>258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259</v>
      </c>
      <c r="L19" s="376" t="s">
        <v>226</v>
      </c>
      <c r="M19" s="376" t="s">
        <v>171</v>
      </c>
      <c r="N19" s="376" t="s">
        <v>172</v>
      </c>
      <c r="O19" s="379">
        <v>1</v>
      </c>
      <c r="P19" s="384">
        <v>0</v>
      </c>
      <c r="Q19" s="384">
        <v>0</v>
      </c>
      <c r="R19" s="380">
        <v>80</v>
      </c>
      <c r="S19" s="384">
        <v>0</v>
      </c>
      <c r="T19" s="380">
        <v>4138.3599999999997</v>
      </c>
      <c r="U19" s="380">
        <v>0</v>
      </c>
      <c r="V19" s="380">
        <v>1801.11</v>
      </c>
      <c r="W19" s="380">
        <v>0</v>
      </c>
      <c r="X19" s="380">
        <v>0</v>
      </c>
      <c r="Y19" s="380">
        <v>0</v>
      </c>
      <c r="Z19" s="380">
        <v>0</v>
      </c>
      <c r="AA19" s="376" t="s">
        <v>279</v>
      </c>
      <c r="AB19" s="376" t="s">
        <v>280</v>
      </c>
      <c r="AC19" s="376" t="s">
        <v>281</v>
      </c>
      <c r="AD19" s="376" t="s">
        <v>282</v>
      </c>
      <c r="AE19" s="376" t="s">
        <v>259</v>
      </c>
      <c r="AF19" s="376" t="s">
        <v>231</v>
      </c>
      <c r="AG19" s="376" t="s">
        <v>178</v>
      </c>
      <c r="AH19" s="381">
        <v>28.31</v>
      </c>
      <c r="AI19" s="381">
        <v>28669.9</v>
      </c>
      <c r="AJ19" s="376" t="s">
        <v>179</v>
      </c>
      <c r="AK19" s="376" t="s">
        <v>180</v>
      </c>
      <c r="AL19" s="376" t="s">
        <v>181</v>
      </c>
      <c r="AM19" s="376" t="s">
        <v>182</v>
      </c>
      <c r="AN19" s="376" t="s">
        <v>68</v>
      </c>
      <c r="AO19" s="379">
        <v>80</v>
      </c>
      <c r="AP19" s="384">
        <v>1</v>
      </c>
      <c r="AQ19" s="384">
        <v>0</v>
      </c>
      <c r="AR19" s="382" t="s">
        <v>183</v>
      </c>
      <c r="AS19" s="386">
        <f t="shared" si="27"/>
        <v>0</v>
      </c>
      <c r="AT19">
        <f t="shared" si="28"/>
        <v>0</v>
      </c>
      <c r="AU19" s="386" t="str">
        <f>IF(AT19=0,"",IF(AND(AT19=1,M19="F",SUMIF(C2:C84,C19,AS2:AS84)&lt;=1),SUMIF(C2:C84,C19,AS2:AS84),IF(AND(AT19=1,M19="F",SUMIF(C2:C84,C19,AS2:AS84)&gt;1),1,"")))</f>
        <v/>
      </c>
      <c r="AV19" s="386" t="str">
        <f>IF(AT19=0,"",IF(AND(AT19=3,M19="F",SUMIF(C2:C84,C19,AS2:AS84)&lt;=1),SUMIF(C2:C84,C19,AS2:AS84),IF(AND(AT19=3,M19="F",SUMIF(C2:C84,C19,AS2:AS84)&gt;1),1,"")))</f>
        <v/>
      </c>
      <c r="AW19" s="386">
        <f>SUMIF(C2:C84,C19,O2:O84)</f>
        <v>2</v>
      </c>
      <c r="AX19" s="386">
        <f>IF(AND(M19="F",AS19&lt;&gt;0),SUMIF(C2:C84,C19,W2:W84),0)</f>
        <v>0</v>
      </c>
      <c r="AY19" s="386" t="str">
        <f t="shared" si="29"/>
        <v/>
      </c>
      <c r="AZ19" s="386" t="str">
        <f t="shared" si="30"/>
        <v/>
      </c>
      <c r="BA19" s="386">
        <f t="shared" si="31"/>
        <v>0</v>
      </c>
      <c r="BB19" s="386">
        <f t="shared" si="0"/>
        <v>0</v>
      </c>
      <c r="BC19" s="386">
        <f t="shared" si="1"/>
        <v>0</v>
      </c>
      <c r="BD19" s="386">
        <f t="shared" si="2"/>
        <v>0</v>
      </c>
      <c r="BE19" s="386">
        <f t="shared" si="3"/>
        <v>0</v>
      </c>
      <c r="BF19" s="386">
        <f t="shared" si="4"/>
        <v>0</v>
      </c>
      <c r="BG19" s="386">
        <f t="shared" si="5"/>
        <v>0</v>
      </c>
      <c r="BH19" s="386">
        <f t="shared" si="6"/>
        <v>0</v>
      </c>
      <c r="BI19" s="386">
        <f t="shared" si="7"/>
        <v>0</v>
      </c>
      <c r="BJ19" s="386">
        <f t="shared" si="8"/>
        <v>0</v>
      </c>
      <c r="BK19" s="386">
        <f t="shared" si="9"/>
        <v>0</v>
      </c>
      <c r="BL19" s="386">
        <f t="shared" si="32"/>
        <v>0</v>
      </c>
      <c r="BM19" s="386">
        <f t="shared" si="33"/>
        <v>0</v>
      </c>
      <c r="BN19" s="386">
        <f t="shared" si="10"/>
        <v>0</v>
      </c>
      <c r="BO19" s="386">
        <f t="shared" si="11"/>
        <v>0</v>
      </c>
      <c r="BP19" s="386">
        <f t="shared" si="12"/>
        <v>0</v>
      </c>
      <c r="BQ19" s="386">
        <f t="shared" si="13"/>
        <v>0</v>
      </c>
      <c r="BR19" s="386">
        <f t="shared" si="14"/>
        <v>0</v>
      </c>
      <c r="BS19" s="386">
        <f t="shared" si="15"/>
        <v>0</v>
      </c>
      <c r="BT19" s="386">
        <f t="shared" si="16"/>
        <v>0</v>
      </c>
      <c r="BU19" s="386">
        <f t="shared" si="17"/>
        <v>0</v>
      </c>
      <c r="BV19" s="386">
        <f t="shared" si="18"/>
        <v>0</v>
      </c>
      <c r="BW19" s="386">
        <f t="shared" si="19"/>
        <v>0</v>
      </c>
      <c r="BX19" s="386">
        <f t="shared" si="34"/>
        <v>0</v>
      </c>
      <c r="BY19" s="386">
        <f t="shared" si="35"/>
        <v>0</v>
      </c>
      <c r="BZ19" s="386">
        <f t="shared" si="36"/>
        <v>0</v>
      </c>
      <c r="CA19" s="386">
        <f t="shared" si="37"/>
        <v>0</v>
      </c>
      <c r="CB19" s="386">
        <f t="shared" si="38"/>
        <v>0</v>
      </c>
      <c r="CC19" s="386">
        <f t="shared" si="20"/>
        <v>0</v>
      </c>
      <c r="CD19" s="386">
        <f t="shared" si="21"/>
        <v>0</v>
      </c>
      <c r="CE19" s="386">
        <f t="shared" si="22"/>
        <v>0</v>
      </c>
      <c r="CF19" s="386">
        <f t="shared" si="23"/>
        <v>0</v>
      </c>
      <c r="CG19" s="386">
        <f t="shared" si="24"/>
        <v>0</v>
      </c>
      <c r="CH19" s="386">
        <f t="shared" si="25"/>
        <v>0</v>
      </c>
      <c r="CI19" s="386">
        <f t="shared" si="26"/>
        <v>0</v>
      </c>
      <c r="CJ19" s="386">
        <f t="shared" si="39"/>
        <v>0</v>
      </c>
      <c r="CK19" s="386" t="str">
        <f t="shared" si="40"/>
        <v/>
      </c>
      <c r="CL19" s="386" t="str">
        <f t="shared" si="41"/>
        <v/>
      </c>
      <c r="CM19" s="386" t="str">
        <f t="shared" si="42"/>
        <v/>
      </c>
      <c r="CN19" s="386" t="str">
        <f t="shared" si="43"/>
        <v>0001-00</v>
      </c>
    </row>
    <row r="20" spans="1:92" ht="15.75" thickBot="1" x14ac:dyDescent="0.3">
      <c r="A20" s="376" t="s">
        <v>161</v>
      </c>
      <c r="B20" s="376" t="s">
        <v>162</v>
      </c>
      <c r="C20" s="376" t="s">
        <v>283</v>
      </c>
      <c r="D20" s="376" t="s">
        <v>284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218</v>
      </c>
      <c r="K20" s="376" t="s">
        <v>285</v>
      </c>
      <c r="L20" s="376" t="s">
        <v>187</v>
      </c>
      <c r="M20" s="376" t="s">
        <v>171</v>
      </c>
      <c r="N20" s="376" t="s">
        <v>172</v>
      </c>
      <c r="O20" s="379">
        <v>1</v>
      </c>
      <c r="P20" s="384">
        <v>0</v>
      </c>
      <c r="Q20" s="384">
        <v>0</v>
      </c>
      <c r="R20" s="380">
        <v>80</v>
      </c>
      <c r="S20" s="384">
        <v>0</v>
      </c>
      <c r="T20" s="380">
        <v>2936.01</v>
      </c>
      <c r="U20" s="380">
        <v>0</v>
      </c>
      <c r="V20" s="380">
        <v>1607.58</v>
      </c>
      <c r="W20" s="380">
        <v>0</v>
      </c>
      <c r="X20" s="380">
        <v>0</v>
      </c>
      <c r="Y20" s="380">
        <v>0</v>
      </c>
      <c r="Z20" s="380">
        <v>0</v>
      </c>
      <c r="AA20" s="376" t="s">
        <v>286</v>
      </c>
      <c r="AB20" s="376" t="s">
        <v>287</v>
      </c>
      <c r="AC20" s="376" t="s">
        <v>288</v>
      </c>
      <c r="AD20" s="376" t="s">
        <v>289</v>
      </c>
      <c r="AE20" s="376" t="s">
        <v>285</v>
      </c>
      <c r="AF20" s="376" t="s">
        <v>192</v>
      </c>
      <c r="AG20" s="376" t="s">
        <v>178</v>
      </c>
      <c r="AH20" s="381">
        <v>19.27</v>
      </c>
      <c r="AI20" s="381">
        <v>59088.1</v>
      </c>
      <c r="AJ20" s="376" t="s">
        <v>179</v>
      </c>
      <c r="AK20" s="376" t="s">
        <v>180</v>
      </c>
      <c r="AL20" s="376" t="s">
        <v>181</v>
      </c>
      <c r="AM20" s="376" t="s">
        <v>182</v>
      </c>
      <c r="AN20" s="376" t="s">
        <v>68</v>
      </c>
      <c r="AO20" s="379">
        <v>80</v>
      </c>
      <c r="AP20" s="384">
        <v>1</v>
      </c>
      <c r="AQ20" s="384">
        <v>0</v>
      </c>
      <c r="AR20" s="382" t="s">
        <v>183</v>
      </c>
      <c r="AS20" s="386">
        <f t="shared" si="27"/>
        <v>0</v>
      </c>
      <c r="AT20">
        <f t="shared" si="28"/>
        <v>0</v>
      </c>
      <c r="AU20" s="386" t="str">
        <f>IF(AT20=0,"",IF(AND(AT20=1,M20="F",SUMIF(C2:C84,C20,AS2:AS84)&lt;=1),SUMIF(C2:C84,C20,AS2:AS84),IF(AND(AT20=1,M20="F",SUMIF(C2:C84,C20,AS2:AS84)&gt;1),1,"")))</f>
        <v/>
      </c>
      <c r="AV20" s="386" t="str">
        <f>IF(AT20=0,"",IF(AND(AT20=3,M20="F",SUMIF(C2:C84,C20,AS2:AS84)&lt;=1),SUMIF(C2:C84,C20,AS2:AS84),IF(AND(AT20=3,M20="F",SUMIF(C2:C84,C20,AS2:AS84)&gt;1),1,"")))</f>
        <v/>
      </c>
      <c r="AW20" s="386">
        <f>SUMIF(C2:C84,C20,O2:O84)</f>
        <v>2</v>
      </c>
      <c r="AX20" s="386">
        <f>IF(AND(M20="F",AS20&lt;&gt;0),SUMIF(C2:C84,C20,W2:W84),0)</f>
        <v>0</v>
      </c>
      <c r="AY20" s="386" t="str">
        <f t="shared" si="29"/>
        <v/>
      </c>
      <c r="AZ20" s="386" t="str">
        <f t="shared" si="30"/>
        <v/>
      </c>
      <c r="BA20" s="386">
        <f t="shared" si="31"/>
        <v>0</v>
      </c>
      <c r="BB20" s="386">
        <f t="shared" si="0"/>
        <v>0</v>
      </c>
      <c r="BC20" s="386">
        <f t="shared" si="1"/>
        <v>0</v>
      </c>
      <c r="BD20" s="386">
        <f t="shared" si="2"/>
        <v>0</v>
      </c>
      <c r="BE20" s="386">
        <f t="shared" si="3"/>
        <v>0</v>
      </c>
      <c r="BF20" s="386">
        <f t="shared" si="4"/>
        <v>0</v>
      </c>
      <c r="BG20" s="386">
        <f t="shared" si="5"/>
        <v>0</v>
      </c>
      <c r="BH20" s="386">
        <f t="shared" si="6"/>
        <v>0</v>
      </c>
      <c r="BI20" s="386">
        <f t="shared" si="7"/>
        <v>0</v>
      </c>
      <c r="BJ20" s="386">
        <f t="shared" si="8"/>
        <v>0</v>
      </c>
      <c r="BK20" s="386">
        <f t="shared" si="9"/>
        <v>0</v>
      </c>
      <c r="BL20" s="386">
        <f t="shared" si="32"/>
        <v>0</v>
      </c>
      <c r="BM20" s="386">
        <f t="shared" si="33"/>
        <v>0</v>
      </c>
      <c r="BN20" s="386">
        <f t="shared" si="10"/>
        <v>0</v>
      </c>
      <c r="BO20" s="386">
        <f t="shared" si="11"/>
        <v>0</v>
      </c>
      <c r="BP20" s="386">
        <f t="shared" si="12"/>
        <v>0</v>
      </c>
      <c r="BQ20" s="386">
        <f t="shared" si="13"/>
        <v>0</v>
      </c>
      <c r="BR20" s="386">
        <f t="shared" si="14"/>
        <v>0</v>
      </c>
      <c r="BS20" s="386">
        <f t="shared" si="15"/>
        <v>0</v>
      </c>
      <c r="BT20" s="386">
        <f t="shared" si="16"/>
        <v>0</v>
      </c>
      <c r="BU20" s="386">
        <f t="shared" si="17"/>
        <v>0</v>
      </c>
      <c r="BV20" s="386">
        <f t="shared" si="18"/>
        <v>0</v>
      </c>
      <c r="BW20" s="386">
        <f t="shared" si="19"/>
        <v>0</v>
      </c>
      <c r="BX20" s="386">
        <f t="shared" si="34"/>
        <v>0</v>
      </c>
      <c r="BY20" s="386">
        <f t="shared" si="35"/>
        <v>0</v>
      </c>
      <c r="BZ20" s="386">
        <f t="shared" si="36"/>
        <v>0</v>
      </c>
      <c r="CA20" s="386">
        <f t="shared" si="37"/>
        <v>0</v>
      </c>
      <c r="CB20" s="386">
        <f t="shared" si="38"/>
        <v>0</v>
      </c>
      <c r="CC20" s="386">
        <f t="shared" si="20"/>
        <v>0</v>
      </c>
      <c r="CD20" s="386">
        <f t="shared" si="21"/>
        <v>0</v>
      </c>
      <c r="CE20" s="386">
        <f t="shared" si="22"/>
        <v>0</v>
      </c>
      <c r="CF20" s="386">
        <f t="shared" si="23"/>
        <v>0</v>
      </c>
      <c r="CG20" s="386">
        <f t="shared" si="24"/>
        <v>0</v>
      </c>
      <c r="CH20" s="386">
        <f t="shared" si="25"/>
        <v>0</v>
      </c>
      <c r="CI20" s="386">
        <f t="shared" si="26"/>
        <v>0</v>
      </c>
      <c r="CJ20" s="386">
        <f t="shared" si="39"/>
        <v>0</v>
      </c>
      <c r="CK20" s="386" t="str">
        <f t="shared" si="40"/>
        <v/>
      </c>
      <c r="CL20" s="386" t="str">
        <f t="shared" si="41"/>
        <v/>
      </c>
      <c r="CM20" s="386" t="str">
        <f t="shared" si="42"/>
        <v/>
      </c>
      <c r="CN20" s="386" t="str">
        <f t="shared" si="43"/>
        <v>0001-00</v>
      </c>
    </row>
    <row r="21" spans="1:92" ht="15.75" thickBot="1" x14ac:dyDescent="0.3">
      <c r="A21" s="376" t="s">
        <v>161</v>
      </c>
      <c r="B21" s="376" t="s">
        <v>162</v>
      </c>
      <c r="C21" s="376" t="s">
        <v>290</v>
      </c>
      <c r="D21" s="376" t="s">
        <v>291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292</v>
      </c>
      <c r="L21" s="376" t="s">
        <v>180</v>
      </c>
      <c r="M21" s="376" t="s">
        <v>171</v>
      </c>
      <c r="N21" s="376" t="s">
        <v>172</v>
      </c>
      <c r="O21" s="379">
        <v>1</v>
      </c>
      <c r="P21" s="384">
        <v>0</v>
      </c>
      <c r="Q21" s="384">
        <v>0</v>
      </c>
      <c r="R21" s="380">
        <v>80</v>
      </c>
      <c r="S21" s="384">
        <v>0</v>
      </c>
      <c r="T21" s="380">
        <v>2028.8</v>
      </c>
      <c r="U21" s="380">
        <v>0</v>
      </c>
      <c r="V21" s="380">
        <v>1399.47</v>
      </c>
      <c r="W21" s="380">
        <v>0</v>
      </c>
      <c r="X21" s="380">
        <v>0</v>
      </c>
      <c r="Y21" s="380">
        <v>0</v>
      </c>
      <c r="Z21" s="380">
        <v>0</v>
      </c>
      <c r="AA21" s="376" t="s">
        <v>293</v>
      </c>
      <c r="AB21" s="376" t="s">
        <v>294</v>
      </c>
      <c r="AC21" s="376" t="s">
        <v>295</v>
      </c>
      <c r="AD21" s="376" t="s">
        <v>296</v>
      </c>
      <c r="AE21" s="376" t="s">
        <v>292</v>
      </c>
      <c r="AF21" s="376" t="s">
        <v>297</v>
      </c>
      <c r="AG21" s="376" t="s">
        <v>178</v>
      </c>
      <c r="AH21" s="381">
        <v>13.25</v>
      </c>
      <c r="AI21" s="381">
        <v>47700.5</v>
      </c>
      <c r="AJ21" s="376" t="s">
        <v>179</v>
      </c>
      <c r="AK21" s="376" t="s">
        <v>180</v>
      </c>
      <c r="AL21" s="376" t="s">
        <v>181</v>
      </c>
      <c r="AM21" s="376" t="s">
        <v>182</v>
      </c>
      <c r="AN21" s="376" t="s">
        <v>68</v>
      </c>
      <c r="AO21" s="379">
        <v>80</v>
      </c>
      <c r="AP21" s="384">
        <v>1</v>
      </c>
      <c r="AQ21" s="384">
        <v>0</v>
      </c>
      <c r="AR21" s="382" t="s">
        <v>183</v>
      </c>
      <c r="AS21" s="386">
        <f t="shared" si="27"/>
        <v>0</v>
      </c>
      <c r="AT21">
        <f t="shared" si="28"/>
        <v>0</v>
      </c>
      <c r="AU21" s="386" t="str">
        <f>IF(AT21=0,"",IF(AND(AT21=1,M21="F",SUMIF(C2:C84,C21,AS2:AS84)&lt;=1),SUMIF(C2:C84,C21,AS2:AS84),IF(AND(AT21=1,M21="F",SUMIF(C2:C84,C21,AS2:AS84)&gt;1),1,"")))</f>
        <v/>
      </c>
      <c r="AV21" s="386" t="str">
        <f>IF(AT21=0,"",IF(AND(AT21=3,M21="F",SUMIF(C2:C84,C21,AS2:AS84)&lt;=1),SUMIF(C2:C84,C21,AS2:AS84),IF(AND(AT21=3,M21="F",SUMIF(C2:C84,C21,AS2:AS84)&gt;1),1,"")))</f>
        <v/>
      </c>
      <c r="AW21" s="386">
        <f>SUMIF(C2:C84,C21,O2:O84)</f>
        <v>2</v>
      </c>
      <c r="AX21" s="386">
        <f>IF(AND(M21="F",AS21&lt;&gt;0),SUMIF(C2:C84,C21,W2:W84),0)</f>
        <v>0</v>
      </c>
      <c r="AY21" s="386" t="str">
        <f t="shared" si="29"/>
        <v/>
      </c>
      <c r="AZ21" s="386" t="str">
        <f t="shared" si="30"/>
        <v/>
      </c>
      <c r="BA21" s="386">
        <f t="shared" si="31"/>
        <v>0</v>
      </c>
      <c r="BB21" s="386">
        <f t="shared" si="0"/>
        <v>0</v>
      </c>
      <c r="BC21" s="386">
        <f t="shared" si="1"/>
        <v>0</v>
      </c>
      <c r="BD21" s="386">
        <f t="shared" si="2"/>
        <v>0</v>
      </c>
      <c r="BE21" s="386">
        <f t="shared" si="3"/>
        <v>0</v>
      </c>
      <c r="BF21" s="386">
        <f t="shared" si="4"/>
        <v>0</v>
      </c>
      <c r="BG21" s="386">
        <f t="shared" si="5"/>
        <v>0</v>
      </c>
      <c r="BH21" s="386">
        <f t="shared" si="6"/>
        <v>0</v>
      </c>
      <c r="BI21" s="386">
        <f t="shared" si="7"/>
        <v>0</v>
      </c>
      <c r="BJ21" s="386">
        <f t="shared" si="8"/>
        <v>0</v>
      </c>
      <c r="BK21" s="386">
        <f t="shared" si="9"/>
        <v>0</v>
      </c>
      <c r="BL21" s="386">
        <f t="shared" si="32"/>
        <v>0</v>
      </c>
      <c r="BM21" s="386">
        <f t="shared" si="33"/>
        <v>0</v>
      </c>
      <c r="BN21" s="386">
        <f t="shared" si="10"/>
        <v>0</v>
      </c>
      <c r="BO21" s="386">
        <f t="shared" si="11"/>
        <v>0</v>
      </c>
      <c r="BP21" s="386">
        <f t="shared" si="12"/>
        <v>0</v>
      </c>
      <c r="BQ21" s="386">
        <f t="shared" si="13"/>
        <v>0</v>
      </c>
      <c r="BR21" s="386">
        <f t="shared" si="14"/>
        <v>0</v>
      </c>
      <c r="BS21" s="386">
        <f t="shared" si="15"/>
        <v>0</v>
      </c>
      <c r="BT21" s="386">
        <f t="shared" si="16"/>
        <v>0</v>
      </c>
      <c r="BU21" s="386">
        <f t="shared" si="17"/>
        <v>0</v>
      </c>
      <c r="BV21" s="386">
        <f t="shared" si="18"/>
        <v>0</v>
      </c>
      <c r="BW21" s="386">
        <f t="shared" si="19"/>
        <v>0</v>
      </c>
      <c r="BX21" s="386">
        <f t="shared" si="34"/>
        <v>0</v>
      </c>
      <c r="BY21" s="386">
        <f t="shared" si="35"/>
        <v>0</v>
      </c>
      <c r="BZ21" s="386">
        <f t="shared" si="36"/>
        <v>0</v>
      </c>
      <c r="CA21" s="386">
        <f t="shared" si="37"/>
        <v>0</v>
      </c>
      <c r="CB21" s="386">
        <f t="shared" si="38"/>
        <v>0</v>
      </c>
      <c r="CC21" s="386">
        <f t="shared" si="20"/>
        <v>0</v>
      </c>
      <c r="CD21" s="386">
        <f t="shared" si="21"/>
        <v>0</v>
      </c>
      <c r="CE21" s="386">
        <f t="shared" si="22"/>
        <v>0</v>
      </c>
      <c r="CF21" s="386">
        <f t="shared" si="23"/>
        <v>0</v>
      </c>
      <c r="CG21" s="386">
        <f t="shared" si="24"/>
        <v>0</v>
      </c>
      <c r="CH21" s="386">
        <f t="shared" si="25"/>
        <v>0</v>
      </c>
      <c r="CI21" s="386">
        <f t="shared" si="26"/>
        <v>0</v>
      </c>
      <c r="CJ21" s="386">
        <f t="shared" si="39"/>
        <v>0</v>
      </c>
      <c r="CK21" s="386" t="str">
        <f t="shared" si="40"/>
        <v/>
      </c>
      <c r="CL21" s="386" t="str">
        <f t="shared" si="41"/>
        <v/>
      </c>
      <c r="CM21" s="386" t="str">
        <f t="shared" si="42"/>
        <v/>
      </c>
      <c r="CN21" s="386" t="str">
        <f t="shared" si="43"/>
        <v>0001-00</v>
      </c>
    </row>
    <row r="22" spans="1:92" ht="15.75" thickBot="1" x14ac:dyDescent="0.3">
      <c r="A22" s="376" t="s">
        <v>161</v>
      </c>
      <c r="B22" s="376" t="s">
        <v>162</v>
      </c>
      <c r="C22" s="376" t="s">
        <v>298</v>
      </c>
      <c r="D22" s="376" t="s">
        <v>284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285</v>
      </c>
      <c r="L22" s="376" t="s">
        <v>187</v>
      </c>
      <c r="M22" s="376" t="s">
        <v>171</v>
      </c>
      <c r="N22" s="376" t="s">
        <v>172</v>
      </c>
      <c r="O22" s="379">
        <v>1</v>
      </c>
      <c r="P22" s="384">
        <v>0</v>
      </c>
      <c r="Q22" s="384">
        <v>0</v>
      </c>
      <c r="R22" s="380">
        <v>80</v>
      </c>
      <c r="S22" s="384">
        <v>0</v>
      </c>
      <c r="T22" s="380">
        <v>2620.8000000000002</v>
      </c>
      <c r="U22" s="380">
        <v>0</v>
      </c>
      <c r="V22" s="380">
        <v>1523.35</v>
      </c>
      <c r="W22" s="380">
        <v>0</v>
      </c>
      <c r="X22" s="380">
        <v>0</v>
      </c>
      <c r="Y22" s="380">
        <v>0</v>
      </c>
      <c r="Z22" s="380">
        <v>0</v>
      </c>
      <c r="AA22" s="376" t="s">
        <v>299</v>
      </c>
      <c r="AB22" s="376" t="s">
        <v>300</v>
      </c>
      <c r="AC22" s="376" t="s">
        <v>301</v>
      </c>
      <c r="AD22" s="376" t="s">
        <v>302</v>
      </c>
      <c r="AE22" s="376" t="s">
        <v>285</v>
      </c>
      <c r="AF22" s="376" t="s">
        <v>192</v>
      </c>
      <c r="AG22" s="376" t="s">
        <v>178</v>
      </c>
      <c r="AH22" s="381">
        <v>17.28</v>
      </c>
      <c r="AI22" s="381">
        <v>21207.4</v>
      </c>
      <c r="AJ22" s="376" t="s">
        <v>179</v>
      </c>
      <c r="AK22" s="376" t="s">
        <v>180</v>
      </c>
      <c r="AL22" s="376" t="s">
        <v>181</v>
      </c>
      <c r="AM22" s="376" t="s">
        <v>182</v>
      </c>
      <c r="AN22" s="376" t="s">
        <v>68</v>
      </c>
      <c r="AO22" s="379">
        <v>80</v>
      </c>
      <c r="AP22" s="384">
        <v>1</v>
      </c>
      <c r="AQ22" s="384">
        <v>0</v>
      </c>
      <c r="AR22" s="382" t="s">
        <v>183</v>
      </c>
      <c r="AS22" s="386">
        <f t="shared" si="27"/>
        <v>0</v>
      </c>
      <c r="AT22">
        <f t="shared" si="28"/>
        <v>0</v>
      </c>
      <c r="AU22" s="386" t="str">
        <f>IF(AT22=0,"",IF(AND(AT22=1,M22="F",SUMIF(C2:C84,C22,AS2:AS84)&lt;=1),SUMIF(C2:C84,C22,AS2:AS84),IF(AND(AT22=1,M22="F",SUMIF(C2:C84,C22,AS2:AS84)&gt;1),1,"")))</f>
        <v/>
      </c>
      <c r="AV22" s="386" t="str">
        <f>IF(AT22=0,"",IF(AND(AT22=3,M22="F",SUMIF(C2:C84,C22,AS2:AS84)&lt;=1),SUMIF(C2:C84,C22,AS2:AS84),IF(AND(AT22=3,M22="F",SUMIF(C2:C84,C22,AS2:AS84)&gt;1),1,"")))</f>
        <v/>
      </c>
      <c r="AW22" s="386">
        <f>SUMIF(C2:C84,C22,O2:O84)</f>
        <v>2</v>
      </c>
      <c r="AX22" s="386">
        <f>IF(AND(M22="F",AS22&lt;&gt;0),SUMIF(C2:C84,C22,W2:W84),0)</f>
        <v>0</v>
      </c>
      <c r="AY22" s="386" t="str">
        <f t="shared" si="29"/>
        <v/>
      </c>
      <c r="AZ22" s="386" t="str">
        <f t="shared" si="30"/>
        <v/>
      </c>
      <c r="BA22" s="386">
        <f t="shared" si="31"/>
        <v>0</v>
      </c>
      <c r="BB22" s="386">
        <f t="shared" si="0"/>
        <v>0</v>
      </c>
      <c r="BC22" s="386">
        <f t="shared" si="1"/>
        <v>0</v>
      </c>
      <c r="BD22" s="386">
        <f t="shared" si="2"/>
        <v>0</v>
      </c>
      <c r="BE22" s="386">
        <f t="shared" si="3"/>
        <v>0</v>
      </c>
      <c r="BF22" s="386">
        <f t="shared" si="4"/>
        <v>0</v>
      </c>
      <c r="BG22" s="386">
        <f t="shared" si="5"/>
        <v>0</v>
      </c>
      <c r="BH22" s="386">
        <f t="shared" si="6"/>
        <v>0</v>
      </c>
      <c r="BI22" s="386">
        <f t="shared" si="7"/>
        <v>0</v>
      </c>
      <c r="BJ22" s="386">
        <f t="shared" si="8"/>
        <v>0</v>
      </c>
      <c r="BK22" s="386">
        <f t="shared" si="9"/>
        <v>0</v>
      </c>
      <c r="BL22" s="386">
        <f t="shared" si="32"/>
        <v>0</v>
      </c>
      <c r="BM22" s="386">
        <f t="shared" si="33"/>
        <v>0</v>
      </c>
      <c r="BN22" s="386">
        <f t="shared" si="10"/>
        <v>0</v>
      </c>
      <c r="BO22" s="386">
        <f t="shared" si="11"/>
        <v>0</v>
      </c>
      <c r="BP22" s="386">
        <f t="shared" si="12"/>
        <v>0</v>
      </c>
      <c r="BQ22" s="386">
        <f t="shared" si="13"/>
        <v>0</v>
      </c>
      <c r="BR22" s="386">
        <f t="shared" si="14"/>
        <v>0</v>
      </c>
      <c r="BS22" s="386">
        <f t="shared" si="15"/>
        <v>0</v>
      </c>
      <c r="BT22" s="386">
        <f t="shared" si="16"/>
        <v>0</v>
      </c>
      <c r="BU22" s="386">
        <f t="shared" si="17"/>
        <v>0</v>
      </c>
      <c r="BV22" s="386">
        <f t="shared" si="18"/>
        <v>0</v>
      </c>
      <c r="BW22" s="386">
        <f t="shared" si="19"/>
        <v>0</v>
      </c>
      <c r="BX22" s="386">
        <f t="shared" si="34"/>
        <v>0</v>
      </c>
      <c r="BY22" s="386">
        <f t="shared" si="35"/>
        <v>0</v>
      </c>
      <c r="BZ22" s="386">
        <f t="shared" si="36"/>
        <v>0</v>
      </c>
      <c r="CA22" s="386">
        <f t="shared" si="37"/>
        <v>0</v>
      </c>
      <c r="CB22" s="386">
        <f t="shared" si="38"/>
        <v>0</v>
      </c>
      <c r="CC22" s="386">
        <f t="shared" si="20"/>
        <v>0</v>
      </c>
      <c r="CD22" s="386">
        <f t="shared" si="21"/>
        <v>0</v>
      </c>
      <c r="CE22" s="386">
        <f t="shared" si="22"/>
        <v>0</v>
      </c>
      <c r="CF22" s="386">
        <f t="shared" si="23"/>
        <v>0</v>
      </c>
      <c r="CG22" s="386">
        <f t="shared" si="24"/>
        <v>0</v>
      </c>
      <c r="CH22" s="386">
        <f t="shared" si="25"/>
        <v>0</v>
      </c>
      <c r="CI22" s="386">
        <f t="shared" si="26"/>
        <v>0</v>
      </c>
      <c r="CJ22" s="386">
        <f t="shared" si="39"/>
        <v>0</v>
      </c>
      <c r="CK22" s="386" t="str">
        <f t="shared" si="40"/>
        <v/>
      </c>
      <c r="CL22" s="386" t="str">
        <f t="shared" si="41"/>
        <v/>
      </c>
      <c r="CM22" s="386" t="str">
        <f t="shared" si="42"/>
        <v/>
      </c>
      <c r="CN22" s="386" t="str">
        <f t="shared" si="43"/>
        <v>0001-00</v>
      </c>
    </row>
    <row r="23" spans="1:92" ht="15.75" thickBot="1" x14ac:dyDescent="0.3">
      <c r="A23" s="376" t="s">
        <v>161</v>
      </c>
      <c r="B23" s="376" t="s">
        <v>162</v>
      </c>
      <c r="C23" s="376" t="s">
        <v>303</v>
      </c>
      <c r="D23" s="376" t="s">
        <v>284</v>
      </c>
      <c r="E23" s="376" t="s">
        <v>165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285</v>
      </c>
      <c r="L23" s="376" t="s">
        <v>187</v>
      </c>
      <c r="M23" s="376" t="s">
        <v>171</v>
      </c>
      <c r="N23" s="376" t="s">
        <v>172</v>
      </c>
      <c r="O23" s="379">
        <v>1</v>
      </c>
      <c r="P23" s="384">
        <v>0</v>
      </c>
      <c r="Q23" s="384">
        <v>0</v>
      </c>
      <c r="R23" s="380">
        <v>80</v>
      </c>
      <c r="S23" s="384">
        <v>0</v>
      </c>
      <c r="T23" s="380">
        <v>2620.8000000000002</v>
      </c>
      <c r="U23" s="380">
        <v>0</v>
      </c>
      <c r="V23" s="380">
        <v>1514.71</v>
      </c>
      <c r="W23" s="380">
        <v>0</v>
      </c>
      <c r="X23" s="380">
        <v>0</v>
      </c>
      <c r="Y23" s="380">
        <v>0</v>
      </c>
      <c r="Z23" s="380">
        <v>0</v>
      </c>
      <c r="AA23" s="376" t="s">
        <v>304</v>
      </c>
      <c r="AB23" s="376" t="s">
        <v>305</v>
      </c>
      <c r="AC23" s="376" t="s">
        <v>306</v>
      </c>
      <c r="AD23" s="376" t="s">
        <v>307</v>
      </c>
      <c r="AE23" s="376" t="s">
        <v>285</v>
      </c>
      <c r="AF23" s="376" t="s">
        <v>192</v>
      </c>
      <c r="AG23" s="376" t="s">
        <v>178</v>
      </c>
      <c r="AH23" s="381">
        <v>17.399999999999999</v>
      </c>
      <c r="AI23" s="381">
        <v>8744.7999999999993</v>
      </c>
      <c r="AJ23" s="376" t="s">
        <v>179</v>
      </c>
      <c r="AK23" s="376" t="s">
        <v>180</v>
      </c>
      <c r="AL23" s="376" t="s">
        <v>181</v>
      </c>
      <c r="AM23" s="376" t="s">
        <v>182</v>
      </c>
      <c r="AN23" s="376" t="s">
        <v>68</v>
      </c>
      <c r="AO23" s="379">
        <v>80</v>
      </c>
      <c r="AP23" s="384">
        <v>1</v>
      </c>
      <c r="AQ23" s="384">
        <v>0</v>
      </c>
      <c r="AR23" s="382" t="s">
        <v>183</v>
      </c>
      <c r="AS23" s="386">
        <f t="shared" si="27"/>
        <v>0</v>
      </c>
      <c r="AT23">
        <f t="shared" si="28"/>
        <v>0</v>
      </c>
      <c r="AU23" s="386" t="str">
        <f>IF(AT23=0,"",IF(AND(AT23=1,M23="F",SUMIF(C2:C84,C23,AS2:AS84)&lt;=1),SUMIF(C2:C84,C23,AS2:AS84),IF(AND(AT23=1,M23="F",SUMIF(C2:C84,C23,AS2:AS84)&gt;1),1,"")))</f>
        <v/>
      </c>
      <c r="AV23" s="386" t="str">
        <f>IF(AT23=0,"",IF(AND(AT23=3,M23="F",SUMIF(C2:C84,C23,AS2:AS84)&lt;=1),SUMIF(C2:C84,C23,AS2:AS84),IF(AND(AT23=3,M23="F",SUMIF(C2:C84,C23,AS2:AS84)&gt;1),1,"")))</f>
        <v/>
      </c>
      <c r="AW23" s="386">
        <f>SUMIF(C2:C84,C23,O2:O84)</f>
        <v>2</v>
      </c>
      <c r="AX23" s="386">
        <f>IF(AND(M23="F",AS23&lt;&gt;0),SUMIF(C2:C84,C23,W2:W84),0)</f>
        <v>0</v>
      </c>
      <c r="AY23" s="386" t="str">
        <f t="shared" si="29"/>
        <v/>
      </c>
      <c r="AZ23" s="386" t="str">
        <f t="shared" si="30"/>
        <v/>
      </c>
      <c r="BA23" s="386">
        <f t="shared" si="31"/>
        <v>0</v>
      </c>
      <c r="BB23" s="386">
        <f t="shared" si="0"/>
        <v>0</v>
      </c>
      <c r="BC23" s="386">
        <f t="shared" si="1"/>
        <v>0</v>
      </c>
      <c r="BD23" s="386">
        <f t="shared" si="2"/>
        <v>0</v>
      </c>
      <c r="BE23" s="386">
        <f t="shared" si="3"/>
        <v>0</v>
      </c>
      <c r="BF23" s="386">
        <f t="shared" si="4"/>
        <v>0</v>
      </c>
      <c r="BG23" s="386">
        <f t="shared" si="5"/>
        <v>0</v>
      </c>
      <c r="BH23" s="386">
        <f t="shared" si="6"/>
        <v>0</v>
      </c>
      <c r="BI23" s="386">
        <f t="shared" si="7"/>
        <v>0</v>
      </c>
      <c r="BJ23" s="386">
        <f t="shared" si="8"/>
        <v>0</v>
      </c>
      <c r="BK23" s="386">
        <f t="shared" si="9"/>
        <v>0</v>
      </c>
      <c r="BL23" s="386">
        <f t="shared" si="32"/>
        <v>0</v>
      </c>
      <c r="BM23" s="386">
        <f t="shared" si="33"/>
        <v>0</v>
      </c>
      <c r="BN23" s="386">
        <f t="shared" si="10"/>
        <v>0</v>
      </c>
      <c r="BO23" s="386">
        <f t="shared" si="11"/>
        <v>0</v>
      </c>
      <c r="BP23" s="386">
        <f t="shared" si="12"/>
        <v>0</v>
      </c>
      <c r="BQ23" s="386">
        <f t="shared" si="13"/>
        <v>0</v>
      </c>
      <c r="BR23" s="386">
        <f t="shared" si="14"/>
        <v>0</v>
      </c>
      <c r="BS23" s="386">
        <f t="shared" si="15"/>
        <v>0</v>
      </c>
      <c r="BT23" s="386">
        <f t="shared" si="16"/>
        <v>0</v>
      </c>
      <c r="BU23" s="386">
        <f t="shared" si="17"/>
        <v>0</v>
      </c>
      <c r="BV23" s="386">
        <f t="shared" si="18"/>
        <v>0</v>
      </c>
      <c r="BW23" s="386">
        <f t="shared" si="19"/>
        <v>0</v>
      </c>
      <c r="BX23" s="386">
        <f t="shared" si="34"/>
        <v>0</v>
      </c>
      <c r="BY23" s="386">
        <f t="shared" si="35"/>
        <v>0</v>
      </c>
      <c r="BZ23" s="386">
        <f t="shared" si="36"/>
        <v>0</v>
      </c>
      <c r="CA23" s="386">
        <f t="shared" si="37"/>
        <v>0</v>
      </c>
      <c r="CB23" s="386">
        <f t="shared" si="38"/>
        <v>0</v>
      </c>
      <c r="CC23" s="386">
        <f t="shared" si="20"/>
        <v>0</v>
      </c>
      <c r="CD23" s="386">
        <f t="shared" si="21"/>
        <v>0</v>
      </c>
      <c r="CE23" s="386">
        <f t="shared" si="22"/>
        <v>0</v>
      </c>
      <c r="CF23" s="386">
        <f t="shared" si="23"/>
        <v>0</v>
      </c>
      <c r="CG23" s="386">
        <f t="shared" si="24"/>
        <v>0</v>
      </c>
      <c r="CH23" s="386">
        <f t="shared" si="25"/>
        <v>0</v>
      </c>
      <c r="CI23" s="386">
        <f t="shared" si="26"/>
        <v>0</v>
      </c>
      <c r="CJ23" s="386">
        <f t="shared" si="39"/>
        <v>0</v>
      </c>
      <c r="CK23" s="386" t="str">
        <f t="shared" si="40"/>
        <v/>
      </c>
      <c r="CL23" s="386" t="str">
        <f t="shared" si="41"/>
        <v/>
      </c>
      <c r="CM23" s="386" t="str">
        <f t="shared" si="42"/>
        <v/>
      </c>
      <c r="CN23" s="386" t="str">
        <f t="shared" si="43"/>
        <v>0001-00</v>
      </c>
    </row>
    <row r="24" spans="1:92" ht="15.75" thickBot="1" x14ac:dyDescent="0.3">
      <c r="A24" s="376" t="s">
        <v>161</v>
      </c>
      <c r="B24" s="376" t="s">
        <v>162</v>
      </c>
      <c r="C24" s="376" t="s">
        <v>308</v>
      </c>
      <c r="D24" s="376" t="s">
        <v>284</v>
      </c>
      <c r="E24" s="376" t="s">
        <v>165</v>
      </c>
      <c r="F24" s="377" t="s">
        <v>166</v>
      </c>
      <c r="G24" s="376" t="s">
        <v>167</v>
      </c>
      <c r="H24" s="378"/>
      <c r="I24" s="378"/>
      <c r="J24" s="376" t="s">
        <v>168</v>
      </c>
      <c r="K24" s="376" t="s">
        <v>285</v>
      </c>
      <c r="L24" s="376" t="s">
        <v>187</v>
      </c>
      <c r="M24" s="376" t="s">
        <v>171</v>
      </c>
      <c r="N24" s="376" t="s">
        <v>172</v>
      </c>
      <c r="O24" s="379">
        <v>1</v>
      </c>
      <c r="P24" s="384">
        <v>0</v>
      </c>
      <c r="Q24" s="384">
        <v>0</v>
      </c>
      <c r="R24" s="380">
        <v>80</v>
      </c>
      <c r="S24" s="384">
        <v>0</v>
      </c>
      <c r="T24" s="380">
        <v>2742.4</v>
      </c>
      <c r="U24" s="380">
        <v>0</v>
      </c>
      <c r="V24" s="380">
        <v>1552.85</v>
      </c>
      <c r="W24" s="380">
        <v>0</v>
      </c>
      <c r="X24" s="380">
        <v>0</v>
      </c>
      <c r="Y24" s="380">
        <v>0</v>
      </c>
      <c r="Z24" s="380">
        <v>0</v>
      </c>
      <c r="AA24" s="376" t="s">
        <v>309</v>
      </c>
      <c r="AB24" s="376" t="s">
        <v>310</v>
      </c>
      <c r="AC24" s="376" t="s">
        <v>311</v>
      </c>
      <c r="AD24" s="376" t="s">
        <v>312</v>
      </c>
      <c r="AE24" s="376" t="s">
        <v>285</v>
      </c>
      <c r="AF24" s="376" t="s">
        <v>192</v>
      </c>
      <c r="AG24" s="376" t="s">
        <v>178</v>
      </c>
      <c r="AH24" s="381">
        <v>18.079999999999998</v>
      </c>
      <c r="AI24" s="381">
        <v>25863.4</v>
      </c>
      <c r="AJ24" s="376" t="s">
        <v>179</v>
      </c>
      <c r="AK24" s="376" t="s">
        <v>180</v>
      </c>
      <c r="AL24" s="376" t="s">
        <v>181</v>
      </c>
      <c r="AM24" s="376" t="s">
        <v>182</v>
      </c>
      <c r="AN24" s="376" t="s">
        <v>68</v>
      </c>
      <c r="AO24" s="379">
        <v>80</v>
      </c>
      <c r="AP24" s="384">
        <v>1</v>
      </c>
      <c r="AQ24" s="384">
        <v>0</v>
      </c>
      <c r="AR24" s="382" t="s">
        <v>183</v>
      </c>
      <c r="AS24" s="386">
        <f t="shared" si="27"/>
        <v>0</v>
      </c>
      <c r="AT24">
        <f t="shared" si="28"/>
        <v>0</v>
      </c>
      <c r="AU24" s="386" t="str">
        <f>IF(AT24=0,"",IF(AND(AT24=1,M24="F",SUMIF(C2:C84,C24,AS2:AS84)&lt;=1),SUMIF(C2:C84,C24,AS2:AS84),IF(AND(AT24=1,M24="F",SUMIF(C2:C84,C24,AS2:AS84)&gt;1),1,"")))</f>
        <v/>
      </c>
      <c r="AV24" s="386" t="str">
        <f>IF(AT24=0,"",IF(AND(AT24=3,M24="F",SUMIF(C2:C84,C24,AS2:AS84)&lt;=1),SUMIF(C2:C84,C24,AS2:AS84),IF(AND(AT24=3,M24="F",SUMIF(C2:C84,C24,AS2:AS84)&gt;1),1,"")))</f>
        <v/>
      </c>
      <c r="AW24" s="386">
        <f>SUMIF(C2:C84,C24,O2:O84)</f>
        <v>2</v>
      </c>
      <c r="AX24" s="386">
        <f>IF(AND(M24="F",AS24&lt;&gt;0),SUMIF(C2:C84,C24,W2:W84),0)</f>
        <v>0</v>
      </c>
      <c r="AY24" s="386" t="str">
        <f t="shared" si="29"/>
        <v/>
      </c>
      <c r="AZ24" s="386" t="str">
        <f t="shared" si="30"/>
        <v/>
      </c>
      <c r="BA24" s="386">
        <f t="shared" si="31"/>
        <v>0</v>
      </c>
      <c r="BB24" s="386">
        <f t="shared" si="0"/>
        <v>0</v>
      </c>
      <c r="BC24" s="386">
        <f t="shared" si="1"/>
        <v>0</v>
      </c>
      <c r="BD24" s="386">
        <f t="shared" si="2"/>
        <v>0</v>
      </c>
      <c r="BE24" s="386">
        <f t="shared" si="3"/>
        <v>0</v>
      </c>
      <c r="BF24" s="386">
        <f t="shared" si="4"/>
        <v>0</v>
      </c>
      <c r="BG24" s="386">
        <f t="shared" si="5"/>
        <v>0</v>
      </c>
      <c r="BH24" s="386">
        <f t="shared" si="6"/>
        <v>0</v>
      </c>
      <c r="BI24" s="386">
        <f t="shared" si="7"/>
        <v>0</v>
      </c>
      <c r="BJ24" s="386">
        <f t="shared" si="8"/>
        <v>0</v>
      </c>
      <c r="BK24" s="386">
        <f t="shared" si="9"/>
        <v>0</v>
      </c>
      <c r="BL24" s="386">
        <f t="shared" si="32"/>
        <v>0</v>
      </c>
      <c r="BM24" s="386">
        <f t="shared" si="33"/>
        <v>0</v>
      </c>
      <c r="BN24" s="386">
        <f t="shared" si="10"/>
        <v>0</v>
      </c>
      <c r="BO24" s="386">
        <f t="shared" si="11"/>
        <v>0</v>
      </c>
      <c r="BP24" s="386">
        <f t="shared" si="12"/>
        <v>0</v>
      </c>
      <c r="BQ24" s="386">
        <f t="shared" si="13"/>
        <v>0</v>
      </c>
      <c r="BR24" s="386">
        <f t="shared" si="14"/>
        <v>0</v>
      </c>
      <c r="BS24" s="386">
        <f t="shared" si="15"/>
        <v>0</v>
      </c>
      <c r="BT24" s="386">
        <f t="shared" si="16"/>
        <v>0</v>
      </c>
      <c r="BU24" s="386">
        <f t="shared" si="17"/>
        <v>0</v>
      </c>
      <c r="BV24" s="386">
        <f t="shared" si="18"/>
        <v>0</v>
      </c>
      <c r="BW24" s="386">
        <f t="shared" si="19"/>
        <v>0</v>
      </c>
      <c r="BX24" s="386">
        <f t="shared" si="34"/>
        <v>0</v>
      </c>
      <c r="BY24" s="386">
        <f t="shared" si="35"/>
        <v>0</v>
      </c>
      <c r="BZ24" s="386">
        <f t="shared" si="36"/>
        <v>0</v>
      </c>
      <c r="CA24" s="386">
        <f t="shared" si="37"/>
        <v>0</v>
      </c>
      <c r="CB24" s="386">
        <f t="shared" si="38"/>
        <v>0</v>
      </c>
      <c r="CC24" s="386">
        <f t="shared" si="20"/>
        <v>0</v>
      </c>
      <c r="CD24" s="386">
        <f t="shared" si="21"/>
        <v>0</v>
      </c>
      <c r="CE24" s="386">
        <f t="shared" si="22"/>
        <v>0</v>
      </c>
      <c r="CF24" s="386">
        <f t="shared" si="23"/>
        <v>0</v>
      </c>
      <c r="CG24" s="386">
        <f t="shared" si="24"/>
        <v>0</v>
      </c>
      <c r="CH24" s="386">
        <f t="shared" si="25"/>
        <v>0</v>
      </c>
      <c r="CI24" s="386">
        <f t="shared" si="26"/>
        <v>0</v>
      </c>
      <c r="CJ24" s="386">
        <f t="shared" si="39"/>
        <v>0</v>
      </c>
      <c r="CK24" s="386" t="str">
        <f t="shared" si="40"/>
        <v/>
      </c>
      <c r="CL24" s="386" t="str">
        <f t="shared" si="41"/>
        <v/>
      </c>
      <c r="CM24" s="386" t="str">
        <f t="shared" si="42"/>
        <v/>
      </c>
      <c r="CN24" s="386" t="str">
        <f t="shared" si="43"/>
        <v>0001-00</v>
      </c>
    </row>
    <row r="25" spans="1:92" ht="15.75" thickBot="1" x14ac:dyDescent="0.3">
      <c r="A25" s="376" t="s">
        <v>161</v>
      </c>
      <c r="B25" s="376" t="s">
        <v>162</v>
      </c>
      <c r="C25" s="376" t="s">
        <v>313</v>
      </c>
      <c r="D25" s="376" t="s">
        <v>284</v>
      </c>
      <c r="E25" s="376" t="s">
        <v>165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285</v>
      </c>
      <c r="L25" s="376" t="s">
        <v>187</v>
      </c>
      <c r="M25" s="376" t="s">
        <v>171</v>
      </c>
      <c r="N25" s="376" t="s">
        <v>172</v>
      </c>
      <c r="O25" s="379">
        <v>1</v>
      </c>
      <c r="P25" s="384">
        <v>0</v>
      </c>
      <c r="Q25" s="384">
        <v>0</v>
      </c>
      <c r="R25" s="380">
        <v>80</v>
      </c>
      <c r="S25" s="384">
        <v>0</v>
      </c>
      <c r="T25" s="380">
        <v>3014.4</v>
      </c>
      <c r="U25" s="380">
        <v>0</v>
      </c>
      <c r="V25" s="380">
        <v>1609.76</v>
      </c>
      <c r="W25" s="380">
        <v>0</v>
      </c>
      <c r="X25" s="380">
        <v>0</v>
      </c>
      <c r="Y25" s="380">
        <v>0</v>
      </c>
      <c r="Z25" s="380">
        <v>0</v>
      </c>
      <c r="AA25" s="376" t="s">
        <v>314</v>
      </c>
      <c r="AB25" s="376" t="s">
        <v>315</v>
      </c>
      <c r="AC25" s="376" t="s">
        <v>306</v>
      </c>
      <c r="AD25" s="376" t="s">
        <v>176</v>
      </c>
      <c r="AE25" s="376" t="s">
        <v>285</v>
      </c>
      <c r="AF25" s="376" t="s">
        <v>192</v>
      </c>
      <c r="AG25" s="376" t="s">
        <v>178</v>
      </c>
      <c r="AH25" s="381">
        <v>19.920000000000002</v>
      </c>
      <c r="AI25" s="381">
        <v>36226.5</v>
      </c>
      <c r="AJ25" s="376" t="s">
        <v>179</v>
      </c>
      <c r="AK25" s="376" t="s">
        <v>180</v>
      </c>
      <c r="AL25" s="376" t="s">
        <v>181</v>
      </c>
      <c r="AM25" s="376" t="s">
        <v>182</v>
      </c>
      <c r="AN25" s="376" t="s">
        <v>68</v>
      </c>
      <c r="AO25" s="379">
        <v>80</v>
      </c>
      <c r="AP25" s="384">
        <v>1</v>
      </c>
      <c r="AQ25" s="384">
        <v>0</v>
      </c>
      <c r="AR25" s="382" t="s">
        <v>183</v>
      </c>
      <c r="AS25" s="386">
        <f t="shared" si="27"/>
        <v>0</v>
      </c>
      <c r="AT25">
        <f t="shared" si="28"/>
        <v>0</v>
      </c>
      <c r="AU25" s="386" t="str">
        <f>IF(AT25=0,"",IF(AND(AT25=1,M25="F",SUMIF(C2:C84,C25,AS2:AS84)&lt;=1),SUMIF(C2:C84,C25,AS2:AS84),IF(AND(AT25=1,M25="F",SUMIF(C2:C84,C25,AS2:AS84)&gt;1),1,"")))</f>
        <v/>
      </c>
      <c r="AV25" s="386" t="str">
        <f>IF(AT25=0,"",IF(AND(AT25=3,M25="F",SUMIF(C2:C84,C25,AS2:AS84)&lt;=1),SUMIF(C2:C84,C25,AS2:AS84),IF(AND(AT25=3,M25="F",SUMIF(C2:C84,C25,AS2:AS84)&gt;1),1,"")))</f>
        <v/>
      </c>
      <c r="AW25" s="386">
        <f>SUMIF(C2:C84,C25,O2:O84)</f>
        <v>2</v>
      </c>
      <c r="AX25" s="386">
        <f>IF(AND(M25="F",AS25&lt;&gt;0),SUMIF(C2:C84,C25,W2:W84),0)</f>
        <v>0</v>
      </c>
      <c r="AY25" s="386" t="str">
        <f t="shared" si="29"/>
        <v/>
      </c>
      <c r="AZ25" s="386" t="str">
        <f t="shared" si="30"/>
        <v/>
      </c>
      <c r="BA25" s="386">
        <f t="shared" si="31"/>
        <v>0</v>
      </c>
      <c r="BB25" s="386">
        <f t="shared" si="0"/>
        <v>0</v>
      </c>
      <c r="BC25" s="386">
        <f t="shared" si="1"/>
        <v>0</v>
      </c>
      <c r="BD25" s="386">
        <f t="shared" si="2"/>
        <v>0</v>
      </c>
      <c r="BE25" s="386">
        <f t="shared" si="3"/>
        <v>0</v>
      </c>
      <c r="BF25" s="386">
        <f t="shared" si="4"/>
        <v>0</v>
      </c>
      <c r="BG25" s="386">
        <f t="shared" si="5"/>
        <v>0</v>
      </c>
      <c r="BH25" s="386">
        <f t="shared" si="6"/>
        <v>0</v>
      </c>
      <c r="BI25" s="386">
        <f t="shared" si="7"/>
        <v>0</v>
      </c>
      <c r="BJ25" s="386">
        <f t="shared" si="8"/>
        <v>0</v>
      </c>
      <c r="BK25" s="386">
        <f t="shared" si="9"/>
        <v>0</v>
      </c>
      <c r="BL25" s="386">
        <f t="shared" si="32"/>
        <v>0</v>
      </c>
      <c r="BM25" s="386">
        <f t="shared" si="33"/>
        <v>0</v>
      </c>
      <c r="BN25" s="386">
        <f t="shared" si="10"/>
        <v>0</v>
      </c>
      <c r="BO25" s="386">
        <f t="shared" si="11"/>
        <v>0</v>
      </c>
      <c r="BP25" s="386">
        <f t="shared" si="12"/>
        <v>0</v>
      </c>
      <c r="BQ25" s="386">
        <f t="shared" si="13"/>
        <v>0</v>
      </c>
      <c r="BR25" s="386">
        <f t="shared" si="14"/>
        <v>0</v>
      </c>
      <c r="BS25" s="386">
        <f t="shared" si="15"/>
        <v>0</v>
      </c>
      <c r="BT25" s="386">
        <f t="shared" si="16"/>
        <v>0</v>
      </c>
      <c r="BU25" s="386">
        <f t="shared" si="17"/>
        <v>0</v>
      </c>
      <c r="BV25" s="386">
        <f t="shared" si="18"/>
        <v>0</v>
      </c>
      <c r="BW25" s="386">
        <f t="shared" si="19"/>
        <v>0</v>
      </c>
      <c r="BX25" s="386">
        <f t="shared" si="34"/>
        <v>0</v>
      </c>
      <c r="BY25" s="386">
        <f t="shared" si="35"/>
        <v>0</v>
      </c>
      <c r="BZ25" s="386">
        <f t="shared" si="36"/>
        <v>0</v>
      </c>
      <c r="CA25" s="386">
        <f t="shared" si="37"/>
        <v>0</v>
      </c>
      <c r="CB25" s="386">
        <f t="shared" si="38"/>
        <v>0</v>
      </c>
      <c r="CC25" s="386">
        <f t="shared" si="20"/>
        <v>0</v>
      </c>
      <c r="CD25" s="386">
        <f t="shared" si="21"/>
        <v>0</v>
      </c>
      <c r="CE25" s="386">
        <f t="shared" si="22"/>
        <v>0</v>
      </c>
      <c r="CF25" s="386">
        <f t="shared" si="23"/>
        <v>0</v>
      </c>
      <c r="CG25" s="386">
        <f t="shared" si="24"/>
        <v>0</v>
      </c>
      <c r="CH25" s="386">
        <f t="shared" si="25"/>
        <v>0</v>
      </c>
      <c r="CI25" s="386">
        <f t="shared" si="26"/>
        <v>0</v>
      </c>
      <c r="CJ25" s="386">
        <f t="shared" si="39"/>
        <v>0</v>
      </c>
      <c r="CK25" s="386" t="str">
        <f t="shared" si="40"/>
        <v/>
      </c>
      <c r="CL25" s="386" t="str">
        <f t="shared" si="41"/>
        <v/>
      </c>
      <c r="CM25" s="386" t="str">
        <f t="shared" si="42"/>
        <v/>
      </c>
      <c r="CN25" s="386" t="str">
        <f t="shared" si="43"/>
        <v>0001-00</v>
      </c>
    </row>
    <row r="26" spans="1:92" ht="15.75" thickBot="1" x14ac:dyDescent="0.3">
      <c r="A26" s="376" t="s">
        <v>161</v>
      </c>
      <c r="B26" s="376" t="s">
        <v>162</v>
      </c>
      <c r="C26" s="376" t="s">
        <v>316</v>
      </c>
      <c r="D26" s="376" t="s">
        <v>317</v>
      </c>
      <c r="E26" s="376" t="s">
        <v>165</v>
      </c>
      <c r="F26" s="377" t="s">
        <v>166</v>
      </c>
      <c r="G26" s="376" t="s">
        <v>167</v>
      </c>
      <c r="H26" s="378"/>
      <c r="I26" s="378"/>
      <c r="J26" s="376" t="s">
        <v>168</v>
      </c>
      <c r="K26" s="376" t="s">
        <v>318</v>
      </c>
      <c r="L26" s="376" t="s">
        <v>226</v>
      </c>
      <c r="M26" s="376" t="s">
        <v>171</v>
      </c>
      <c r="N26" s="376" t="s">
        <v>172</v>
      </c>
      <c r="O26" s="379">
        <v>1</v>
      </c>
      <c r="P26" s="384">
        <v>0</v>
      </c>
      <c r="Q26" s="384">
        <v>0</v>
      </c>
      <c r="R26" s="380">
        <v>80</v>
      </c>
      <c r="S26" s="384">
        <v>0</v>
      </c>
      <c r="T26" s="380">
        <v>988.68</v>
      </c>
      <c r="U26" s="380">
        <v>0</v>
      </c>
      <c r="V26" s="380">
        <v>464.15</v>
      </c>
      <c r="W26" s="380">
        <v>0</v>
      </c>
      <c r="X26" s="380">
        <v>0</v>
      </c>
      <c r="Y26" s="380">
        <v>0</v>
      </c>
      <c r="Z26" s="380">
        <v>0</v>
      </c>
      <c r="AA26" s="376" t="s">
        <v>319</v>
      </c>
      <c r="AB26" s="376" t="s">
        <v>320</v>
      </c>
      <c r="AC26" s="376" t="s">
        <v>321</v>
      </c>
      <c r="AD26" s="376" t="s">
        <v>322</v>
      </c>
      <c r="AE26" s="376" t="s">
        <v>318</v>
      </c>
      <c r="AF26" s="376" t="s">
        <v>231</v>
      </c>
      <c r="AG26" s="376" t="s">
        <v>178</v>
      </c>
      <c r="AH26" s="381">
        <v>25.01</v>
      </c>
      <c r="AI26" s="379">
        <v>7799</v>
      </c>
      <c r="AJ26" s="376" t="s">
        <v>179</v>
      </c>
      <c r="AK26" s="376" t="s">
        <v>180</v>
      </c>
      <c r="AL26" s="376" t="s">
        <v>181</v>
      </c>
      <c r="AM26" s="376" t="s">
        <v>182</v>
      </c>
      <c r="AN26" s="376" t="s">
        <v>68</v>
      </c>
      <c r="AO26" s="379">
        <v>80</v>
      </c>
      <c r="AP26" s="384">
        <v>1</v>
      </c>
      <c r="AQ26" s="384">
        <v>0</v>
      </c>
      <c r="AR26" s="382" t="s">
        <v>183</v>
      </c>
      <c r="AS26" s="386">
        <f t="shared" si="27"/>
        <v>0</v>
      </c>
      <c r="AT26">
        <f t="shared" si="28"/>
        <v>0</v>
      </c>
      <c r="AU26" s="386" t="str">
        <f>IF(AT26=0,"",IF(AND(AT26=1,M26="F",SUMIF(C2:C84,C26,AS2:AS84)&lt;=1),SUMIF(C2:C84,C26,AS2:AS84),IF(AND(AT26=1,M26="F",SUMIF(C2:C84,C26,AS2:AS84)&gt;1),1,"")))</f>
        <v/>
      </c>
      <c r="AV26" s="386" t="str">
        <f>IF(AT26=0,"",IF(AND(AT26=3,M26="F",SUMIF(C2:C84,C26,AS2:AS84)&lt;=1),SUMIF(C2:C84,C26,AS2:AS84),IF(AND(AT26=3,M26="F",SUMIF(C2:C84,C26,AS2:AS84)&gt;1),1,"")))</f>
        <v/>
      </c>
      <c r="AW26" s="386">
        <f>SUMIF(C2:C84,C26,O2:O84)</f>
        <v>2</v>
      </c>
      <c r="AX26" s="386">
        <f>IF(AND(M26="F",AS26&lt;&gt;0),SUMIF(C2:C84,C26,W2:W84),0)</f>
        <v>0</v>
      </c>
      <c r="AY26" s="386" t="str">
        <f t="shared" si="29"/>
        <v/>
      </c>
      <c r="AZ26" s="386" t="str">
        <f t="shared" si="30"/>
        <v/>
      </c>
      <c r="BA26" s="386">
        <f t="shared" si="31"/>
        <v>0</v>
      </c>
      <c r="BB26" s="386">
        <f t="shared" si="0"/>
        <v>0</v>
      </c>
      <c r="BC26" s="386">
        <f t="shared" si="1"/>
        <v>0</v>
      </c>
      <c r="BD26" s="386">
        <f t="shared" si="2"/>
        <v>0</v>
      </c>
      <c r="BE26" s="386">
        <f t="shared" si="3"/>
        <v>0</v>
      </c>
      <c r="BF26" s="386">
        <f t="shared" si="4"/>
        <v>0</v>
      </c>
      <c r="BG26" s="386">
        <f t="shared" si="5"/>
        <v>0</v>
      </c>
      <c r="BH26" s="386">
        <f t="shared" si="6"/>
        <v>0</v>
      </c>
      <c r="BI26" s="386">
        <f t="shared" si="7"/>
        <v>0</v>
      </c>
      <c r="BJ26" s="386">
        <f t="shared" si="8"/>
        <v>0</v>
      </c>
      <c r="BK26" s="386">
        <f t="shared" si="9"/>
        <v>0</v>
      </c>
      <c r="BL26" s="386">
        <f t="shared" si="32"/>
        <v>0</v>
      </c>
      <c r="BM26" s="386">
        <f t="shared" si="33"/>
        <v>0</v>
      </c>
      <c r="BN26" s="386">
        <f t="shared" si="10"/>
        <v>0</v>
      </c>
      <c r="BO26" s="386">
        <f t="shared" si="11"/>
        <v>0</v>
      </c>
      <c r="BP26" s="386">
        <f t="shared" si="12"/>
        <v>0</v>
      </c>
      <c r="BQ26" s="386">
        <f t="shared" si="13"/>
        <v>0</v>
      </c>
      <c r="BR26" s="386">
        <f t="shared" si="14"/>
        <v>0</v>
      </c>
      <c r="BS26" s="386">
        <f t="shared" si="15"/>
        <v>0</v>
      </c>
      <c r="BT26" s="386">
        <f t="shared" si="16"/>
        <v>0</v>
      </c>
      <c r="BU26" s="386">
        <f t="shared" si="17"/>
        <v>0</v>
      </c>
      <c r="BV26" s="386">
        <f t="shared" si="18"/>
        <v>0</v>
      </c>
      <c r="BW26" s="386">
        <f t="shared" si="19"/>
        <v>0</v>
      </c>
      <c r="BX26" s="386">
        <f t="shared" si="34"/>
        <v>0</v>
      </c>
      <c r="BY26" s="386">
        <f t="shared" si="35"/>
        <v>0</v>
      </c>
      <c r="BZ26" s="386">
        <f t="shared" si="36"/>
        <v>0</v>
      </c>
      <c r="CA26" s="386">
        <f t="shared" si="37"/>
        <v>0</v>
      </c>
      <c r="CB26" s="386">
        <f t="shared" si="38"/>
        <v>0</v>
      </c>
      <c r="CC26" s="386">
        <f t="shared" si="20"/>
        <v>0</v>
      </c>
      <c r="CD26" s="386">
        <f t="shared" si="21"/>
        <v>0</v>
      </c>
      <c r="CE26" s="386">
        <f t="shared" si="22"/>
        <v>0</v>
      </c>
      <c r="CF26" s="386">
        <f t="shared" si="23"/>
        <v>0</v>
      </c>
      <c r="CG26" s="386">
        <f t="shared" si="24"/>
        <v>0</v>
      </c>
      <c r="CH26" s="386">
        <f t="shared" si="25"/>
        <v>0</v>
      </c>
      <c r="CI26" s="386">
        <f t="shared" si="26"/>
        <v>0</v>
      </c>
      <c r="CJ26" s="386">
        <f t="shared" si="39"/>
        <v>0</v>
      </c>
      <c r="CK26" s="386" t="str">
        <f t="shared" si="40"/>
        <v/>
      </c>
      <c r="CL26" s="386" t="str">
        <f t="shared" si="41"/>
        <v/>
      </c>
      <c r="CM26" s="386" t="str">
        <f t="shared" si="42"/>
        <v/>
      </c>
      <c r="CN26" s="386" t="str">
        <f t="shared" si="43"/>
        <v>0001-00</v>
      </c>
    </row>
    <row r="27" spans="1:92" ht="15.75" thickBot="1" x14ac:dyDescent="0.3">
      <c r="A27" s="376" t="s">
        <v>161</v>
      </c>
      <c r="B27" s="376" t="s">
        <v>162</v>
      </c>
      <c r="C27" s="376" t="s">
        <v>323</v>
      </c>
      <c r="D27" s="376" t="s">
        <v>206</v>
      </c>
      <c r="E27" s="376" t="s">
        <v>165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207</v>
      </c>
      <c r="L27" s="376" t="s">
        <v>195</v>
      </c>
      <c r="M27" s="376" t="s">
        <v>171</v>
      </c>
      <c r="N27" s="376" t="s">
        <v>172</v>
      </c>
      <c r="O27" s="379">
        <v>1</v>
      </c>
      <c r="P27" s="384">
        <v>0</v>
      </c>
      <c r="Q27" s="384">
        <v>0</v>
      </c>
      <c r="R27" s="380">
        <v>80</v>
      </c>
      <c r="S27" s="384">
        <v>0</v>
      </c>
      <c r="T27" s="380">
        <v>3964.8</v>
      </c>
      <c r="U27" s="380">
        <v>0</v>
      </c>
      <c r="V27" s="380">
        <v>1825.99</v>
      </c>
      <c r="W27" s="380">
        <v>0</v>
      </c>
      <c r="X27" s="380">
        <v>0</v>
      </c>
      <c r="Y27" s="380">
        <v>0</v>
      </c>
      <c r="Z27" s="380">
        <v>0</v>
      </c>
      <c r="AA27" s="376" t="s">
        <v>324</v>
      </c>
      <c r="AB27" s="376" t="s">
        <v>325</v>
      </c>
      <c r="AC27" s="376" t="s">
        <v>326</v>
      </c>
      <c r="AD27" s="376" t="s">
        <v>327</v>
      </c>
      <c r="AE27" s="376" t="s">
        <v>207</v>
      </c>
      <c r="AF27" s="376" t="s">
        <v>200</v>
      </c>
      <c r="AG27" s="376" t="s">
        <v>178</v>
      </c>
      <c r="AH27" s="381">
        <v>26.2</v>
      </c>
      <c r="AI27" s="379">
        <v>31029</v>
      </c>
      <c r="AJ27" s="376" t="s">
        <v>179</v>
      </c>
      <c r="AK27" s="376" t="s">
        <v>180</v>
      </c>
      <c r="AL27" s="376" t="s">
        <v>181</v>
      </c>
      <c r="AM27" s="376" t="s">
        <v>182</v>
      </c>
      <c r="AN27" s="376" t="s">
        <v>68</v>
      </c>
      <c r="AO27" s="379">
        <v>80</v>
      </c>
      <c r="AP27" s="384">
        <v>1</v>
      </c>
      <c r="AQ27" s="384">
        <v>0</v>
      </c>
      <c r="AR27" s="382" t="s">
        <v>183</v>
      </c>
      <c r="AS27" s="386">
        <f t="shared" si="27"/>
        <v>0</v>
      </c>
      <c r="AT27">
        <f t="shared" si="28"/>
        <v>0</v>
      </c>
      <c r="AU27" s="386" t="str">
        <f>IF(AT27=0,"",IF(AND(AT27=1,M27="F",SUMIF(C2:C84,C27,AS2:AS84)&lt;=1),SUMIF(C2:C84,C27,AS2:AS84),IF(AND(AT27=1,M27="F",SUMIF(C2:C84,C27,AS2:AS84)&gt;1),1,"")))</f>
        <v/>
      </c>
      <c r="AV27" s="386" t="str">
        <f>IF(AT27=0,"",IF(AND(AT27=3,M27="F",SUMIF(C2:C84,C27,AS2:AS84)&lt;=1),SUMIF(C2:C84,C27,AS2:AS84),IF(AND(AT27=3,M27="F",SUMIF(C2:C84,C27,AS2:AS84)&gt;1),1,"")))</f>
        <v/>
      </c>
      <c r="AW27" s="386">
        <f>SUMIF(C2:C84,C27,O2:O84)</f>
        <v>2</v>
      </c>
      <c r="AX27" s="386">
        <f>IF(AND(M27="F",AS27&lt;&gt;0),SUMIF(C2:C84,C27,W2:W84),0)</f>
        <v>0</v>
      </c>
      <c r="AY27" s="386" t="str">
        <f t="shared" si="29"/>
        <v/>
      </c>
      <c r="AZ27" s="386" t="str">
        <f t="shared" si="30"/>
        <v/>
      </c>
      <c r="BA27" s="386">
        <f t="shared" si="31"/>
        <v>0</v>
      </c>
      <c r="BB27" s="386">
        <f t="shared" si="0"/>
        <v>0</v>
      </c>
      <c r="BC27" s="386">
        <f t="shared" si="1"/>
        <v>0</v>
      </c>
      <c r="BD27" s="386">
        <f t="shared" si="2"/>
        <v>0</v>
      </c>
      <c r="BE27" s="386">
        <f t="shared" si="3"/>
        <v>0</v>
      </c>
      <c r="BF27" s="386">
        <f t="shared" si="4"/>
        <v>0</v>
      </c>
      <c r="BG27" s="386">
        <f t="shared" si="5"/>
        <v>0</v>
      </c>
      <c r="BH27" s="386">
        <f t="shared" si="6"/>
        <v>0</v>
      </c>
      <c r="BI27" s="386">
        <f t="shared" si="7"/>
        <v>0</v>
      </c>
      <c r="BJ27" s="386">
        <f t="shared" si="8"/>
        <v>0</v>
      </c>
      <c r="BK27" s="386">
        <f t="shared" si="9"/>
        <v>0</v>
      </c>
      <c r="BL27" s="386">
        <f t="shared" si="32"/>
        <v>0</v>
      </c>
      <c r="BM27" s="386">
        <f t="shared" si="33"/>
        <v>0</v>
      </c>
      <c r="BN27" s="386">
        <f t="shared" si="10"/>
        <v>0</v>
      </c>
      <c r="BO27" s="386">
        <f t="shared" si="11"/>
        <v>0</v>
      </c>
      <c r="BP27" s="386">
        <f t="shared" si="12"/>
        <v>0</v>
      </c>
      <c r="BQ27" s="386">
        <f t="shared" si="13"/>
        <v>0</v>
      </c>
      <c r="BR27" s="386">
        <f t="shared" si="14"/>
        <v>0</v>
      </c>
      <c r="BS27" s="386">
        <f t="shared" si="15"/>
        <v>0</v>
      </c>
      <c r="BT27" s="386">
        <f t="shared" si="16"/>
        <v>0</v>
      </c>
      <c r="BU27" s="386">
        <f t="shared" si="17"/>
        <v>0</v>
      </c>
      <c r="BV27" s="386">
        <f t="shared" si="18"/>
        <v>0</v>
      </c>
      <c r="BW27" s="386">
        <f t="shared" si="19"/>
        <v>0</v>
      </c>
      <c r="BX27" s="386">
        <f t="shared" si="34"/>
        <v>0</v>
      </c>
      <c r="BY27" s="386">
        <f t="shared" si="35"/>
        <v>0</v>
      </c>
      <c r="BZ27" s="386">
        <f t="shared" si="36"/>
        <v>0</v>
      </c>
      <c r="CA27" s="386">
        <f t="shared" si="37"/>
        <v>0</v>
      </c>
      <c r="CB27" s="386">
        <f t="shared" si="38"/>
        <v>0</v>
      </c>
      <c r="CC27" s="386">
        <f t="shared" si="20"/>
        <v>0</v>
      </c>
      <c r="CD27" s="386">
        <f t="shared" si="21"/>
        <v>0</v>
      </c>
      <c r="CE27" s="386">
        <f t="shared" si="22"/>
        <v>0</v>
      </c>
      <c r="CF27" s="386">
        <f t="shared" si="23"/>
        <v>0</v>
      </c>
      <c r="CG27" s="386">
        <f t="shared" si="24"/>
        <v>0</v>
      </c>
      <c r="CH27" s="386">
        <f t="shared" si="25"/>
        <v>0</v>
      </c>
      <c r="CI27" s="386">
        <f t="shared" si="26"/>
        <v>0</v>
      </c>
      <c r="CJ27" s="386">
        <f t="shared" si="39"/>
        <v>0</v>
      </c>
      <c r="CK27" s="386" t="str">
        <f t="shared" si="40"/>
        <v/>
      </c>
      <c r="CL27" s="386" t="str">
        <f t="shared" si="41"/>
        <v/>
      </c>
      <c r="CM27" s="386" t="str">
        <f t="shared" si="42"/>
        <v/>
      </c>
      <c r="CN27" s="386" t="str">
        <f t="shared" si="43"/>
        <v>0001-00</v>
      </c>
    </row>
    <row r="28" spans="1:92" ht="15.75" thickBot="1" x14ac:dyDescent="0.3">
      <c r="A28" s="376" t="s">
        <v>161</v>
      </c>
      <c r="B28" s="376" t="s">
        <v>162</v>
      </c>
      <c r="C28" s="376" t="s">
        <v>328</v>
      </c>
      <c r="D28" s="376" t="s">
        <v>206</v>
      </c>
      <c r="E28" s="376" t="s">
        <v>165</v>
      </c>
      <c r="F28" s="377" t="s">
        <v>166</v>
      </c>
      <c r="G28" s="376" t="s">
        <v>167</v>
      </c>
      <c r="H28" s="378"/>
      <c r="I28" s="378"/>
      <c r="J28" s="376" t="s">
        <v>168</v>
      </c>
      <c r="K28" s="376" t="s">
        <v>207</v>
      </c>
      <c r="L28" s="376" t="s">
        <v>195</v>
      </c>
      <c r="M28" s="376" t="s">
        <v>171</v>
      </c>
      <c r="N28" s="376" t="s">
        <v>172</v>
      </c>
      <c r="O28" s="379">
        <v>1</v>
      </c>
      <c r="P28" s="384">
        <v>0</v>
      </c>
      <c r="Q28" s="384">
        <v>0</v>
      </c>
      <c r="R28" s="380">
        <v>80</v>
      </c>
      <c r="S28" s="384">
        <v>0</v>
      </c>
      <c r="T28" s="380">
        <v>3129</v>
      </c>
      <c r="U28" s="380">
        <v>0</v>
      </c>
      <c r="V28" s="380">
        <v>1562.77</v>
      </c>
      <c r="W28" s="380">
        <v>0</v>
      </c>
      <c r="X28" s="380">
        <v>0</v>
      </c>
      <c r="Y28" s="380">
        <v>0</v>
      </c>
      <c r="Z28" s="380">
        <v>0</v>
      </c>
      <c r="AA28" s="376" t="s">
        <v>329</v>
      </c>
      <c r="AB28" s="376" t="s">
        <v>300</v>
      </c>
      <c r="AC28" s="376" t="s">
        <v>330</v>
      </c>
      <c r="AD28" s="376" t="s">
        <v>331</v>
      </c>
      <c r="AE28" s="376" t="s">
        <v>207</v>
      </c>
      <c r="AF28" s="376" t="s">
        <v>200</v>
      </c>
      <c r="AG28" s="376" t="s">
        <v>178</v>
      </c>
      <c r="AH28" s="381">
        <v>22.31</v>
      </c>
      <c r="AI28" s="381">
        <v>6774.4</v>
      </c>
      <c r="AJ28" s="376" t="s">
        <v>179</v>
      </c>
      <c r="AK28" s="376" t="s">
        <v>180</v>
      </c>
      <c r="AL28" s="376" t="s">
        <v>181</v>
      </c>
      <c r="AM28" s="376" t="s">
        <v>182</v>
      </c>
      <c r="AN28" s="376" t="s">
        <v>68</v>
      </c>
      <c r="AO28" s="379">
        <v>80</v>
      </c>
      <c r="AP28" s="384">
        <v>1</v>
      </c>
      <c r="AQ28" s="384">
        <v>0</v>
      </c>
      <c r="AR28" s="382" t="s">
        <v>183</v>
      </c>
      <c r="AS28" s="386">
        <f t="shared" si="27"/>
        <v>0</v>
      </c>
      <c r="AT28">
        <f t="shared" si="28"/>
        <v>0</v>
      </c>
      <c r="AU28" s="386" t="str">
        <f>IF(AT28=0,"",IF(AND(AT28=1,M28="F",SUMIF(C2:C84,C28,AS2:AS84)&lt;=1),SUMIF(C2:C84,C28,AS2:AS84),IF(AND(AT28=1,M28="F",SUMIF(C2:C84,C28,AS2:AS84)&gt;1),1,"")))</f>
        <v/>
      </c>
      <c r="AV28" s="386" t="str">
        <f>IF(AT28=0,"",IF(AND(AT28=3,M28="F",SUMIF(C2:C84,C28,AS2:AS84)&lt;=1),SUMIF(C2:C84,C28,AS2:AS84),IF(AND(AT28=3,M28="F",SUMIF(C2:C84,C28,AS2:AS84)&gt;1),1,"")))</f>
        <v/>
      </c>
      <c r="AW28" s="386">
        <f>SUMIF(C2:C84,C28,O2:O84)</f>
        <v>2</v>
      </c>
      <c r="AX28" s="386">
        <f>IF(AND(M28="F",AS28&lt;&gt;0),SUMIF(C2:C84,C28,W2:W84),0)</f>
        <v>0</v>
      </c>
      <c r="AY28" s="386" t="str">
        <f t="shared" si="29"/>
        <v/>
      </c>
      <c r="AZ28" s="386" t="str">
        <f t="shared" si="30"/>
        <v/>
      </c>
      <c r="BA28" s="386">
        <f t="shared" si="31"/>
        <v>0</v>
      </c>
      <c r="BB28" s="386">
        <f t="shared" si="0"/>
        <v>0</v>
      </c>
      <c r="BC28" s="386">
        <f t="shared" si="1"/>
        <v>0</v>
      </c>
      <c r="BD28" s="386">
        <f t="shared" si="2"/>
        <v>0</v>
      </c>
      <c r="BE28" s="386">
        <f t="shared" si="3"/>
        <v>0</v>
      </c>
      <c r="BF28" s="386">
        <f t="shared" si="4"/>
        <v>0</v>
      </c>
      <c r="BG28" s="386">
        <f t="shared" si="5"/>
        <v>0</v>
      </c>
      <c r="BH28" s="386">
        <f t="shared" si="6"/>
        <v>0</v>
      </c>
      <c r="BI28" s="386">
        <f t="shared" si="7"/>
        <v>0</v>
      </c>
      <c r="BJ28" s="386">
        <f t="shared" si="8"/>
        <v>0</v>
      </c>
      <c r="BK28" s="386">
        <f t="shared" si="9"/>
        <v>0</v>
      </c>
      <c r="BL28" s="386">
        <f t="shared" si="32"/>
        <v>0</v>
      </c>
      <c r="BM28" s="386">
        <f t="shared" si="33"/>
        <v>0</v>
      </c>
      <c r="BN28" s="386">
        <f t="shared" si="10"/>
        <v>0</v>
      </c>
      <c r="BO28" s="386">
        <f t="shared" si="11"/>
        <v>0</v>
      </c>
      <c r="BP28" s="386">
        <f t="shared" si="12"/>
        <v>0</v>
      </c>
      <c r="BQ28" s="386">
        <f t="shared" si="13"/>
        <v>0</v>
      </c>
      <c r="BR28" s="386">
        <f t="shared" si="14"/>
        <v>0</v>
      </c>
      <c r="BS28" s="386">
        <f t="shared" si="15"/>
        <v>0</v>
      </c>
      <c r="BT28" s="386">
        <f t="shared" si="16"/>
        <v>0</v>
      </c>
      <c r="BU28" s="386">
        <f t="shared" si="17"/>
        <v>0</v>
      </c>
      <c r="BV28" s="386">
        <f t="shared" si="18"/>
        <v>0</v>
      </c>
      <c r="BW28" s="386">
        <f t="shared" si="19"/>
        <v>0</v>
      </c>
      <c r="BX28" s="386">
        <f t="shared" si="34"/>
        <v>0</v>
      </c>
      <c r="BY28" s="386">
        <f t="shared" si="35"/>
        <v>0</v>
      </c>
      <c r="BZ28" s="386">
        <f t="shared" si="36"/>
        <v>0</v>
      </c>
      <c r="CA28" s="386">
        <f t="shared" si="37"/>
        <v>0</v>
      </c>
      <c r="CB28" s="386">
        <f t="shared" si="38"/>
        <v>0</v>
      </c>
      <c r="CC28" s="386">
        <f t="shared" si="20"/>
        <v>0</v>
      </c>
      <c r="CD28" s="386">
        <f t="shared" si="21"/>
        <v>0</v>
      </c>
      <c r="CE28" s="386">
        <f t="shared" si="22"/>
        <v>0</v>
      </c>
      <c r="CF28" s="386">
        <f t="shared" si="23"/>
        <v>0</v>
      </c>
      <c r="CG28" s="386">
        <f t="shared" si="24"/>
        <v>0</v>
      </c>
      <c r="CH28" s="386">
        <f t="shared" si="25"/>
        <v>0</v>
      </c>
      <c r="CI28" s="386">
        <f t="shared" si="26"/>
        <v>0</v>
      </c>
      <c r="CJ28" s="386">
        <f t="shared" si="39"/>
        <v>0</v>
      </c>
      <c r="CK28" s="386" t="str">
        <f t="shared" si="40"/>
        <v/>
      </c>
      <c r="CL28" s="386" t="str">
        <f t="shared" si="41"/>
        <v/>
      </c>
      <c r="CM28" s="386" t="str">
        <f t="shared" si="42"/>
        <v/>
      </c>
      <c r="CN28" s="386" t="str">
        <f t="shared" si="43"/>
        <v>0001-00</v>
      </c>
    </row>
    <row r="29" spans="1:92" ht="15.75" thickBot="1" x14ac:dyDescent="0.3">
      <c r="A29" s="376" t="s">
        <v>161</v>
      </c>
      <c r="B29" s="376" t="s">
        <v>162</v>
      </c>
      <c r="C29" s="376" t="s">
        <v>332</v>
      </c>
      <c r="D29" s="376" t="s">
        <v>206</v>
      </c>
      <c r="E29" s="376" t="s">
        <v>165</v>
      </c>
      <c r="F29" s="377" t="s">
        <v>166</v>
      </c>
      <c r="G29" s="376" t="s">
        <v>167</v>
      </c>
      <c r="H29" s="378"/>
      <c r="I29" s="378"/>
      <c r="J29" s="376" t="s">
        <v>168</v>
      </c>
      <c r="K29" s="376" t="s">
        <v>207</v>
      </c>
      <c r="L29" s="376" t="s">
        <v>195</v>
      </c>
      <c r="M29" s="376" t="s">
        <v>171</v>
      </c>
      <c r="N29" s="376" t="s">
        <v>172</v>
      </c>
      <c r="O29" s="379">
        <v>1</v>
      </c>
      <c r="P29" s="384">
        <v>0</v>
      </c>
      <c r="Q29" s="384">
        <v>0</v>
      </c>
      <c r="R29" s="380">
        <v>80</v>
      </c>
      <c r="S29" s="384">
        <v>0</v>
      </c>
      <c r="T29" s="380">
        <v>3481.6</v>
      </c>
      <c r="U29" s="380">
        <v>0</v>
      </c>
      <c r="V29" s="380">
        <v>1712.36</v>
      </c>
      <c r="W29" s="380">
        <v>0</v>
      </c>
      <c r="X29" s="380">
        <v>0</v>
      </c>
      <c r="Y29" s="380">
        <v>0</v>
      </c>
      <c r="Z29" s="380">
        <v>0</v>
      </c>
      <c r="AA29" s="376" t="s">
        <v>333</v>
      </c>
      <c r="AB29" s="376" t="s">
        <v>334</v>
      </c>
      <c r="AC29" s="376" t="s">
        <v>315</v>
      </c>
      <c r="AD29" s="376" t="s">
        <v>335</v>
      </c>
      <c r="AE29" s="376" t="s">
        <v>207</v>
      </c>
      <c r="AF29" s="376" t="s">
        <v>200</v>
      </c>
      <c r="AG29" s="376" t="s">
        <v>178</v>
      </c>
      <c r="AH29" s="381">
        <v>23.12</v>
      </c>
      <c r="AI29" s="381">
        <v>19906.2</v>
      </c>
      <c r="AJ29" s="376" t="s">
        <v>179</v>
      </c>
      <c r="AK29" s="376" t="s">
        <v>180</v>
      </c>
      <c r="AL29" s="376" t="s">
        <v>181</v>
      </c>
      <c r="AM29" s="376" t="s">
        <v>182</v>
      </c>
      <c r="AN29" s="376" t="s">
        <v>68</v>
      </c>
      <c r="AO29" s="379">
        <v>80</v>
      </c>
      <c r="AP29" s="384">
        <v>1</v>
      </c>
      <c r="AQ29" s="384">
        <v>0</v>
      </c>
      <c r="AR29" s="382" t="s">
        <v>183</v>
      </c>
      <c r="AS29" s="386">
        <f t="shared" si="27"/>
        <v>0</v>
      </c>
      <c r="AT29">
        <f t="shared" si="28"/>
        <v>0</v>
      </c>
      <c r="AU29" s="386" t="str">
        <f>IF(AT29=0,"",IF(AND(AT29=1,M29="F",SUMIF(C2:C84,C29,AS2:AS84)&lt;=1),SUMIF(C2:C84,C29,AS2:AS84),IF(AND(AT29=1,M29="F",SUMIF(C2:C84,C29,AS2:AS84)&gt;1),1,"")))</f>
        <v/>
      </c>
      <c r="AV29" s="386" t="str">
        <f>IF(AT29=0,"",IF(AND(AT29=3,M29="F",SUMIF(C2:C84,C29,AS2:AS84)&lt;=1),SUMIF(C2:C84,C29,AS2:AS84),IF(AND(AT29=3,M29="F",SUMIF(C2:C84,C29,AS2:AS84)&gt;1),1,"")))</f>
        <v/>
      </c>
      <c r="AW29" s="386">
        <f>SUMIF(C2:C84,C29,O2:O84)</f>
        <v>2</v>
      </c>
      <c r="AX29" s="386">
        <f>IF(AND(M29="F",AS29&lt;&gt;0),SUMIF(C2:C84,C29,W2:W84),0)</f>
        <v>0</v>
      </c>
      <c r="AY29" s="386" t="str">
        <f t="shared" si="29"/>
        <v/>
      </c>
      <c r="AZ29" s="386" t="str">
        <f t="shared" si="30"/>
        <v/>
      </c>
      <c r="BA29" s="386">
        <f t="shared" si="31"/>
        <v>0</v>
      </c>
      <c r="BB29" s="386">
        <f t="shared" si="0"/>
        <v>0</v>
      </c>
      <c r="BC29" s="386">
        <f t="shared" si="1"/>
        <v>0</v>
      </c>
      <c r="BD29" s="386">
        <f t="shared" si="2"/>
        <v>0</v>
      </c>
      <c r="BE29" s="386">
        <f t="shared" si="3"/>
        <v>0</v>
      </c>
      <c r="BF29" s="386">
        <f t="shared" si="4"/>
        <v>0</v>
      </c>
      <c r="BG29" s="386">
        <f t="shared" si="5"/>
        <v>0</v>
      </c>
      <c r="BH29" s="386">
        <f t="shared" si="6"/>
        <v>0</v>
      </c>
      <c r="BI29" s="386">
        <f t="shared" si="7"/>
        <v>0</v>
      </c>
      <c r="BJ29" s="386">
        <f t="shared" si="8"/>
        <v>0</v>
      </c>
      <c r="BK29" s="386">
        <f t="shared" si="9"/>
        <v>0</v>
      </c>
      <c r="BL29" s="386">
        <f t="shared" si="32"/>
        <v>0</v>
      </c>
      <c r="BM29" s="386">
        <f t="shared" si="33"/>
        <v>0</v>
      </c>
      <c r="BN29" s="386">
        <f t="shared" si="10"/>
        <v>0</v>
      </c>
      <c r="BO29" s="386">
        <f t="shared" si="11"/>
        <v>0</v>
      </c>
      <c r="BP29" s="386">
        <f t="shared" si="12"/>
        <v>0</v>
      </c>
      <c r="BQ29" s="386">
        <f t="shared" si="13"/>
        <v>0</v>
      </c>
      <c r="BR29" s="386">
        <f t="shared" si="14"/>
        <v>0</v>
      </c>
      <c r="BS29" s="386">
        <f t="shared" si="15"/>
        <v>0</v>
      </c>
      <c r="BT29" s="386">
        <f t="shared" si="16"/>
        <v>0</v>
      </c>
      <c r="BU29" s="386">
        <f t="shared" si="17"/>
        <v>0</v>
      </c>
      <c r="BV29" s="386">
        <f t="shared" si="18"/>
        <v>0</v>
      </c>
      <c r="BW29" s="386">
        <f t="shared" si="19"/>
        <v>0</v>
      </c>
      <c r="BX29" s="386">
        <f t="shared" si="34"/>
        <v>0</v>
      </c>
      <c r="BY29" s="386">
        <f t="shared" si="35"/>
        <v>0</v>
      </c>
      <c r="BZ29" s="386">
        <f t="shared" si="36"/>
        <v>0</v>
      </c>
      <c r="CA29" s="386">
        <f t="shared" si="37"/>
        <v>0</v>
      </c>
      <c r="CB29" s="386">
        <f t="shared" si="38"/>
        <v>0</v>
      </c>
      <c r="CC29" s="386">
        <f t="shared" si="20"/>
        <v>0</v>
      </c>
      <c r="CD29" s="386">
        <f t="shared" si="21"/>
        <v>0</v>
      </c>
      <c r="CE29" s="386">
        <f t="shared" si="22"/>
        <v>0</v>
      </c>
      <c r="CF29" s="386">
        <f t="shared" si="23"/>
        <v>0</v>
      </c>
      <c r="CG29" s="386">
        <f t="shared" si="24"/>
        <v>0</v>
      </c>
      <c r="CH29" s="386">
        <f t="shared" si="25"/>
        <v>0</v>
      </c>
      <c r="CI29" s="386">
        <f t="shared" si="26"/>
        <v>0</v>
      </c>
      <c r="CJ29" s="386">
        <f t="shared" si="39"/>
        <v>0</v>
      </c>
      <c r="CK29" s="386" t="str">
        <f t="shared" si="40"/>
        <v/>
      </c>
      <c r="CL29" s="386" t="str">
        <f t="shared" si="41"/>
        <v/>
      </c>
      <c r="CM29" s="386" t="str">
        <f t="shared" si="42"/>
        <v/>
      </c>
      <c r="CN29" s="386" t="str">
        <f t="shared" si="43"/>
        <v>0001-00</v>
      </c>
    </row>
    <row r="30" spans="1:92" ht="15.75" thickBot="1" x14ac:dyDescent="0.3">
      <c r="A30" s="376" t="s">
        <v>161</v>
      </c>
      <c r="B30" s="376" t="s">
        <v>162</v>
      </c>
      <c r="C30" s="376" t="s">
        <v>336</v>
      </c>
      <c r="D30" s="376" t="s">
        <v>258</v>
      </c>
      <c r="E30" s="376" t="s">
        <v>165</v>
      </c>
      <c r="F30" s="377" t="s">
        <v>166</v>
      </c>
      <c r="G30" s="376" t="s">
        <v>167</v>
      </c>
      <c r="H30" s="378"/>
      <c r="I30" s="378"/>
      <c r="J30" s="376" t="s">
        <v>168</v>
      </c>
      <c r="K30" s="376" t="s">
        <v>259</v>
      </c>
      <c r="L30" s="376" t="s">
        <v>226</v>
      </c>
      <c r="M30" s="376" t="s">
        <v>171</v>
      </c>
      <c r="N30" s="376" t="s">
        <v>172</v>
      </c>
      <c r="O30" s="379">
        <v>1</v>
      </c>
      <c r="P30" s="384">
        <v>0</v>
      </c>
      <c r="Q30" s="384">
        <v>0</v>
      </c>
      <c r="R30" s="380">
        <v>80</v>
      </c>
      <c r="S30" s="384">
        <v>0</v>
      </c>
      <c r="T30" s="380">
        <v>24487.17</v>
      </c>
      <c r="U30" s="380">
        <v>0</v>
      </c>
      <c r="V30" s="380">
        <v>1872.51</v>
      </c>
      <c r="W30" s="380">
        <v>0</v>
      </c>
      <c r="X30" s="380">
        <v>0</v>
      </c>
      <c r="Y30" s="380">
        <v>0</v>
      </c>
      <c r="Z30" s="380">
        <v>0</v>
      </c>
      <c r="AA30" s="376" t="s">
        <v>337</v>
      </c>
      <c r="AB30" s="376" t="s">
        <v>338</v>
      </c>
      <c r="AC30" s="376" t="s">
        <v>339</v>
      </c>
      <c r="AD30" s="376" t="s">
        <v>199</v>
      </c>
      <c r="AE30" s="376" t="s">
        <v>259</v>
      </c>
      <c r="AF30" s="376" t="s">
        <v>231</v>
      </c>
      <c r="AG30" s="376" t="s">
        <v>178</v>
      </c>
      <c r="AH30" s="381">
        <v>29.54</v>
      </c>
      <c r="AI30" s="381">
        <v>32271.200000000001</v>
      </c>
      <c r="AJ30" s="376" t="s">
        <v>179</v>
      </c>
      <c r="AK30" s="376" t="s">
        <v>180</v>
      </c>
      <c r="AL30" s="376" t="s">
        <v>181</v>
      </c>
      <c r="AM30" s="376" t="s">
        <v>182</v>
      </c>
      <c r="AN30" s="376" t="s">
        <v>68</v>
      </c>
      <c r="AO30" s="379">
        <v>80</v>
      </c>
      <c r="AP30" s="384">
        <v>1</v>
      </c>
      <c r="AQ30" s="384">
        <v>0</v>
      </c>
      <c r="AR30" s="382" t="s">
        <v>183</v>
      </c>
      <c r="AS30" s="386">
        <f t="shared" si="27"/>
        <v>0</v>
      </c>
      <c r="AT30">
        <f t="shared" si="28"/>
        <v>0</v>
      </c>
      <c r="AU30" s="386" t="str">
        <f>IF(AT30=0,"",IF(AND(AT30=1,M30="F",SUMIF(C2:C84,C30,AS2:AS84)&lt;=1),SUMIF(C2:C84,C30,AS2:AS84),IF(AND(AT30=1,M30="F",SUMIF(C2:C84,C30,AS2:AS84)&gt;1),1,"")))</f>
        <v/>
      </c>
      <c r="AV30" s="386" t="str">
        <f>IF(AT30=0,"",IF(AND(AT30=3,M30="F",SUMIF(C2:C84,C30,AS2:AS84)&lt;=1),SUMIF(C2:C84,C30,AS2:AS84),IF(AND(AT30=3,M30="F",SUMIF(C2:C84,C30,AS2:AS84)&gt;1),1,"")))</f>
        <v/>
      </c>
      <c r="AW30" s="386">
        <f>SUMIF(C2:C84,C30,O2:O84)</f>
        <v>2</v>
      </c>
      <c r="AX30" s="386">
        <f>IF(AND(M30="F",AS30&lt;&gt;0),SUMIF(C2:C84,C30,W2:W84),0)</f>
        <v>0</v>
      </c>
      <c r="AY30" s="386" t="str">
        <f t="shared" si="29"/>
        <v/>
      </c>
      <c r="AZ30" s="386" t="str">
        <f t="shared" si="30"/>
        <v/>
      </c>
      <c r="BA30" s="386">
        <f t="shared" si="31"/>
        <v>0</v>
      </c>
      <c r="BB30" s="386">
        <f t="shared" si="0"/>
        <v>0</v>
      </c>
      <c r="BC30" s="386">
        <f t="shared" si="1"/>
        <v>0</v>
      </c>
      <c r="BD30" s="386">
        <f t="shared" si="2"/>
        <v>0</v>
      </c>
      <c r="BE30" s="386">
        <f t="shared" si="3"/>
        <v>0</v>
      </c>
      <c r="BF30" s="386">
        <f t="shared" si="4"/>
        <v>0</v>
      </c>
      <c r="BG30" s="386">
        <f t="shared" si="5"/>
        <v>0</v>
      </c>
      <c r="BH30" s="386">
        <f t="shared" si="6"/>
        <v>0</v>
      </c>
      <c r="BI30" s="386">
        <f t="shared" si="7"/>
        <v>0</v>
      </c>
      <c r="BJ30" s="386">
        <f t="shared" si="8"/>
        <v>0</v>
      </c>
      <c r="BK30" s="386">
        <f t="shared" si="9"/>
        <v>0</v>
      </c>
      <c r="BL30" s="386">
        <f t="shared" si="32"/>
        <v>0</v>
      </c>
      <c r="BM30" s="386">
        <f t="shared" si="33"/>
        <v>0</v>
      </c>
      <c r="BN30" s="386">
        <f t="shared" si="10"/>
        <v>0</v>
      </c>
      <c r="BO30" s="386">
        <f t="shared" si="11"/>
        <v>0</v>
      </c>
      <c r="BP30" s="386">
        <f t="shared" si="12"/>
        <v>0</v>
      </c>
      <c r="BQ30" s="386">
        <f t="shared" si="13"/>
        <v>0</v>
      </c>
      <c r="BR30" s="386">
        <f t="shared" si="14"/>
        <v>0</v>
      </c>
      <c r="BS30" s="386">
        <f t="shared" si="15"/>
        <v>0</v>
      </c>
      <c r="BT30" s="386">
        <f t="shared" si="16"/>
        <v>0</v>
      </c>
      <c r="BU30" s="386">
        <f t="shared" si="17"/>
        <v>0</v>
      </c>
      <c r="BV30" s="386">
        <f t="shared" si="18"/>
        <v>0</v>
      </c>
      <c r="BW30" s="386">
        <f t="shared" si="19"/>
        <v>0</v>
      </c>
      <c r="BX30" s="386">
        <f t="shared" si="34"/>
        <v>0</v>
      </c>
      <c r="BY30" s="386">
        <f t="shared" si="35"/>
        <v>0</v>
      </c>
      <c r="BZ30" s="386">
        <f t="shared" si="36"/>
        <v>0</v>
      </c>
      <c r="CA30" s="386">
        <f t="shared" si="37"/>
        <v>0</v>
      </c>
      <c r="CB30" s="386">
        <f t="shared" si="38"/>
        <v>0</v>
      </c>
      <c r="CC30" s="386">
        <f t="shared" si="20"/>
        <v>0</v>
      </c>
      <c r="CD30" s="386">
        <f t="shared" si="21"/>
        <v>0</v>
      </c>
      <c r="CE30" s="386">
        <f t="shared" si="22"/>
        <v>0</v>
      </c>
      <c r="CF30" s="386">
        <f t="shared" si="23"/>
        <v>0</v>
      </c>
      <c r="CG30" s="386">
        <f t="shared" si="24"/>
        <v>0</v>
      </c>
      <c r="CH30" s="386">
        <f t="shared" si="25"/>
        <v>0</v>
      </c>
      <c r="CI30" s="386">
        <f t="shared" si="26"/>
        <v>0</v>
      </c>
      <c r="CJ30" s="386">
        <f t="shared" si="39"/>
        <v>0</v>
      </c>
      <c r="CK30" s="386" t="str">
        <f t="shared" si="40"/>
        <v/>
      </c>
      <c r="CL30" s="386" t="str">
        <f t="shared" si="41"/>
        <v/>
      </c>
      <c r="CM30" s="386" t="str">
        <f t="shared" si="42"/>
        <v/>
      </c>
      <c r="CN30" s="386" t="str">
        <f t="shared" si="43"/>
        <v>0001-00</v>
      </c>
    </row>
    <row r="31" spans="1:92" ht="15.75" thickBot="1" x14ac:dyDescent="0.3">
      <c r="A31" s="376" t="s">
        <v>161</v>
      </c>
      <c r="B31" s="376" t="s">
        <v>162</v>
      </c>
      <c r="C31" s="376" t="s">
        <v>340</v>
      </c>
      <c r="D31" s="376" t="s">
        <v>341</v>
      </c>
      <c r="E31" s="376" t="s">
        <v>165</v>
      </c>
      <c r="F31" s="377" t="s">
        <v>166</v>
      </c>
      <c r="G31" s="376" t="s">
        <v>167</v>
      </c>
      <c r="H31" s="378"/>
      <c r="I31" s="378"/>
      <c r="J31" s="376" t="s">
        <v>218</v>
      </c>
      <c r="K31" s="376" t="s">
        <v>342</v>
      </c>
      <c r="L31" s="376" t="s">
        <v>178</v>
      </c>
      <c r="M31" s="376" t="s">
        <v>171</v>
      </c>
      <c r="N31" s="376" t="s">
        <v>172</v>
      </c>
      <c r="O31" s="379">
        <v>1</v>
      </c>
      <c r="P31" s="384">
        <v>0.53</v>
      </c>
      <c r="Q31" s="384">
        <v>0.53</v>
      </c>
      <c r="R31" s="380">
        <v>62</v>
      </c>
      <c r="S31" s="384">
        <v>0.41</v>
      </c>
      <c r="T31" s="380">
        <v>15079.14</v>
      </c>
      <c r="U31" s="380">
        <v>0</v>
      </c>
      <c r="V31" s="380">
        <v>9309.08</v>
      </c>
      <c r="W31" s="380">
        <v>15089.1</v>
      </c>
      <c r="X31" s="380">
        <v>9463.15</v>
      </c>
      <c r="Y31" s="380">
        <v>15089.1</v>
      </c>
      <c r="Z31" s="380">
        <v>9390.7199999999993</v>
      </c>
      <c r="AA31" s="376" t="s">
        <v>343</v>
      </c>
      <c r="AB31" s="376" t="s">
        <v>344</v>
      </c>
      <c r="AC31" s="376" t="s">
        <v>345</v>
      </c>
      <c r="AD31" s="376" t="s">
        <v>346</v>
      </c>
      <c r="AE31" s="376" t="s">
        <v>342</v>
      </c>
      <c r="AF31" s="376" t="s">
        <v>347</v>
      </c>
      <c r="AG31" s="376" t="s">
        <v>178</v>
      </c>
      <c r="AH31" s="381">
        <v>18.25</v>
      </c>
      <c r="AI31" s="381">
        <v>16977.2</v>
      </c>
      <c r="AJ31" s="376" t="s">
        <v>348</v>
      </c>
      <c r="AK31" s="376" t="s">
        <v>180</v>
      </c>
      <c r="AL31" s="376" t="s">
        <v>181</v>
      </c>
      <c r="AM31" s="376" t="s">
        <v>182</v>
      </c>
      <c r="AN31" s="376" t="s">
        <v>68</v>
      </c>
      <c r="AO31" s="379">
        <v>60</v>
      </c>
      <c r="AP31" s="384">
        <v>1</v>
      </c>
      <c r="AQ31" s="384">
        <v>0.39</v>
      </c>
      <c r="AR31" s="382" t="s">
        <v>183</v>
      </c>
      <c r="AS31" s="386">
        <f t="shared" si="27"/>
        <v>0.39750000000000002</v>
      </c>
      <c r="AT31">
        <f t="shared" si="28"/>
        <v>1</v>
      </c>
      <c r="AU31" s="386">
        <f>IF(AT31=0,"",IF(AND(AT31=1,M31="F",SUMIF(C2:C84,C31,AS2:AS84)&lt;=1),SUMIF(C2:C84,C31,AS2:AS84),IF(AND(AT31=1,M31="F",SUMIF(C2:C84,C31,AS2:AS84)&gt;1),1,"")))</f>
        <v>0.75</v>
      </c>
      <c r="AV31" s="386" t="str">
        <f>IF(AT31=0,"",IF(AND(AT31=3,M31="F",SUMIF(C2:C84,C31,AS2:AS84)&lt;=1),SUMIF(C2:C84,C31,AS2:AS84),IF(AND(AT31=3,M31="F",SUMIF(C2:C84,C31,AS2:AS84)&gt;1),1,"")))</f>
        <v/>
      </c>
      <c r="AW31" s="386">
        <f>SUMIF(C2:C84,C31,O2:O84)</f>
        <v>2</v>
      </c>
      <c r="AX31" s="386">
        <f>IF(AND(M31="F",AS31&lt;&gt;0),SUMIF(C2:C84,C31,W2:W84),0)</f>
        <v>28470</v>
      </c>
      <c r="AY31" s="386">
        <f t="shared" si="29"/>
        <v>15089.1</v>
      </c>
      <c r="AZ31" s="386" t="str">
        <f t="shared" si="30"/>
        <v/>
      </c>
      <c r="BA31" s="386">
        <f t="shared" si="31"/>
        <v>0</v>
      </c>
      <c r="BB31" s="386">
        <f t="shared" si="0"/>
        <v>6174.5</v>
      </c>
      <c r="BC31" s="386">
        <f t="shared" si="1"/>
        <v>0</v>
      </c>
      <c r="BD31" s="386">
        <f t="shared" si="2"/>
        <v>935.52420000000006</v>
      </c>
      <c r="BE31" s="386">
        <f t="shared" si="3"/>
        <v>218.79195000000001</v>
      </c>
      <c r="BF31" s="386">
        <f t="shared" si="4"/>
        <v>1801.6385400000001</v>
      </c>
      <c r="BG31" s="386">
        <f t="shared" si="5"/>
        <v>108.792411</v>
      </c>
      <c r="BH31" s="386">
        <f t="shared" si="6"/>
        <v>73.936589999999995</v>
      </c>
      <c r="BI31" s="386">
        <f t="shared" si="7"/>
        <v>83.518168500000002</v>
      </c>
      <c r="BJ31" s="386">
        <f t="shared" si="8"/>
        <v>66.392040000000009</v>
      </c>
      <c r="BK31" s="386">
        <f t="shared" si="9"/>
        <v>0</v>
      </c>
      <c r="BL31" s="386">
        <f t="shared" si="32"/>
        <v>3288.5938995000001</v>
      </c>
      <c r="BM31" s="386">
        <f t="shared" si="33"/>
        <v>0</v>
      </c>
      <c r="BN31" s="386">
        <f t="shared" si="10"/>
        <v>6174.5</v>
      </c>
      <c r="BO31" s="386">
        <f t="shared" si="11"/>
        <v>0</v>
      </c>
      <c r="BP31" s="386">
        <f t="shared" si="12"/>
        <v>935.52420000000006</v>
      </c>
      <c r="BQ31" s="386">
        <f t="shared" si="13"/>
        <v>218.79195000000001</v>
      </c>
      <c r="BR31" s="386">
        <f t="shared" si="14"/>
        <v>1801.6385400000001</v>
      </c>
      <c r="BS31" s="386">
        <f t="shared" si="15"/>
        <v>108.792411</v>
      </c>
      <c r="BT31" s="386">
        <f t="shared" si="16"/>
        <v>0</v>
      </c>
      <c r="BU31" s="386">
        <f t="shared" si="17"/>
        <v>83.518168500000002</v>
      </c>
      <c r="BV31" s="386">
        <f t="shared" si="18"/>
        <v>67.900949999999995</v>
      </c>
      <c r="BW31" s="386">
        <f t="shared" si="19"/>
        <v>0</v>
      </c>
      <c r="BX31" s="386">
        <f t="shared" si="34"/>
        <v>3216.1662195000008</v>
      </c>
      <c r="BY31" s="386">
        <f t="shared" si="35"/>
        <v>0</v>
      </c>
      <c r="BZ31" s="386">
        <f t="shared" si="36"/>
        <v>0</v>
      </c>
      <c r="CA31" s="386">
        <f t="shared" si="37"/>
        <v>0</v>
      </c>
      <c r="CB31" s="386">
        <f t="shared" si="38"/>
        <v>0</v>
      </c>
      <c r="CC31" s="386">
        <f t="shared" si="20"/>
        <v>0</v>
      </c>
      <c r="CD31" s="386">
        <f t="shared" si="21"/>
        <v>0</v>
      </c>
      <c r="CE31" s="386">
        <f t="shared" si="22"/>
        <v>0</v>
      </c>
      <c r="CF31" s="386">
        <f t="shared" si="23"/>
        <v>-73.936589999999995</v>
      </c>
      <c r="CG31" s="386">
        <f t="shared" si="24"/>
        <v>0</v>
      </c>
      <c r="CH31" s="386">
        <f t="shared" si="25"/>
        <v>1.5089099999999909</v>
      </c>
      <c r="CI31" s="386">
        <f t="shared" si="26"/>
        <v>0</v>
      </c>
      <c r="CJ31" s="386">
        <f t="shared" si="39"/>
        <v>-72.427680000000009</v>
      </c>
      <c r="CK31" s="386" t="str">
        <f t="shared" si="40"/>
        <v/>
      </c>
      <c r="CL31" s="386" t="str">
        <f t="shared" si="41"/>
        <v/>
      </c>
      <c r="CM31" s="386" t="str">
        <f t="shared" si="42"/>
        <v/>
      </c>
      <c r="CN31" s="386" t="str">
        <f t="shared" si="43"/>
        <v>0001-00</v>
      </c>
    </row>
    <row r="32" spans="1:92" ht="15.75" thickBot="1" x14ac:dyDescent="0.3">
      <c r="A32" s="376" t="s">
        <v>161</v>
      </c>
      <c r="B32" s="376" t="s">
        <v>162</v>
      </c>
      <c r="C32" s="376" t="s">
        <v>349</v>
      </c>
      <c r="D32" s="376" t="s">
        <v>350</v>
      </c>
      <c r="E32" s="376" t="s">
        <v>165</v>
      </c>
      <c r="F32" s="377" t="s">
        <v>166</v>
      </c>
      <c r="G32" s="376" t="s">
        <v>167</v>
      </c>
      <c r="H32" s="378"/>
      <c r="I32" s="378"/>
      <c r="J32" s="376" t="s">
        <v>168</v>
      </c>
      <c r="K32" s="376" t="s">
        <v>351</v>
      </c>
      <c r="L32" s="376" t="s">
        <v>176</v>
      </c>
      <c r="M32" s="376" t="s">
        <v>171</v>
      </c>
      <c r="N32" s="376" t="s">
        <v>172</v>
      </c>
      <c r="O32" s="379">
        <v>1</v>
      </c>
      <c r="P32" s="384">
        <v>1</v>
      </c>
      <c r="Q32" s="384">
        <v>1</v>
      </c>
      <c r="R32" s="380">
        <v>80</v>
      </c>
      <c r="S32" s="384">
        <v>1</v>
      </c>
      <c r="T32" s="380">
        <v>37320.660000000003</v>
      </c>
      <c r="U32" s="380">
        <v>0</v>
      </c>
      <c r="V32" s="380">
        <v>16178.77</v>
      </c>
      <c r="W32" s="380">
        <v>66185.600000000006</v>
      </c>
      <c r="X32" s="380">
        <v>26075.11</v>
      </c>
      <c r="Y32" s="380">
        <v>66185.600000000006</v>
      </c>
      <c r="Z32" s="380">
        <v>25757.43</v>
      </c>
      <c r="AA32" s="376" t="s">
        <v>352</v>
      </c>
      <c r="AB32" s="376" t="s">
        <v>353</v>
      </c>
      <c r="AC32" s="376" t="s">
        <v>320</v>
      </c>
      <c r="AD32" s="376" t="s">
        <v>354</v>
      </c>
      <c r="AE32" s="376" t="s">
        <v>351</v>
      </c>
      <c r="AF32" s="376" t="s">
        <v>355</v>
      </c>
      <c r="AG32" s="376" t="s">
        <v>178</v>
      </c>
      <c r="AH32" s="381">
        <v>31.82</v>
      </c>
      <c r="AI32" s="381">
        <v>38923.800000000003</v>
      </c>
      <c r="AJ32" s="376" t="s">
        <v>179</v>
      </c>
      <c r="AK32" s="376" t="s">
        <v>180</v>
      </c>
      <c r="AL32" s="376" t="s">
        <v>181</v>
      </c>
      <c r="AM32" s="376" t="s">
        <v>182</v>
      </c>
      <c r="AN32" s="376" t="s">
        <v>68</v>
      </c>
      <c r="AO32" s="379">
        <v>80</v>
      </c>
      <c r="AP32" s="384">
        <v>1</v>
      </c>
      <c r="AQ32" s="384">
        <v>1</v>
      </c>
      <c r="AR32" s="382" t="s">
        <v>183</v>
      </c>
      <c r="AS32" s="386">
        <f t="shared" si="27"/>
        <v>1</v>
      </c>
      <c r="AT32">
        <f t="shared" si="28"/>
        <v>1</v>
      </c>
      <c r="AU32" s="386">
        <f>IF(AT32=0,"",IF(AND(AT32=1,M32="F",SUMIF(C2:C84,C32,AS2:AS84)&lt;=1),SUMIF(C2:C84,C32,AS2:AS84),IF(AND(AT32=1,M32="F",SUMIF(C2:C84,C32,AS2:AS84)&gt;1),1,"")))</f>
        <v>1</v>
      </c>
      <c r="AV32" s="386" t="str">
        <f>IF(AT32=0,"",IF(AND(AT32=3,M32="F",SUMIF(C2:C84,C32,AS2:AS84)&lt;=1),SUMIF(C2:C84,C32,AS2:AS84),IF(AND(AT32=3,M32="F",SUMIF(C2:C84,C32,AS2:AS84)&gt;1),1,"")))</f>
        <v/>
      </c>
      <c r="AW32" s="386">
        <f>SUMIF(C2:C84,C32,O2:O84)</f>
        <v>2</v>
      </c>
      <c r="AX32" s="386">
        <f>IF(AND(M32="F",AS32&lt;&gt;0),SUMIF(C2:C84,C32,W2:W84),0)</f>
        <v>66185.600000000006</v>
      </c>
      <c r="AY32" s="386">
        <f t="shared" si="29"/>
        <v>66185.600000000006</v>
      </c>
      <c r="AZ32" s="386" t="str">
        <f t="shared" si="30"/>
        <v/>
      </c>
      <c r="BA32" s="386">
        <f t="shared" si="31"/>
        <v>0</v>
      </c>
      <c r="BB32" s="386">
        <f t="shared" si="0"/>
        <v>11650</v>
      </c>
      <c r="BC32" s="386">
        <f t="shared" si="1"/>
        <v>0</v>
      </c>
      <c r="BD32" s="386">
        <f t="shared" si="2"/>
        <v>4103.5072</v>
      </c>
      <c r="BE32" s="386">
        <f t="shared" si="3"/>
        <v>959.69120000000009</v>
      </c>
      <c r="BF32" s="386">
        <f t="shared" si="4"/>
        <v>7902.5606400000015</v>
      </c>
      <c r="BG32" s="386">
        <f t="shared" si="5"/>
        <v>477.19817600000005</v>
      </c>
      <c r="BH32" s="386">
        <f t="shared" si="6"/>
        <v>324.30944</v>
      </c>
      <c r="BI32" s="386">
        <f t="shared" si="7"/>
        <v>366.33729600000004</v>
      </c>
      <c r="BJ32" s="386">
        <f t="shared" si="8"/>
        <v>291.21664000000004</v>
      </c>
      <c r="BK32" s="386">
        <f t="shared" si="9"/>
        <v>0</v>
      </c>
      <c r="BL32" s="386">
        <f t="shared" si="32"/>
        <v>14424.820592</v>
      </c>
      <c r="BM32" s="386">
        <f t="shared" si="33"/>
        <v>0</v>
      </c>
      <c r="BN32" s="386">
        <f t="shared" si="10"/>
        <v>11650</v>
      </c>
      <c r="BO32" s="386">
        <f t="shared" si="11"/>
        <v>0</v>
      </c>
      <c r="BP32" s="386">
        <f t="shared" si="12"/>
        <v>4103.5072</v>
      </c>
      <c r="BQ32" s="386">
        <f t="shared" si="13"/>
        <v>959.69120000000009</v>
      </c>
      <c r="BR32" s="386">
        <f t="shared" si="14"/>
        <v>7902.5606400000015</v>
      </c>
      <c r="BS32" s="386">
        <f t="shared" si="15"/>
        <v>477.19817600000005</v>
      </c>
      <c r="BT32" s="386">
        <f t="shared" si="16"/>
        <v>0</v>
      </c>
      <c r="BU32" s="386">
        <f t="shared" si="17"/>
        <v>366.33729600000004</v>
      </c>
      <c r="BV32" s="386">
        <f t="shared" si="18"/>
        <v>297.83519999999999</v>
      </c>
      <c r="BW32" s="386">
        <f t="shared" si="19"/>
        <v>0</v>
      </c>
      <c r="BX32" s="386">
        <f t="shared" si="34"/>
        <v>14107.129712</v>
      </c>
      <c r="BY32" s="386">
        <f t="shared" si="35"/>
        <v>0</v>
      </c>
      <c r="BZ32" s="386">
        <f t="shared" si="36"/>
        <v>0</v>
      </c>
      <c r="CA32" s="386">
        <f t="shared" si="37"/>
        <v>0</v>
      </c>
      <c r="CB32" s="386">
        <f t="shared" si="38"/>
        <v>0</v>
      </c>
      <c r="CC32" s="386">
        <f t="shared" si="20"/>
        <v>0</v>
      </c>
      <c r="CD32" s="386">
        <f t="shared" si="21"/>
        <v>0</v>
      </c>
      <c r="CE32" s="386">
        <f t="shared" si="22"/>
        <v>0</v>
      </c>
      <c r="CF32" s="386">
        <f t="shared" si="23"/>
        <v>-324.30944</v>
      </c>
      <c r="CG32" s="386">
        <f t="shared" si="24"/>
        <v>0</v>
      </c>
      <c r="CH32" s="386">
        <f t="shared" si="25"/>
        <v>6.6185599999999605</v>
      </c>
      <c r="CI32" s="386">
        <f t="shared" si="26"/>
        <v>0</v>
      </c>
      <c r="CJ32" s="386">
        <f t="shared" si="39"/>
        <v>-317.69088000000005</v>
      </c>
      <c r="CK32" s="386" t="str">
        <f t="shared" si="40"/>
        <v/>
      </c>
      <c r="CL32" s="386" t="str">
        <f t="shared" si="41"/>
        <v/>
      </c>
      <c r="CM32" s="386" t="str">
        <f t="shared" si="42"/>
        <v/>
      </c>
      <c r="CN32" s="386" t="str">
        <f t="shared" si="43"/>
        <v>0001-00</v>
      </c>
    </row>
    <row r="33" spans="1:92" ht="15.75" thickBot="1" x14ac:dyDescent="0.3">
      <c r="A33" s="376" t="s">
        <v>161</v>
      </c>
      <c r="B33" s="376" t="s">
        <v>162</v>
      </c>
      <c r="C33" s="376" t="s">
        <v>356</v>
      </c>
      <c r="D33" s="376" t="s">
        <v>206</v>
      </c>
      <c r="E33" s="376" t="s">
        <v>165</v>
      </c>
      <c r="F33" s="377" t="s">
        <v>166</v>
      </c>
      <c r="G33" s="376" t="s">
        <v>167</v>
      </c>
      <c r="H33" s="378"/>
      <c r="I33" s="378"/>
      <c r="J33" s="376" t="s">
        <v>168</v>
      </c>
      <c r="K33" s="376" t="s">
        <v>207</v>
      </c>
      <c r="L33" s="376" t="s">
        <v>195</v>
      </c>
      <c r="M33" s="376" t="s">
        <v>171</v>
      </c>
      <c r="N33" s="376" t="s">
        <v>172</v>
      </c>
      <c r="O33" s="379">
        <v>1</v>
      </c>
      <c r="P33" s="384">
        <v>1</v>
      </c>
      <c r="Q33" s="384">
        <v>1</v>
      </c>
      <c r="R33" s="380">
        <v>80</v>
      </c>
      <c r="S33" s="384">
        <v>1</v>
      </c>
      <c r="T33" s="380">
        <v>39397.629999999997</v>
      </c>
      <c r="U33" s="380">
        <v>0</v>
      </c>
      <c r="V33" s="380">
        <v>18806.11</v>
      </c>
      <c r="W33" s="380">
        <v>46758.400000000001</v>
      </c>
      <c r="X33" s="380">
        <v>21840.959999999999</v>
      </c>
      <c r="Y33" s="380">
        <v>46758.400000000001</v>
      </c>
      <c r="Z33" s="380">
        <v>21616.53</v>
      </c>
      <c r="AA33" s="376" t="s">
        <v>357</v>
      </c>
      <c r="AB33" s="376" t="s">
        <v>358</v>
      </c>
      <c r="AC33" s="376" t="s">
        <v>359</v>
      </c>
      <c r="AD33" s="376" t="s">
        <v>360</v>
      </c>
      <c r="AE33" s="376" t="s">
        <v>207</v>
      </c>
      <c r="AF33" s="376" t="s">
        <v>200</v>
      </c>
      <c r="AG33" s="376" t="s">
        <v>178</v>
      </c>
      <c r="AH33" s="381">
        <v>22.48</v>
      </c>
      <c r="AI33" s="379">
        <v>11627</v>
      </c>
      <c r="AJ33" s="376" t="s">
        <v>179</v>
      </c>
      <c r="AK33" s="376" t="s">
        <v>180</v>
      </c>
      <c r="AL33" s="376" t="s">
        <v>181</v>
      </c>
      <c r="AM33" s="376" t="s">
        <v>182</v>
      </c>
      <c r="AN33" s="376" t="s">
        <v>68</v>
      </c>
      <c r="AO33" s="379">
        <v>80</v>
      </c>
      <c r="AP33" s="384">
        <v>1</v>
      </c>
      <c r="AQ33" s="384">
        <v>1</v>
      </c>
      <c r="AR33" s="382" t="s">
        <v>183</v>
      </c>
      <c r="AS33" s="386">
        <f t="shared" si="27"/>
        <v>1</v>
      </c>
      <c r="AT33">
        <f t="shared" si="28"/>
        <v>1</v>
      </c>
      <c r="AU33" s="386">
        <f>IF(AT33=0,"",IF(AND(AT33=1,M33="F",SUMIF(C2:C84,C33,AS2:AS84)&lt;=1),SUMIF(C2:C84,C33,AS2:AS84),IF(AND(AT33=1,M33="F",SUMIF(C2:C84,C33,AS2:AS84)&gt;1),1,"")))</f>
        <v>1</v>
      </c>
      <c r="AV33" s="386" t="str">
        <f>IF(AT33=0,"",IF(AND(AT33=3,M33="F",SUMIF(C2:C84,C33,AS2:AS84)&lt;=1),SUMIF(C2:C84,C33,AS2:AS84),IF(AND(AT33=3,M33="F",SUMIF(C2:C84,C33,AS2:AS84)&gt;1),1,"")))</f>
        <v/>
      </c>
      <c r="AW33" s="386">
        <f>SUMIF(C2:C84,C33,O2:O84)</f>
        <v>2</v>
      </c>
      <c r="AX33" s="386">
        <f>IF(AND(M33="F",AS33&lt;&gt;0),SUMIF(C2:C84,C33,W2:W84),0)</f>
        <v>46758.400000000001</v>
      </c>
      <c r="AY33" s="386">
        <f t="shared" si="29"/>
        <v>46758.400000000001</v>
      </c>
      <c r="AZ33" s="386" t="str">
        <f t="shared" si="30"/>
        <v/>
      </c>
      <c r="BA33" s="386">
        <f t="shared" si="31"/>
        <v>0</v>
      </c>
      <c r="BB33" s="386">
        <f t="shared" si="0"/>
        <v>11650</v>
      </c>
      <c r="BC33" s="386">
        <f t="shared" si="1"/>
        <v>0</v>
      </c>
      <c r="BD33" s="386">
        <f t="shared" si="2"/>
        <v>2899.0208000000002</v>
      </c>
      <c r="BE33" s="386">
        <f t="shared" si="3"/>
        <v>677.99680000000001</v>
      </c>
      <c r="BF33" s="386">
        <f t="shared" si="4"/>
        <v>5582.9529600000005</v>
      </c>
      <c r="BG33" s="386">
        <f t="shared" si="5"/>
        <v>337.12806399999999</v>
      </c>
      <c r="BH33" s="386">
        <f t="shared" si="6"/>
        <v>229.11616000000001</v>
      </c>
      <c r="BI33" s="386">
        <f t="shared" si="7"/>
        <v>258.80774400000001</v>
      </c>
      <c r="BJ33" s="386">
        <f t="shared" si="8"/>
        <v>205.73696000000001</v>
      </c>
      <c r="BK33" s="386">
        <f t="shared" si="9"/>
        <v>0</v>
      </c>
      <c r="BL33" s="386">
        <f t="shared" si="32"/>
        <v>10190.759488000002</v>
      </c>
      <c r="BM33" s="386">
        <f t="shared" si="33"/>
        <v>0</v>
      </c>
      <c r="BN33" s="386">
        <f t="shared" si="10"/>
        <v>11650</v>
      </c>
      <c r="BO33" s="386">
        <f t="shared" si="11"/>
        <v>0</v>
      </c>
      <c r="BP33" s="386">
        <f t="shared" si="12"/>
        <v>2899.0208000000002</v>
      </c>
      <c r="BQ33" s="386">
        <f t="shared" si="13"/>
        <v>677.99680000000001</v>
      </c>
      <c r="BR33" s="386">
        <f t="shared" si="14"/>
        <v>5582.9529600000005</v>
      </c>
      <c r="BS33" s="386">
        <f t="shared" si="15"/>
        <v>337.12806399999999</v>
      </c>
      <c r="BT33" s="386">
        <f t="shared" si="16"/>
        <v>0</v>
      </c>
      <c r="BU33" s="386">
        <f t="shared" si="17"/>
        <v>258.80774400000001</v>
      </c>
      <c r="BV33" s="386">
        <f t="shared" si="18"/>
        <v>210.4128</v>
      </c>
      <c r="BW33" s="386">
        <f t="shared" si="19"/>
        <v>0</v>
      </c>
      <c r="BX33" s="386">
        <f t="shared" si="34"/>
        <v>9966.3191680000018</v>
      </c>
      <c r="BY33" s="386">
        <f t="shared" si="35"/>
        <v>0</v>
      </c>
      <c r="BZ33" s="386">
        <f t="shared" si="36"/>
        <v>0</v>
      </c>
      <c r="CA33" s="386">
        <f t="shared" si="37"/>
        <v>0</v>
      </c>
      <c r="CB33" s="386">
        <f t="shared" si="38"/>
        <v>0</v>
      </c>
      <c r="CC33" s="386">
        <f t="shared" si="20"/>
        <v>0</v>
      </c>
      <c r="CD33" s="386">
        <f t="shared" si="21"/>
        <v>0</v>
      </c>
      <c r="CE33" s="386">
        <f t="shared" si="22"/>
        <v>0</v>
      </c>
      <c r="CF33" s="386">
        <f t="shared" si="23"/>
        <v>-229.11616000000001</v>
      </c>
      <c r="CG33" s="386">
        <f t="shared" si="24"/>
        <v>0</v>
      </c>
      <c r="CH33" s="386">
        <f t="shared" si="25"/>
        <v>4.6758399999999716</v>
      </c>
      <c r="CI33" s="386">
        <f t="shared" si="26"/>
        <v>0</v>
      </c>
      <c r="CJ33" s="386">
        <f t="shared" si="39"/>
        <v>-224.44032000000004</v>
      </c>
      <c r="CK33" s="386" t="str">
        <f t="shared" si="40"/>
        <v/>
      </c>
      <c r="CL33" s="386" t="str">
        <f t="shared" si="41"/>
        <v/>
      </c>
      <c r="CM33" s="386" t="str">
        <f t="shared" si="42"/>
        <v/>
      </c>
      <c r="CN33" s="386" t="str">
        <f t="shared" si="43"/>
        <v>0001-00</v>
      </c>
    </row>
    <row r="34" spans="1:92" ht="15.75" thickBot="1" x14ac:dyDescent="0.3">
      <c r="A34" s="376" t="s">
        <v>161</v>
      </c>
      <c r="B34" s="376" t="s">
        <v>162</v>
      </c>
      <c r="C34" s="376" t="s">
        <v>361</v>
      </c>
      <c r="D34" s="376" t="s">
        <v>206</v>
      </c>
      <c r="E34" s="376" t="s">
        <v>165</v>
      </c>
      <c r="F34" s="377" t="s">
        <v>166</v>
      </c>
      <c r="G34" s="376" t="s">
        <v>167</v>
      </c>
      <c r="H34" s="378"/>
      <c r="I34" s="378"/>
      <c r="J34" s="376" t="s">
        <v>168</v>
      </c>
      <c r="K34" s="376" t="s">
        <v>207</v>
      </c>
      <c r="L34" s="376" t="s">
        <v>195</v>
      </c>
      <c r="M34" s="376" t="s">
        <v>171</v>
      </c>
      <c r="N34" s="376" t="s">
        <v>172</v>
      </c>
      <c r="O34" s="379">
        <v>1</v>
      </c>
      <c r="P34" s="384">
        <v>1</v>
      </c>
      <c r="Q34" s="384">
        <v>1</v>
      </c>
      <c r="R34" s="380">
        <v>80</v>
      </c>
      <c r="S34" s="384">
        <v>1</v>
      </c>
      <c r="T34" s="380">
        <v>25084.17</v>
      </c>
      <c r="U34" s="380">
        <v>0</v>
      </c>
      <c r="V34" s="380">
        <v>12633.41</v>
      </c>
      <c r="W34" s="380">
        <v>43492.800000000003</v>
      </c>
      <c r="X34" s="380">
        <v>21129.23</v>
      </c>
      <c r="Y34" s="380">
        <v>43492.800000000003</v>
      </c>
      <c r="Z34" s="380">
        <v>20920.47</v>
      </c>
      <c r="AA34" s="376" t="s">
        <v>362</v>
      </c>
      <c r="AB34" s="376" t="s">
        <v>363</v>
      </c>
      <c r="AC34" s="376" t="s">
        <v>364</v>
      </c>
      <c r="AD34" s="376" t="s">
        <v>365</v>
      </c>
      <c r="AE34" s="376" t="s">
        <v>207</v>
      </c>
      <c r="AF34" s="376" t="s">
        <v>200</v>
      </c>
      <c r="AG34" s="376" t="s">
        <v>178</v>
      </c>
      <c r="AH34" s="381">
        <v>20.91</v>
      </c>
      <c r="AI34" s="381">
        <v>11327.5</v>
      </c>
      <c r="AJ34" s="376" t="s">
        <v>179</v>
      </c>
      <c r="AK34" s="376" t="s">
        <v>180</v>
      </c>
      <c r="AL34" s="376" t="s">
        <v>181</v>
      </c>
      <c r="AM34" s="376" t="s">
        <v>182</v>
      </c>
      <c r="AN34" s="376" t="s">
        <v>68</v>
      </c>
      <c r="AO34" s="379">
        <v>80</v>
      </c>
      <c r="AP34" s="384">
        <v>1</v>
      </c>
      <c r="AQ34" s="384">
        <v>1</v>
      </c>
      <c r="AR34" s="382" t="s">
        <v>183</v>
      </c>
      <c r="AS34" s="386">
        <f t="shared" si="27"/>
        <v>1</v>
      </c>
      <c r="AT34">
        <f t="shared" si="28"/>
        <v>1</v>
      </c>
      <c r="AU34" s="386">
        <f>IF(AT34=0,"",IF(AND(AT34=1,M34="F",SUMIF(C2:C84,C34,AS2:AS84)&lt;=1),SUMIF(C2:C84,C34,AS2:AS84),IF(AND(AT34=1,M34="F",SUMIF(C2:C84,C34,AS2:AS84)&gt;1),1,"")))</f>
        <v>1</v>
      </c>
      <c r="AV34" s="386" t="str">
        <f>IF(AT34=0,"",IF(AND(AT34=3,M34="F",SUMIF(C2:C84,C34,AS2:AS84)&lt;=1),SUMIF(C2:C84,C34,AS2:AS84),IF(AND(AT34=3,M34="F",SUMIF(C2:C84,C34,AS2:AS84)&gt;1),1,"")))</f>
        <v/>
      </c>
      <c r="AW34" s="386">
        <f>SUMIF(C2:C84,C34,O2:O84)</f>
        <v>2</v>
      </c>
      <c r="AX34" s="386">
        <f>IF(AND(M34="F",AS34&lt;&gt;0),SUMIF(C2:C84,C34,W2:W84),0)</f>
        <v>43492.800000000003</v>
      </c>
      <c r="AY34" s="386">
        <f t="shared" si="29"/>
        <v>43492.800000000003</v>
      </c>
      <c r="AZ34" s="386" t="str">
        <f t="shared" si="30"/>
        <v/>
      </c>
      <c r="BA34" s="386">
        <f t="shared" si="31"/>
        <v>0</v>
      </c>
      <c r="BB34" s="386">
        <f t="shared" ref="BB34:BB65" si="44">IF(AND(AT34=1,AK34="E",AU34&gt;=0.75,AW34=1),Health,IF(AND(AT34=1,AK34="E",AU34&gt;=0.75),Health*P34,IF(AND(AT34=1,AK34="E",AU34&gt;=0.5,AW34=1),PTHealth,IF(AND(AT34=1,AK34="E",AU34&gt;=0.5),PTHealth*P34,0))))</f>
        <v>11650</v>
      </c>
      <c r="BC34" s="386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6">
        <f t="shared" ref="BD34:BD65" si="46">IF(AND(AT34&lt;&gt;0,AX34&gt;=MAXSSDI),SSDI*MAXSSDI*P34,IF(AT34&lt;&gt;0,SSDI*W34,0))</f>
        <v>2696.5536000000002</v>
      </c>
      <c r="BE34" s="386">
        <f t="shared" ref="BE34:BE65" si="47">IF(AT34&lt;&gt;0,SSHI*W34,0)</f>
        <v>630.64560000000006</v>
      </c>
      <c r="BF34" s="386">
        <f t="shared" ref="BF34:BF65" si="48">IF(AND(AT34&lt;&gt;0,AN34&lt;&gt;"NE"),VLOOKUP(AN34,Retirement_Rates,3,FALSE)*W34,0)</f>
        <v>5193.040320000001</v>
      </c>
      <c r="BG34" s="386">
        <f t="shared" ref="BG34:BG65" si="49">IF(AND(AT34&lt;&gt;0,AJ34&lt;&gt;"PF"),Life*W34,0)</f>
        <v>313.58308800000003</v>
      </c>
      <c r="BH34" s="386">
        <f t="shared" ref="BH34:BH65" si="50">IF(AND(AT34&lt;&gt;0,AM34="Y"),UI*W34,0)</f>
        <v>213.11472000000001</v>
      </c>
      <c r="BI34" s="386">
        <f t="shared" ref="BI34:BI65" si="51">IF(AND(AT34&lt;&gt;0,N34&lt;&gt;"NR"),DHR*W34,0)</f>
        <v>240.73264800000001</v>
      </c>
      <c r="BJ34" s="386">
        <f t="shared" ref="BJ34:BJ65" si="52">IF(AT34&lt;&gt;0,WC*W34,0)</f>
        <v>191.36832000000001</v>
      </c>
      <c r="BK34" s="386">
        <f t="shared" ref="BK34:BK65" si="53">IF(OR(AND(AT34&lt;&gt;0,AJ34&lt;&gt;"PF",AN34&lt;&gt;"NE",AG34&lt;&gt;"A"),AND(AL34="E",OR(AT34=1,AT34=3))),Sick*W34,0)</f>
        <v>0</v>
      </c>
      <c r="BL34" s="386">
        <f t="shared" si="32"/>
        <v>9479.0382959999988</v>
      </c>
      <c r="BM34" s="386">
        <f t="shared" si="33"/>
        <v>0</v>
      </c>
      <c r="BN34" s="386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11650</v>
      </c>
      <c r="BO34" s="386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6">
        <f t="shared" ref="BP34:BP65" si="56">IF(AND(AT34&lt;&gt;0,(AX34+BA34)&gt;=MAXSSDIBY),SSDIBY*MAXSSDIBY*P34,IF(AT34&lt;&gt;0,SSDIBY*W34,0))</f>
        <v>2696.5536000000002</v>
      </c>
      <c r="BQ34" s="386">
        <f t="shared" ref="BQ34:BQ65" si="57">IF(AT34&lt;&gt;0,SSHIBY*W34,0)</f>
        <v>630.64560000000006</v>
      </c>
      <c r="BR34" s="386">
        <f t="shared" ref="BR34:BR65" si="58">IF(AND(AT34&lt;&gt;0,AN34&lt;&gt;"NE"),VLOOKUP(AN34,Retirement_Rates,4,FALSE)*W34,0)</f>
        <v>5193.040320000001</v>
      </c>
      <c r="BS34" s="386">
        <f t="shared" ref="BS34:BS65" si="59">IF(AND(AT34&lt;&gt;0,AJ34&lt;&gt;"PF"),LifeBY*W34,0)</f>
        <v>313.58308800000003</v>
      </c>
      <c r="BT34" s="386">
        <f t="shared" ref="BT34:BT65" si="60">IF(AND(AT34&lt;&gt;0,AM34="Y"),UIBY*W34,0)</f>
        <v>0</v>
      </c>
      <c r="BU34" s="386">
        <f t="shared" ref="BU34:BU65" si="61">IF(AND(AT34&lt;&gt;0,N34&lt;&gt;"NR"),DHRBY*W34,0)</f>
        <v>240.73264800000001</v>
      </c>
      <c r="BV34" s="386">
        <f t="shared" ref="BV34:BV65" si="62">IF(AT34&lt;&gt;0,WCBY*W34,0)</f>
        <v>195.7176</v>
      </c>
      <c r="BW34" s="386">
        <f t="shared" ref="BW34:BW65" si="63">IF(OR(AND(AT34&lt;&gt;0,AJ34&lt;&gt;"PF",AN34&lt;&gt;"NE",AG34&lt;&gt;"A"),AND(AL34="E",OR(AT34=1,AT34=3))),SickBY*W34,0)</f>
        <v>0</v>
      </c>
      <c r="BX34" s="386">
        <f t="shared" si="34"/>
        <v>9270.2728559999996</v>
      </c>
      <c r="BY34" s="386">
        <f t="shared" si="35"/>
        <v>0</v>
      </c>
      <c r="BZ34" s="386">
        <f t="shared" si="36"/>
        <v>0</v>
      </c>
      <c r="CA34" s="386">
        <f t="shared" si="37"/>
        <v>0</v>
      </c>
      <c r="CB34" s="386">
        <f t="shared" si="38"/>
        <v>0</v>
      </c>
      <c r="CC34" s="386">
        <f t="shared" ref="CC34:CC65" si="64">IF(AT34&lt;&gt;0,SSHICHG*Y34,0)</f>
        <v>0</v>
      </c>
      <c r="CD34" s="386">
        <f t="shared" ref="CD34:CD65" si="65">IF(AND(AT34&lt;&gt;0,AN34&lt;&gt;"NE"),VLOOKUP(AN34,Retirement_Rates,5,FALSE)*Y34,0)</f>
        <v>0</v>
      </c>
      <c r="CE34" s="386">
        <f t="shared" ref="CE34:CE65" si="66">IF(AND(AT34&lt;&gt;0,AJ34&lt;&gt;"PF"),LifeCHG*Y34,0)</f>
        <v>0</v>
      </c>
      <c r="CF34" s="386">
        <f t="shared" ref="CF34:CF65" si="67">IF(AND(AT34&lt;&gt;0,AM34="Y"),UICHG*Y34,0)</f>
        <v>-213.11472000000001</v>
      </c>
      <c r="CG34" s="386">
        <f t="shared" ref="CG34:CG65" si="68">IF(AND(AT34&lt;&gt;0,N34&lt;&gt;"NR"),DHRCHG*Y34,0)</f>
        <v>0</v>
      </c>
      <c r="CH34" s="386">
        <f t="shared" ref="CH34:CH65" si="69">IF(AT34&lt;&gt;0,WCCHG*Y34,0)</f>
        <v>4.3492799999999736</v>
      </c>
      <c r="CI34" s="386">
        <f t="shared" ref="CI34:CI65" si="70">IF(OR(AND(AT34&lt;&gt;0,AJ34&lt;&gt;"PF",AN34&lt;&gt;"NE",AG34&lt;&gt;"A"),AND(AL34="E",OR(AT34=1,AT34=3))),SickCHG*Y34,0)</f>
        <v>0</v>
      </c>
      <c r="CJ34" s="386">
        <f t="shared" si="39"/>
        <v>-208.76544000000004</v>
      </c>
      <c r="CK34" s="386" t="str">
        <f t="shared" si="40"/>
        <v/>
      </c>
      <c r="CL34" s="386" t="str">
        <f t="shared" si="41"/>
        <v/>
      </c>
      <c r="CM34" s="386" t="str">
        <f t="shared" si="42"/>
        <v/>
      </c>
      <c r="CN34" s="386" t="str">
        <f t="shared" si="43"/>
        <v>0001-00</v>
      </c>
    </row>
    <row r="35" spans="1:92" ht="15.75" thickBot="1" x14ac:dyDescent="0.3">
      <c r="A35" s="376" t="s">
        <v>161</v>
      </c>
      <c r="B35" s="376" t="s">
        <v>162</v>
      </c>
      <c r="C35" s="376" t="s">
        <v>366</v>
      </c>
      <c r="D35" s="376" t="s">
        <v>367</v>
      </c>
      <c r="E35" s="376" t="s">
        <v>165</v>
      </c>
      <c r="F35" s="377" t="s">
        <v>166</v>
      </c>
      <c r="G35" s="376" t="s">
        <v>167</v>
      </c>
      <c r="H35" s="378"/>
      <c r="I35" s="378"/>
      <c r="J35" s="376" t="s">
        <v>168</v>
      </c>
      <c r="K35" s="376" t="s">
        <v>368</v>
      </c>
      <c r="L35" s="376" t="s">
        <v>354</v>
      </c>
      <c r="M35" s="376" t="s">
        <v>171</v>
      </c>
      <c r="N35" s="376" t="s">
        <v>172</v>
      </c>
      <c r="O35" s="379">
        <v>1</v>
      </c>
      <c r="P35" s="384">
        <v>1</v>
      </c>
      <c r="Q35" s="384">
        <v>1</v>
      </c>
      <c r="R35" s="380">
        <v>80</v>
      </c>
      <c r="S35" s="384">
        <v>1</v>
      </c>
      <c r="T35" s="380">
        <v>31400.43</v>
      </c>
      <c r="U35" s="380">
        <v>0</v>
      </c>
      <c r="V35" s="380">
        <v>16200.16</v>
      </c>
      <c r="W35" s="380">
        <v>42785.599999999999</v>
      </c>
      <c r="X35" s="380">
        <v>20975.09</v>
      </c>
      <c r="Y35" s="380">
        <v>42785.599999999999</v>
      </c>
      <c r="Z35" s="380">
        <v>20769.73</v>
      </c>
      <c r="AA35" s="376" t="s">
        <v>369</v>
      </c>
      <c r="AB35" s="376" t="s">
        <v>370</v>
      </c>
      <c r="AC35" s="376" t="s">
        <v>371</v>
      </c>
      <c r="AD35" s="376" t="s">
        <v>372</v>
      </c>
      <c r="AE35" s="376" t="s">
        <v>368</v>
      </c>
      <c r="AF35" s="376" t="s">
        <v>373</v>
      </c>
      <c r="AG35" s="376" t="s">
        <v>178</v>
      </c>
      <c r="AH35" s="381">
        <v>20.57</v>
      </c>
      <c r="AI35" s="381">
        <v>5175.7</v>
      </c>
      <c r="AJ35" s="376" t="s">
        <v>179</v>
      </c>
      <c r="AK35" s="376" t="s">
        <v>180</v>
      </c>
      <c r="AL35" s="376" t="s">
        <v>181</v>
      </c>
      <c r="AM35" s="376" t="s">
        <v>182</v>
      </c>
      <c r="AN35" s="376" t="s">
        <v>68</v>
      </c>
      <c r="AO35" s="379">
        <v>80</v>
      </c>
      <c r="AP35" s="384">
        <v>1</v>
      </c>
      <c r="AQ35" s="384">
        <v>1</v>
      </c>
      <c r="AR35" s="382" t="s">
        <v>183</v>
      </c>
      <c r="AS35" s="386">
        <f t="shared" si="27"/>
        <v>1</v>
      </c>
      <c r="AT35">
        <f t="shared" si="28"/>
        <v>1</v>
      </c>
      <c r="AU35" s="386">
        <f>IF(AT35=0,"",IF(AND(AT35=1,M35="F",SUMIF(C2:C84,C35,AS2:AS84)&lt;=1),SUMIF(C2:C84,C35,AS2:AS84),IF(AND(AT35=1,M35="F",SUMIF(C2:C84,C35,AS2:AS84)&gt;1),1,"")))</f>
        <v>1</v>
      </c>
      <c r="AV35" s="386" t="str">
        <f>IF(AT35=0,"",IF(AND(AT35=3,M35="F",SUMIF(C2:C84,C35,AS2:AS84)&lt;=1),SUMIF(C2:C84,C35,AS2:AS84),IF(AND(AT35=3,M35="F",SUMIF(C2:C84,C35,AS2:AS84)&gt;1),1,"")))</f>
        <v/>
      </c>
      <c r="AW35" s="386">
        <f>SUMIF(C2:C84,C35,O2:O84)</f>
        <v>2</v>
      </c>
      <c r="AX35" s="386">
        <f>IF(AND(M35="F",AS35&lt;&gt;0),SUMIF(C2:C84,C35,W2:W84),0)</f>
        <v>42785.599999999999</v>
      </c>
      <c r="AY35" s="386">
        <f t="shared" si="29"/>
        <v>42785.599999999999</v>
      </c>
      <c r="AZ35" s="386" t="str">
        <f t="shared" si="30"/>
        <v/>
      </c>
      <c r="BA35" s="386">
        <f t="shared" si="31"/>
        <v>0</v>
      </c>
      <c r="BB35" s="386">
        <f t="shared" si="44"/>
        <v>11650</v>
      </c>
      <c r="BC35" s="386">
        <f t="shared" si="45"/>
        <v>0</v>
      </c>
      <c r="BD35" s="386">
        <f t="shared" si="46"/>
        <v>2652.7071999999998</v>
      </c>
      <c r="BE35" s="386">
        <f t="shared" si="47"/>
        <v>620.39120000000003</v>
      </c>
      <c r="BF35" s="386">
        <f t="shared" si="48"/>
        <v>5108.6006399999997</v>
      </c>
      <c r="BG35" s="386">
        <f t="shared" si="49"/>
        <v>308.48417599999999</v>
      </c>
      <c r="BH35" s="386">
        <f t="shared" si="50"/>
        <v>209.64944</v>
      </c>
      <c r="BI35" s="386">
        <f t="shared" si="51"/>
        <v>236.818296</v>
      </c>
      <c r="BJ35" s="386">
        <f t="shared" si="52"/>
        <v>188.25664</v>
      </c>
      <c r="BK35" s="386">
        <f t="shared" si="53"/>
        <v>0</v>
      </c>
      <c r="BL35" s="386">
        <f t="shared" si="32"/>
        <v>9324.9075919999977</v>
      </c>
      <c r="BM35" s="386">
        <f t="shared" si="33"/>
        <v>0</v>
      </c>
      <c r="BN35" s="386">
        <f t="shared" si="54"/>
        <v>11650</v>
      </c>
      <c r="BO35" s="386">
        <f t="shared" si="55"/>
        <v>0</v>
      </c>
      <c r="BP35" s="386">
        <f t="shared" si="56"/>
        <v>2652.7071999999998</v>
      </c>
      <c r="BQ35" s="386">
        <f t="shared" si="57"/>
        <v>620.39120000000003</v>
      </c>
      <c r="BR35" s="386">
        <f t="shared" si="58"/>
        <v>5108.6006399999997</v>
      </c>
      <c r="BS35" s="386">
        <f t="shared" si="59"/>
        <v>308.48417599999999</v>
      </c>
      <c r="BT35" s="386">
        <f t="shared" si="60"/>
        <v>0</v>
      </c>
      <c r="BU35" s="386">
        <f t="shared" si="61"/>
        <v>236.818296</v>
      </c>
      <c r="BV35" s="386">
        <f t="shared" si="62"/>
        <v>192.53519999999997</v>
      </c>
      <c r="BW35" s="386">
        <f t="shared" si="63"/>
        <v>0</v>
      </c>
      <c r="BX35" s="386">
        <f t="shared" si="34"/>
        <v>9119.5367119999992</v>
      </c>
      <c r="BY35" s="386">
        <f t="shared" si="35"/>
        <v>0</v>
      </c>
      <c r="BZ35" s="386">
        <f t="shared" si="36"/>
        <v>0</v>
      </c>
      <c r="CA35" s="386">
        <f t="shared" si="37"/>
        <v>0</v>
      </c>
      <c r="CB35" s="386">
        <f t="shared" si="38"/>
        <v>0</v>
      </c>
      <c r="CC35" s="386">
        <f t="shared" si="64"/>
        <v>0</v>
      </c>
      <c r="CD35" s="386">
        <f t="shared" si="65"/>
        <v>0</v>
      </c>
      <c r="CE35" s="386">
        <f t="shared" si="66"/>
        <v>0</v>
      </c>
      <c r="CF35" s="386">
        <f t="shared" si="67"/>
        <v>-209.64944</v>
      </c>
      <c r="CG35" s="386">
        <f t="shared" si="68"/>
        <v>0</v>
      </c>
      <c r="CH35" s="386">
        <f t="shared" si="69"/>
        <v>4.2785599999999739</v>
      </c>
      <c r="CI35" s="386">
        <f t="shared" si="70"/>
        <v>0</v>
      </c>
      <c r="CJ35" s="386">
        <f t="shared" si="39"/>
        <v>-205.37088000000003</v>
      </c>
      <c r="CK35" s="386" t="str">
        <f t="shared" si="40"/>
        <v/>
      </c>
      <c r="CL35" s="386" t="str">
        <f t="shared" si="41"/>
        <v/>
      </c>
      <c r="CM35" s="386" t="str">
        <f t="shared" si="42"/>
        <v/>
      </c>
      <c r="CN35" s="386" t="str">
        <f t="shared" si="43"/>
        <v>0001-00</v>
      </c>
    </row>
    <row r="36" spans="1:92" ht="15.75" thickBot="1" x14ac:dyDescent="0.3">
      <c r="A36" s="376" t="s">
        <v>161</v>
      </c>
      <c r="B36" s="376" t="s">
        <v>162</v>
      </c>
      <c r="C36" s="376" t="s">
        <v>374</v>
      </c>
      <c r="D36" s="376" t="s">
        <v>206</v>
      </c>
      <c r="E36" s="376" t="s">
        <v>165</v>
      </c>
      <c r="F36" s="377" t="s">
        <v>166</v>
      </c>
      <c r="G36" s="376" t="s">
        <v>167</v>
      </c>
      <c r="H36" s="378"/>
      <c r="I36" s="378"/>
      <c r="J36" s="376" t="s">
        <v>168</v>
      </c>
      <c r="K36" s="376" t="s">
        <v>207</v>
      </c>
      <c r="L36" s="376" t="s">
        <v>195</v>
      </c>
      <c r="M36" s="376" t="s">
        <v>171</v>
      </c>
      <c r="N36" s="376" t="s">
        <v>172</v>
      </c>
      <c r="O36" s="379">
        <v>1</v>
      </c>
      <c r="P36" s="384">
        <v>0</v>
      </c>
      <c r="Q36" s="384">
        <v>0</v>
      </c>
      <c r="R36" s="380">
        <v>80</v>
      </c>
      <c r="S36" s="384">
        <v>0</v>
      </c>
      <c r="T36" s="380">
        <v>3108.8</v>
      </c>
      <c r="U36" s="380">
        <v>0</v>
      </c>
      <c r="V36" s="380">
        <v>1649</v>
      </c>
      <c r="W36" s="380">
        <v>0</v>
      </c>
      <c r="X36" s="380">
        <v>0</v>
      </c>
      <c r="Y36" s="380">
        <v>0</v>
      </c>
      <c r="Z36" s="380">
        <v>0</v>
      </c>
      <c r="AA36" s="376" t="s">
        <v>375</v>
      </c>
      <c r="AB36" s="376" t="s">
        <v>376</v>
      </c>
      <c r="AC36" s="376" t="s">
        <v>377</v>
      </c>
      <c r="AD36" s="376" t="s">
        <v>199</v>
      </c>
      <c r="AE36" s="376" t="s">
        <v>207</v>
      </c>
      <c r="AF36" s="376" t="s">
        <v>200</v>
      </c>
      <c r="AG36" s="376" t="s">
        <v>178</v>
      </c>
      <c r="AH36" s="381">
        <v>20.76</v>
      </c>
      <c r="AI36" s="381">
        <v>2639.5</v>
      </c>
      <c r="AJ36" s="376" t="s">
        <v>179</v>
      </c>
      <c r="AK36" s="376" t="s">
        <v>180</v>
      </c>
      <c r="AL36" s="376" t="s">
        <v>181</v>
      </c>
      <c r="AM36" s="376" t="s">
        <v>182</v>
      </c>
      <c r="AN36" s="376" t="s">
        <v>68</v>
      </c>
      <c r="AO36" s="379">
        <v>80</v>
      </c>
      <c r="AP36" s="384">
        <v>1</v>
      </c>
      <c r="AQ36" s="384">
        <v>0</v>
      </c>
      <c r="AR36" s="382" t="s">
        <v>183</v>
      </c>
      <c r="AS36" s="386">
        <f t="shared" si="27"/>
        <v>0</v>
      </c>
      <c r="AT36">
        <f t="shared" si="28"/>
        <v>0</v>
      </c>
      <c r="AU36" s="386" t="str">
        <f>IF(AT36=0,"",IF(AND(AT36=1,M36="F",SUMIF(C2:C84,C36,AS2:AS84)&lt;=1),SUMIF(C2:C84,C36,AS2:AS84),IF(AND(AT36=1,M36="F",SUMIF(C2:C84,C36,AS2:AS84)&gt;1),1,"")))</f>
        <v/>
      </c>
      <c r="AV36" s="386" t="str">
        <f>IF(AT36=0,"",IF(AND(AT36=3,M36="F",SUMIF(C2:C84,C36,AS2:AS84)&lt;=1),SUMIF(C2:C84,C36,AS2:AS84),IF(AND(AT36=3,M36="F",SUMIF(C2:C84,C36,AS2:AS84)&gt;1),1,"")))</f>
        <v/>
      </c>
      <c r="AW36" s="386">
        <f>SUMIF(C2:C84,C36,O2:O84)</f>
        <v>2</v>
      </c>
      <c r="AX36" s="386">
        <f>IF(AND(M36="F",AS36&lt;&gt;0),SUMIF(C2:C84,C36,W2:W84),0)</f>
        <v>0</v>
      </c>
      <c r="AY36" s="386" t="str">
        <f t="shared" si="29"/>
        <v/>
      </c>
      <c r="AZ36" s="386" t="str">
        <f t="shared" si="30"/>
        <v/>
      </c>
      <c r="BA36" s="386">
        <f t="shared" si="31"/>
        <v>0</v>
      </c>
      <c r="BB36" s="386">
        <f t="shared" si="44"/>
        <v>0</v>
      </c>
      <c r="BC36" s="386">
        <f t="shared" si="45"/>
        <v>0</v>
      </c>
      <c r="BD36" s="386">
        <f t="shared" si="46"/>
        <v>0</v>
      </c>
      <c r="BE36" s="386">
        <f t="shared" si="47"/>
        <v>0</v>
      </c>
      <c r="BF36" s="386">
        <f t="shared" si="48"/>
        <v>0</v>
      </c>
      <c r="BG36" s="386">
        <f t="shared" si="49"/>
        <v>0</v>
      </c>
      <c r="BH36" s="386">
        <f t="shared" si="50"/>
        <v>0</v>
      </c>
      <c r="BI36" s="386">
        <f t="shared" si="51"/>
        <v>0</v>
      </c>
      <c r="BJ36" s="386">
        <f t="shared" si="52"/>
        <v>0</v>
      </c>
      <c r="BK36" s="386">
        <f t="shared" si="53"/>
        <v>0</v>
      </c>
      <c r="BL36" s="386">
        <f t="shared" si="32"/>
        <v>0</v>
      </c>
      <c r="BM36" s="386">
        <f t="shared" si="33"/>
        <v>0</v>
      </c>
      <c r="BN36" s="386">
        <f t="shared" si="54"/>
        <v>0</v>
      </c>
      <c r="BO36" s="386">
        <f t="shared" si="55"/>
        <v>0</v>
      </c>
      <c r="BP36" s="386">
        <f t="shared" si="56"/>
        <v>0</v>
      </c>
      <c r="BQ36" s="386">
        <f t="shared" si="57"/>
        <v>0</v>
      </c>
      <c r="BR36" s="386">
        <f t="shared" si="58"/>
        <v>0</v>
      </c>
      <c r="BS36" s="386">
        <f t="shared" si="59"/>
        <v>0</v>
      </c>
      <c r="BT36" s="386">
        <f t="shared" si="60"/>
        <v>0</v>
      </c>
      <c r="BU36" s="386">
        <f t="shared" si="61"/>
        <v>0</v>
      </c>
      <c r="BV36" s="386">
        <f t="shared" si="62"/>
        <v>0</v>
      </c>
      <c r="BW36" s="386">
        <f t="shared" si="63"/>
        <v>0</v>
      </c>
      <c r="BX36" s="386">
        <f t="shared" si="34"/>
        <v>0</v>
      </c>
      <c r="BY36" s="386">
        <f t="shared" si="35"/>
        <v>0</v>
      </c>
      <c r="BZ36" s="386">
        <f t="shared" si="36"/>
        <v>0</v>
      </c>
      <c r="CA36" s="386">
        <f t="shared" si="37"/>
        <v>0</v>
      </c>
      <c r="CB36" s="386">
        <f t="shared" si="38"/>
        <v>0</v>
      </c>
      <c r="CC36" s="386">
        <f t="shared" si="64"/>
        <v>0</v>
      </c>
      <c r="CD36" s="386">
        <f t="shared" si="65"/>
        <v>0</v>
      </c>
      <c r="CE36" s="386">
        <f t="shared" si="66"/>
        <v>0</v>
      </c>
      <c r="CF36" s="386">
        <f t="shared" si="67"/>
        <v>0</v>
      </c>
      <c r="CG36" s="386">
        <f t="shared" si="68"/>
        <v>0</v>
      </c>
      <c r="CH36" s="386">
        <f t="shared" si="69"/>
        <v>0</v>
      </c>
      <c r="CI36" s="386">
        <f t="shared" si="70"/>
        <v>0</v>
      </c>
      <c r="CJ36" s="386">
        <f t="shared" si="39"/>
        <v>0</v>
      </c>
      <c r="CK36" s="386" t="str">
        <f t="shared" si="40"/>
        <v/>
      </c>
      <c r="CL36" s="386" t="str">
        <f t="shared" si="41"/>
        <v/>
      </c>
      <c r="CM36" s="386" t="str">
        <f t="shared" si="42"/>
        <v/>
      </c>
      <c r="CN36" s="386" t="str">
        <f t="shared" si="43"/>
        <v>0001-00</v>
      </c>
    </row>
    <row r="37" spans="1:92" ht="15.75" thickBot="1" x14ac:dyDescent="0.3">
      <c r="A37" s="376" t="s">
        <v>161</v>
      </c>
      <c r="B37" s="376" t="s">
        <v>162</v>
      </c>
      <c r="C37" s="376" t="s">
        <v>378</v>
      </c>
      <c r="D37" s="376" t="s">
        <v>379</v>
      </c>
      <c r="E37" s="376" t="s">
        <v>165</v>
      </c>
      <c r="F37" s="377" t="s">
        <v>166</v>
      </c>
      <c r="G37" s="376" t="s">
        <v>167</v>
      </c>
      <c r="H37" s="378"/>
      <c r="I37" s="378"/>
      <c r="J37" s="376" t="s">
        <v>168</v>
      </c>
      <c r="K37" s="376" t="s">
        <v>380</v>
      </c>
      <c r="L37" s="376" t="s">
        <v>178</v>
      </c>
      <c r="M37" s="376" t="s">
        <v>171</v>
      </c>
      <c r="N37" s="376" t="s">
        <v>172</v>
      </c>
      <c r="O37" s="379">
        <v>1</v>
      </c>
      <c r="P37" s="384">
        <v>0</v>
      </c>
      <c r="Q37" s="384">
        <v>0</v>
      </c>
      <c r="R37" s="380">
        <v>80</v>
      </c>
      <c r="S37" s="384">
        <v>0</v>
      </c>
      <c r="T37" s="380">
        <v>3200</v>
      </c>
      <c r="U37" s="380">
        <v>0</v>
      </c>
      <c r="V37" s="380">
        <v>1653.9</v>
      </c>
      <c r="W37" s="380">
        <v>0</v>
      </c>
      <c r="X37" s="380">
        <v>0</v>
      </c>
      <c r="Y37" s="380">
        <v>0</v>
      </c>
      <c r="Z37" s="380">
        <v>0</v>
      </c>
      <c r="AA37" s="376" t="s">
        <v>381</v>
      </c>
      <c r="AB37" s="376" t="s">
        <v>382</v>
      </c>
      <c r="AC37" s="376" t="s">
        <v>383</v>
      </c>
      <c r="AD37" s="376" t="s">
        <v>384</v>
      </c>
      <c r="AE37" s="376" t="s">
        <v>380</v>
      </c>
      <c r="AF37" s="376" t="s">
        <v>347</v>
      </c>
      <c r="AG37" s="376" t="s">
        <v>178</v>
      </c>
      <c r="AH37" s="381">
        <v>20.75</v>
      </c>
      <c r="AI37" s="381">
        <v>19836.099999999999</v>
      </c>
      <c r="AJ37" s="376" t="s">
        <v>179</v>
      </c>
      <c r="AK37" s="376" t="s">
        <v>180</v>
      </c>
      <c r="AL37" s="376" t="s">
        <v>181</v>
      </c>
      <c r="AM37" s="376" t="s">
        <v>182</v>
      </c>
      <c r="AN37" s="376" t="s">
        <v>68</v>
      </c>
      <c r="AO37" s="379">
        <v>80</v>
      </c>
      <c r="AP37" s="384">
        <v>1</v>
      </c>
      <c r="AQ37" s="384">
        <v>0</v>
      </c>
      <c r="AR37" s="382" t="s">
        <v>183</v>
      </c>
      <c r="AS37" s="386">
        <f t="shared" si="27"/>
        <v>0</v>
      </c>
      <c r="AT37">
        <f t="shared" si="28"/>
        <v>0</v>
      </c>
      <c r="AU37" s="386" t="str">
        <f>IF(AT37=0,"",IF(AND(AT37=1,M37="F",SUMIF(C2:C84,C37,AS2:AS84)&lt;=1),SUMIF(C2:C84,C37,AS2:AS84),IF(AND(AT37=1,M37="F",SUMIF(C2:C84,C37,AS2:AS84)&gt;1),1,"")))</f>
        <v/>
      </c>
      <c r="AV37" s="386" t="str">
        <f>IF(AT37=0,"",IF(AND(AT37=3,M37="F",SUMIF(C2:C84,C37,AS2:AS84)&lt;=1),SUMIF(C2:C84,C37,AS2:AS84),IF(AND(AT37=3,M37="F",SUMIF(C2:C84,C37,AS2:AS84)&gt;1),1,"")))</f>
        <v/>
      </c>
      <c r="AW37" s="386">
        <f>SUMIF(C2:C84,C37,O2:O84)</f>
        <v>2</v>
      </c>
      <c r="AX37" s="386">
        <f>IF(AND(M37="F",AS37&lt;&gt;0),SUMIF(C2:C84,C37,W2:W84),0)</f>
        <v>0</v>
      </c>
      <c r="AY37" s="386" t="str">
        <f t="shared" si="29"/>
        <v/>
      </c>
      <c r="AZ37" s="386" t="str">
        <f t="shared" si="30"/>
        <v/>
      </c>
      <c r="BA37" s="386">
        <f t="shared" si="31"/>
        <v>0</v>
      </c>
      <c r="BB37" s="386">
        <f t="shared" si="44"/>
        <v>0</v>
      </c>
      <c r="BC37" s="386">
        <f t="shared" si="45"/>
        <v>0</v>
      </c>
      <c r="BD37" s="386">
        <f t="shared" si="46"/>
        <v>0</v>
      </c>
      <c r="BE37" s="386">
        <f t="shared" si="47"/>
        <v>0</v>
      </c>
      <c r="BF37" s="386">
        <f t="shared" si="48"/>
        <v>0</v>
      </c>
      <c r="BG37" s="386">
        <f t="shared" si="49"/>
        <v>0</v>
      </c>
      <c r="BH37" s="386">
        <f t="shared" si="50"/>
        <v>0</v>
      </c>
      <c r="BI37" s="386">
        <f t="shared" si="51"/>
        <v>0</v>
      </c>
      <c r="BJ37" s="386">
        <f t="shared" si="52"/>
        <v>0</v>
      </c>
      <c r="BK37" s="386">
        <f t="shared" si="53"/>
        <v>0</v>
      </c>
      <c r="BL37" s="386">
        <f t="shared" si="32"/>
        <v>0</v>
      </c>
      <c r="BM37" s="386">
        <f t="shared" si="33"/>
        <v>0</v>
      </c>
      <c r="BN37" s="386">
        <f t="shared" si="54"/>
        <v>0</v>
      </c>
      <c r="BO37" s="386">
        <f t="shared" si="55"/>
        <v>0</v>
      </c>
      <c r="BP37" s="386">
        <f t="shared" si="56"/>
        <v>0</v>
      </c>
      <c r="BQ37" s="386">
        <f t="shared" si="57"/>
        <v>0</v>
      </c>
      <c r="BR37" s="386">
        <f t="shared" si="58"/>
        <v>0</v>
      </c>
      <c r="BS37" s="386">
        <f t="shared" si="59"/>
        <v>0</v>
      </c>
      <c r="BT37" s="386">
        <f t="shared" si="60"/>
        <v>0</v>
      </c>
      <c r="BU37" s="386">
        <f t="shared" si="61"/>
        <v>0</v>
      </c>
      <c r="BV37" s="386">
        <f t="shared" si="62"/>
        <v>0</v>
      </c>
      <c r="BW37" s="386">
        <f t="shared" si="63"/>
        <v>0</v>
      </c>
      <c r="BX37" s="386">
        <f t="shared" si="34"/>
        <v>0</v>
      </c>
      <c r="BY37" s="386">
        <f t="shared" si="35"/>
        <v>0</v>
      </c>
      <c r="BZ37" s="386">
        <f t="shared" si="36"/>
        <v>0</v>
      </c>
      <c r="CA37" s="386">
        <f t="shared" si="37"/>
        <v>0</v>
      </c>
      <c r="CB37" s="386">
        <f t="shared" si="38"/>
        <v>0</v>
      </c>
      <c r="CC37" s="386">
        <f t="shared" si="64"/>
        <v>0</v>
      </c>
      <c r="CD37" s="386">
        <f t="shared" si="65"/>
        <v>0</v>
      </c>
      <c r="CE37" s="386">
        <f t="shared" si="66"/>
        <v>0</v>
      </c>
      <c r="CF37" s="386">
        <f t="shared" si="67"/>
        <v>0</v>
      </c>
      <c r="CG37" s="386">
        <f t="shared" si="68"/>
        <v>0</v>
      </c>
      <c r="CH37" s="386">
        <f t="shared" si="69"/>
        <v>0</v>
      </c>
      <c r="CI37" s="386">
        <f t="shared" si="70"/>
        <v>0</v>
      </c>
      <c r="CJ37" s="386">
        <f t="shared" si="39"/>
        <v>0</v>
      </c>
      <c r="CK37" s="386" t="str">
        <f t="shared" si="40"/>
        <v/>
      </c>
      <c r="CL37" s="386" t="str">
        <f t="shared" si="41"/>
        <v/>
      </c>
      <c r="CM37" s="386" t="str">
        <f t="shared" si="42"/>
        <v/>
      </c>
      <c r="CN37" s="386" t="str">
        <f t="shared" si="43"/>
        <v>0001-00</v>
      </c>
    </row>
    <row r="38" spans="1:92" ht="15.75" thickBot="1" x14ac:dyDescent="0.3">
      <c r="A38" s="376" t="s">
        <v>161</v>
      </c>
      <c r="B38" s="376" t="s">
        <v>162</v>
      </c>
      <c r="C38" s="376" t="s">
        <v>385</v>
      </c>
      <c r="D38" s="376" t="s">
        <v>206</v>
      </c>
      <c r="E38" s="376" t="s">
        <v>165</v>
      </c>
      <c r="F38" s="377" t="s">
        <v>166</v>
      </c>
      <c r="G38" s="376" t="s">
        <v>167</v>
      </c>
      <c r="H38" s="378"/>
      <c r="I38" s="378"/>
      <c r="J38" s="376" t="s">
        <v>168</v>
      </c>
      <c r="K38" s="376" t="s">
        <v>207</v>
      </c>
      <c r="L38" s="376" t="s">
        <v>195</v>
      </c>
      <c r="M38" s="376" t="s">
        <v>171</v>
      </c>
      <c r="N38" s="376" t="s">
        <v>172</v>
      </c>
      <c r="O38" s="379">
        <v>1</v>
      </c>
      <c r="P38" s="384">
        <v>1</v>
      </c>
      <c r="Q38" s="384">
        <v>1</v>
      </c>
      <c r="R38" s="380">
        <v>80</v>
      </c>
      <c r="S38" s="384">
        <v>1</v>
      </c>
      <c r="T38" s="380">
        <v>29329.63</v>
      </c>
      <c r="U38" s="380">
        <v>0</v>
      </c>
      <c r="V38" s="380">
        <v>14767.5</v>
      </c>
      <c r="W38" s="380">
        <v>43492.800000000003</v>
      </c>
      <c r="X38" s="380">
        <v>21129.23</v>
      </c>
      <c r="Y38" s="380">
        <v>43492.800000000003</v>
      </c>
      <c r="Z38" s="380">
        <v>20920.47</v>
      </c>
      <c r="AA38" s="376" t="s">
        <v>386</v>
      </c>
      <c r="AB38" s="376" t="s">
        <v>387</v>
      </c>
      <c r="AC38" s="376" t="s">
        <v>388</v>
      </c>
      <c r="AD38" s="376" t="s">
        <v>389</v>
      </c>
      <c r="AE38" s="376" t="s">
        <v>207</v>
      </c>
      <c r="AF38" s="376" t="s">
        <v>200</v>
      </c>
      <c r="AG38" s="376" t="s">
        <v>178</v>
      </c>
      <c r="AH38" s="381">
        <v>20.91</v>
      </c>
      <c r="AI38" s="379">
        <v>3364</v>
      </c>
      <c r="AJ38" s="376" t="s">
        <v>179</v>
      </c>
      <c r="AK38" s="376" t="s">
        <v>180</v>
      </c>
      <c r="AL38" s="376" t="s">
        <v>181</v>
      </c>
      <c r="AM38" s="376" t="s">
        <v>182</v>
      </c>
      <c r="AN38" s="376" t="s">
        <v>68</v>
      </c>
      <c r="AO38" s="379">
        <v>80</v>
      </c>
      <c r="AP38" s="384">
        <v>1</v>
      </c>
      <c r="AQ38" s="384">
        <v>1</v>
      </c>
      <c r="AR38" s="382" t="s">
        <v>183</v>
      </c>
      <c r="AS38" s="386">
        <f t="shared" si="27"/>
        <v>1</v>
      </c>
      <c r="AT38">
        <f t="shared" si="28"/>
        <v>1</v>
      </c>
      <c r="AU38" s="386">
        <f>IF(AT38=0,"",IF(AND(AT38=1,M38="F",SUMIF(C2:C84,C38,AS2:AS84)&lt;=1),SUMIF(C2:C84,C38,AS2:AS84),IF(AND(AT38=1,M38="F",SUMIF(C2:C84,C38,AS2:AS84)&gt;1),1,"")))</f>
        <v>1</v>
      </c>
      <c r="AV38" s="386" t="str">
        <f>IF(AT38=0,"",IF(AND(AT38=3,M38="F",SUMIF(C2:C84,C38,AS2:AS84)&lt;=1),SUMIF(C2:C84,C38,AS2:AS84),IF(AND(AT38=3,M38="F",SUMIF(C2:C84,C38,AS2:AS84)&gt;1),1,"")))</f>
        <v/>
      </c>
      <c r="AW38" s="386">
        <f>SUMIF(C2:C84,C38,O2:O84)</f>
        <v>2</v>
      </c>
      <c r="AX38" s="386">
        <f>IF(AND(M38="F",AS38&lt;&gt;0),SUMIF(C2:C84,C38,W2:W84),0)</f>
        <v>43492.800000000003</v>
      </c>
      <c r="AY38" s="386">
        <f t="shared" si="29"/>
        <v>43492.800000000003</v>
      </c>
      <c r="AZ38" s="386" t="str">
        <f t="shared" si="30"/>
        <v/>
      </c>
      <c r="BA38" s="386">
        <f t="shared" si="31"/>
        <v>0</v>
      </c>
      <c r="BB38" s="386">
        <f t="shared" si="44"/>
        <v>11650</v>
      </c>
      <c r="BC38" s="386">
        <f t="shared" si="45"/>
        <v>0</v>
      </c>
      <c r="BD38" s="386">
        <f t="shared" si="46"/>
        <v>2696.5536000000002</v>
      </c>
      <c r="BE38" s="386">
        <f t="shared" si="47"/>
        <v>630.64560000000006</v>
      </c>
      <c r="BF38" s="386">
        <f t="shared" si="48"/>
        <v>5193.040320000001</v>
      </c>
      <c r="BG38" s="386">
        <f t="shared" si="49"/>
        <v>313.58308800000003</v>
      </c>
      <c r="BH38" s="386">
        <f t="shared" si="50"/>
        <v>213.11472000000001</v>
      </c>
      <c r="BI38" s="386">
        <f t="shared" si="51"/>
        <v>240.73264800000001</v>
      </c>
      <c r="BJ38" s="386">
        <f t="shared" si="52"/>
        <v>191.36832000000001</v>
      </c>
      <c r="BK38" s="386">
        <f t="shared" si="53"/>
        <v>0</v>
      </c>
      <c r="BL38" s="386">
        <f t="shared" si="32"/>
        <v>9479.0382959999988</v>
      </c>
      <c r="BM38" s="386">
        <f t="shared" si="33"/>
        <v>0</v>
      </c>
      <c r="BN38" s="386">
        <f t="shared" si="54"/>
        <v>11650</v>
      </c>
      <c r="BO38" s="386">
        <f t="shared" si="55"/>
        <v>0</v>
      </c>
      <c r="BP38" s="386">
        <f t="shared" si="56"/>
        <v>2696.5536000000002</v>
      </c>
      <c r="BQ38" s="386">
        <f t="shared" si="57"/>
        <v>630.64560000000006</v>
      </c>
      <c r="BR38" s="386">
        <f t="shared" si="58"/>
        <v>5193.040320000001</v>
      </c>
      <c r="BS38" s="386">
        <f t="shared" si="59"/>
        <v>313.58308800000003</v>
      </c>
      <c r="BT38" s="386">
        <f t="shared" si="60"/>
        <v>0</v>
      </c>
      <c r="BU38" s="386">
        <f t="shared" si="61"/>
        <v>240.73264800000001</v>
      </c>
      <c r="BV38" s="386">
        <f t="shared" si="62"/>
        <v>195.7176</v>
      </c>
      <c r="BW38" s="386">
        <f t="shared" si="63"/>
        <v>0</v>
      </c>
      <c r="BX38" s="386">
        <f t="shared" si="34"/>
        <v>9270.2728559999996</v>
      </c>
      <c r="BY38" s="386">
        <f t="shared" si="35"/>
        <v>0</v>
      </c>
      <c r="BZ38" s="386">
        <f t="shared" si="36"/>
        <v>0</v>
      </c>
      <c r="CA38" s="386">
        <f t="shared" si="37"/>
        <v>0</v>
      </c>
      <c r="CB38" s="386">
        <f t="shared" si="38"/>
        <v>0</v>
      </c>
      <c r="CC38" s="386">
        <f t="shared" si="64"/>
        <v>0</v>
      </c>
      <c r="CD38" s="386">
        <f t="shared" si="65"/>
        <v>0</v>
      </c>
      <c r="CE38" s="386">
        <f t="shared" si="66"/>
        <v>0</v>
      </c>
      <c r="CF38" s="386">
        <f t="shared" si="67"/>
        <v>-213.11472000000001</v>
      </c>
      <c r="CG38" s="386">
        <f t="shared" si="68"/>
        <v>0</v>
      </c>
      <c r="CH38" s="386">
        <f t="shared" si="69"/>
        <v>4.3492799999999736</v>
      </c>
      <c r="CI38" s="386">
        <f t="shared" si="70"/>
        <v>0</v>
      </c>
      <c r="CJ38" s="386">
        <f t="shared" si="39"/>
        <v>-208.76544000000004</v>
      </c>
      <c r="CK38" s="386" t="str">
        <f t="shared" si="40"/>
        <v/>
      </c>
      <c r="CL38" s="386" t="str">
        <f t="shared" si="41"/>
        <v/>
      </c>
      <c r="CM38" s="386" t="str">
        <f t="shared" si="42"/>
        <v/>
      </c>
      <c r="CN38" s="386" t="str">
        <f t="shared" si="43"/>
        <v>0001-00</v>
      </c>
    </row>
    <row r="39" spans="1:92" ht="15.75" thickBot="1" x14ac:dyDescent="0.3">
      <c r="A39" s="376" t="s">
        <v>161</v>
      </c>
      <c r="B39" s="376" t="s">
        <v>162</v>
      </c>
      <c r="C39" s="376" t="s">
        <v>390</v>
      </c>
      <c r="D39" s="376" t="s">
        <v>391</v>
      </c>
      <c r="E39" s="376" t="s">
        <v>165</v>
      </c>
      <c r="F39" s="377" t="s">
        <v>166</v>
      </c>
      <c r="G39" s="376" t="s">
        <v>167</v>
      </c>
      <c r="H39" s="378"/>
      <c r="I39" s="378"/>
      <c r="J39" s="376" t="s">
        <v>168</v>
      </c>
      <c r="K39" s="376" t="s">
        <v>392</v>
      </c>
      <c r="L39" s="376" t="s">
        <v>181</v>
      </c>
      <c r="M39" s="376" t="s">
        <v>171</v>
      </c>
      <c r="N39" s="376" t="s">
        <v>172</v>
      </c>
      <c r="O39" s="379">
        <v>1</v>
      </c>
      <c r="P39" s="384">
        <v>0</v>
      </c>
      <c r="Q39" s="384">
        <v>0</v>
      </c>
      <c r="R39" s="380">
        <v>80</v>
      </c>
      <c r="S39" s="384">
        <v>0</v>
      </c>
      <c r="T39" s="380">
        <v>5683.2</v>
      </c>
      <c r="U39" s="380">
        <v>0</v>
      </c>
      <c r="V39" s="380">
        <v>2168.44</v>
      </c>
      <c r="W39" s="380">
        <v>0</v>
      </c>
      <c r="X39" s="380">
        <v>0</v>
      </c>
      <c r="Y39" s="380">
        <v>0</v>
      </c>
      <c r="Z39" s="380">
        <v>0</v>
      </c>
      <c r="AA39" s="376" t="s">
        <v>393</v>
      </c>
      <c r="AB39" s="376" t="s">
        <v>394</v>
      </c>
      <c r="AC39" s="376" t="s">
        <v>273</v>
      </c>
      <c r="AD39" s="376" t="s">
        <v>211</v>
      </c>
      <c r="AE39" s="376" t="s">
        <v>392</v>
      </c>
      <c r="AF39" s="376" t="s">
        <v>395</v>
      </c>
      <c r="AG39" s="376" t="s">
        <v>178</v>
      </c>
      <c r="AH39" s="381">
        <v>38.44</v>
      </c>
      <c r="AI39" s="379">
        <v>30603</v>
      </c>
      <c r="AJ39" s="376" t="s">
        <v>179</v>
      </c>
      <c r="AK39" s="376" t="s">
        <v>180</v>
      </c>
      <c r="AL39" s="376" t="s">
        <v>181</v>
      </c>
      <c r="AM39" s="376" t="s">
        <v>182</v>
      </c>
      <c r="AN39" s="376" t="s">
        <v>68</v>
      </c>
      <c r="AO39" s="379">
        <v>80</v>
      </c>
      <c r="AP39" s="384">
        <v>1</v>
      </c>
      <c r="AQ39" s="384">
        <v>0</v>
      </c>
      <c r="AR39" s="382" t="s">
        <v>183</v>
      </c>
      <c r="AS39" s="386">
        <f t="shared" si="27"/>
        <v>0</v>
      </c>
      <c r="AT39">
        <f t="shared" si="28"/>
        <v>0</v>
      </c>
      <c r="AU39" s="386" t="str">
        <f>IF(AT39=0,"",IF(AND(AT39=1,M39="F",SUMIF(C2:C84,C39,AS2:AS84)&lt;=1),SUMIF(C2:C84,C39,AS2:AS84),IF(AND(AT39=1,M39="F",SUMIF(C2:C84,C39,AS2:AS84)&gt;1),1,"")))</f>
        <v/>
      </c>
      <c r="AV39" s="386" t="str">
        <f>IF(AT39=0,"",IF(AND(AT39=3,M39="F",SUMIF(C2:C84,C39,AS2:AS84)&lt;=1),SUMIF(C2:C84,C39,AS2:AS84),IF(AND(AT39=3,M39="F",SUMIF(C2:C84,C39,AS2:AS84)&gt;1),1,"")))</f>
        <v/>
      </c>
      <c r="AW39" s="386">
        <f>SUMIF(C2:C84,C39,O2:O84)</f>
        <v>2</v>
      </c>
      <c r="AX39" s="386">
        <f>IF(AND(M39="F",AS39&lt;&gt;0),SUMIF(C2:C84,C39,W2:W84),0)</f>
        <v>0</v>
      </c>
      <c r="AY39" s="386" t="str">
        <f t="shared" si="29"/>
        <v/>
      </c>
      <c r="AZ39" s="386" t="str">
        <f t="shared" si="30"/>
        <v/>
      </c>
      <c r="BA39" s="386">
        <f t="shared" si="31"/>
        <v>0</v>
      </c>
      <c r="BB39" s="386">
        <f t="shared" si="44"/>
        <v>0</v>
      </c>
      <c r="BC39" s="386">
        <f t="shared" si="45"/>
        <v>0</v>
      </c>
      <c r="BD39" s="386">
        <f t="shared" si="46"/>
        <v>0</v>
      </c>
      <c r="BE39" s="386">
        <f t="shared" si="47"/>
        <v>0</v>
      </c>
      <c r="BF39" s="386">
        <f t="shared" si="48"/>
        <v>0</v>
      </c>
      <c r="BG39" s="386">
        <f t="shared" si="49"/>
        <v>0</v>
      </c>
      <c r="BH39" s="386">
        <f t="shared" si="50"/>
        <v>0</v>
      </c>
      <c r="BI39" s="386">
        <f t="shared" si="51"/>
        <v>0</v>
      </c>
      <c r="BJ39" s="386">
        <f t="shared" si="52"/>
        <v>0</v>
      </c>
      <c r="BK39" s="386">
        <f t="shared" si="53"/>
        <v>0</v>
      </c>
      <c r="BL39" s="386">
        <f t="shared" si="32"/>
        <v>0</v>
      </c>
      <c r="BM39" s="386">
        <f t="shared" si="33"/>
        <v>0</v>
      </c>
      <c r="BN39" s="386">
        <f t="shared" si="54"/>
        <v>0</v>
      </c>
      <c r="BO39" s="386">
        <f t="shared" si="55"/>
        <v>0</v>
      </c>
      <c r="BP39" s="386">
        <f t="shared" si="56"/>
        <v>0</v>
      </c>
      <c r="BQ39" s="386">
        <f t="shared" si="57"/>
        <v>0</v>
      </c>
      <c r="BR39" s="386">
        <f t="shared" si="58"/>
        <v>0</v>
      </c>
      <c r="BS39" s="386">
        <f t="shared" si="59"/>
        <v>0</v>
      </c>
      <c r="BT39" s="386">
        <f t="shared" si="60"/>
        <v>0</v>
      </c>
      <c r="BU39" s="386">
        <f t="shared" si="61"/>
        <v>0</v>
      </c>
      <c r="BV39" s="386">
        <f t="shared" si="62"/>
        <v>0</v>
      </c>
      <c r="BW39" s="386">
        <f t="shared" si="63"/>
        <v>0</v>
      </c>
      <c r="BX39" s="386">
        <f t="shared" si="34"/>
        <v>0</v>
      </c>
      <c r="BY39" s="386">
        <f t="shared" si="35"/>
        <v>0</v>
      </c>
      <c r="BZ39" s="386">
        <f t="shared" si="36"/>
        <v>0</v>
      </c>
      <c r="CA39" s="386">
        <f t="shared" si="37"/>
        <v>0</v>
      </c>
      <c r="CB39" s="386">
        <f t="shared" si="38"/>
        <v>0</v>
      </c>
      <c r="CC39" s="386">
        <f t="shared" si="64"/>
        <v>0</v>
      </c>
      <c r="CD39" s="386">
        <f t="shared" si="65"/>
        <v>0</v>
      </c>
      <c r="CE39" s="386">
        <f t="shared" si="66"/>
        <v>0</v>
      </c>
      <c r="CF39" s="386">
        <f t="shared" si="67"/>
        <v>0</v>
      </c>
      <c r="CG39" s="386">
        <f t="shared" si="68"/>
        <v>0</v>
      </c>
      <c r="CH39" s="386">
        <f t="shared" si="69"/>
        <v>0</v>
      </c>
      <c r="CI39" s="386">
        <f t="shared" si="70"/>
        <v>0</v>
      </c>
      <c r="CJ39" s="386">
        <f t="shared" si="39"/>
        <v>0</v>
      </c>
      <c r="CK39" s="386" t="str">
        <f t="shared" si="40"/>
        <v/>
      </c>
      <c r="CL39" s="386" t="str">
        <f t="shared" si="41"/>
        <v/>
      </c>
      <c r="CM39" s="386" t="str">
        <f t="shared" si="42"/>
        <v/>
      </c>
      <c r="CN39" s="386" t="str">
        <f t="shared" si="43"/>
        <v>0001-00</v>
      </c>
    </row>
    <row r="40" spans="1:92" ht="15.75" thickBot="1" x14ac:dyDescent="0.3">
      <c r="A40" s="376" t="s">
        <v>161</v>
      </c>
      <c r="B40" s="376" t="s">
        <v>162</v>
      </c>
      <c r="C40" s="376" t="s">
        <v>396</v>
      </c>
      <c r="D40" s="376" t="s">
        <v>206</v>
      </c>
      <c r="E40" s="376" t="s">
        <v>165</v>
      </c>
      <c r="F40" s="377" t="s">
        <v>166</v>
      </c>
      <c r="G40" s="376" t="s">
        <v>167</v>
      </c>
      <c r="H40" s="378"/>
      <c r="I40" s="378"/>
      <c r="J40" s="376" t="s">
        <v>168</v>
      </c>
      <c r="K40" s="376" t="s">
        <v>207</v>
      </c>
      <c r="L40" s="376" t="s">
        <v>195</v>
      </c>
      <c r="M40" s="376" t="s">
        <v>171</v>
      </c>
      <c r="N40" s="376" t="s">
        <v>172</v>
      </c>
      <c r="O40" s="379">
        <v>1</v>
      </c>
      <c r="P40" s="384">
        <v>1</v>
      </c>
      <c r="Q40" s="384">
        <v>1</v>
      </c>
      <c r="R40" s="380">
        <v>80</v>
      </c>
      <c r="S40" s="384">
        <v>1</v>
      </c>
      <c r="T40" s="380">
        <v>39632.94</v>
      </c>
      <c r="U40" s="380">
        <v>0</v>
      </c>
      <c r="V40" s="380">
        <v>15894.01</v>
      </c>
      <c r="W40" s="380">
        <v>41225.599999999999</v>
      </c>
      <c r="X40" s="380">
        <v>20635.080000000002</v>
      </c>
      <c r="Y40" s="380">
        <v>41225.599999999999</v>
      </c>
      <c r="Z40" s="380">
        <v>20437.2</v>
      </c>
      <c r="AA40" s="376" t="s">
        <v>397</v>
      </c>
      <c r="AB40" s="376" t="s">
        <v>398</v>
      </c>
      <c r="AC40" s="376" t="s">
        <v>399</v>
      </c>
      <c r="AD40" s="376" t="s">
        <v>302</v>
      </c>
      <c r="AE40" s="376" t="s">
        <v>207</v>
      </c>
      <c r="AF40" s="376" t="s">
        <v>200</v>
      </c>
      <c r="AG40" s="376" t="s">
        <v>178</v>
      </c>
      <c r="AH40" s="381">
        <v>19.82</v>
      </c>
      <c r="AI40" s="379">
        <v>515</v>
      </c>
      <c r="AJ40" s="376" t="s">
        <v>179</v>
      </c>
      <c r="AK40" s="376" t="s">
        <v>180</v>
      </c>
      <c r="AL40" s="376" t="s">
        <v>181</v>
      </c>
      <c r="AM40" s="376" t="s">
        <v>182</v>
      </c>
      <c r="AN40" s="376" t="s">
        <v>68</v>
      </c>
      <c r="AO40" s="379">
        <v>80</v>
      </c>
      <c r="AP40" s="384">
        <v>1</v>
      </c>
      <c r="AQ40" s="384">
        <v>1</v>
      </c>
      <c r="AR40" s="382" t="s">
        <v>183</v>
      </c>
      <c r="AS40" s="386">
        <f t="shared" si="27"/>
        <v>1</v>
      </c>
      <c r="AT40">
        <f t="shared" si="28"/>
        <v>1</v>
      </c>
      <c r="AU40" s="386">
        <f>IF(AT40=0,"",IF(AND(AT40=1,M40="F",SUMIF(C2:C84,C40,AS2:AS84)&lt;=1),SUMIF(C2:C84,C40,AS2:AS84),IF(AND(AT40=1,M40="F",SUMIF(C2:C84,C40,AS2:AS84)&gt;1),1,"")))</f>
        <v>1</v>
      </c>
      <c r="AV40" s="386" t="str">
        <f>IF(AT40=0,"",IF(AND(AT40=3,M40="F",SUMIF(C2:C84,C40,AS2:AS84)&lt;=1),SUMIF(C2:C84,C40,AS2:AS84),IF(AND(AT40=3,M40="F",SUMIF(C2:C84,C40,AS2:AS84)&gt;1),1,"")))</f>
        <v/>
      </c>
      <c r="AW40" s="386">
        <f>SUMIF(C2:C84,C40,O2:O84)</f>
        <v>2</v>
      </c>
      <c r="AX40" s="386">
        <f>IF(AND(M40="F",AS40&lt;&gt;0),SUMIF(C2:C84,C40,W2:W84),0)</f>
        <v>41225.599999999999</v>
      </c>
      <c r="AY40" s="386">
        <f t="shared" si="29"/>
        <v>41225.599999999999</v>
      </c>
      <c r="AZ40" s="386" t="str">
        <f t="shared" si="30"/>
        <v/>
      </c>
      <c r="BA40" s="386">
        <f t="shared" si="31"/>
        <v>0</v>
      </c>
      <c r="BB40" s="386">
        <f t="shared" si="44"/>
        <v>11650</v>
      </c>
      <c r="BC40" s="386">
        <f t="shared" si="45"/>
        <v>0</v>
      </c>
      <c r="BD40" s="386">
        <f t="shared" si="46"/>
        <v>2555.9872</v>
      </c>
      <c r="BE40" s="386">
        <f t="shared" si="47"/>
        <v>597.77120000000002</v>
      </c>
      <c r="BF40" s="386">
        <f t="shared" si="48"/>
        <v>4922.3366400000004</v>
      </c>
      <c r="BG40" s="386">
        <f t="shared" si="49"/>
        <v>297.23657600000001</v>
      </c>
      <c r="BH40" s="386">
        <f t="shared" si="50"/>
        <v>202.00543999999999</v>
      </c>
      <c r="BI40" s="386">
        <f t="shared" si="51"/>
        <v>228.183696</v>
      </c>
      <c r="BJ40" s="386">
        <f t="shared" si="52"/>
        <v>181.39264</v>
      </c>
      <c r="BK40" s="386">
        <f t="shared" si="53"/>
        <v>0</v>
      </c>
      <c r="BL40" s="386">
        <f t="shared" si="32"/>
        <v>8984.9133920000004</v>
      </c>
      <c r="BM40" s="386">
        <f t="shared" si="33"/>
        <v>0</v>
      </c>
      <c r="BN40" s="386">
        <f t="shared" si="54"/>
        <v>11650</v>
      </c>
      <c r="BO40" s="386">
        <f t="shared" si="55"/>
        <v>0</v>
      </c>
      <c r="BP40" s="386">
        <f t="shared" si="56"/>
        <v>2555.9872</v>
      </c>
      <c r="BQ40" s="386">
        <f t="shared" si="57"/>
        <v>597.77120000000002</v>
      </c>
      <c r="BR40" s="386">
        <f t="shared" si="58"/>
        <v>4922.3366400000004</v>
      </c>
      <c r="BS40" s="386">
        <f t="shared" si="59"/>
        <v>297.23657600000001</v>
      </c>
      <c r="BT40" s="386">
        <f t="shared" si="60"/>
        <v>0</v>
      </c>
      <c r="BU40" s="386">
        <f t="shared" si="61"/>
        <v>228.183696</v>
      </c>
      <c r="BV40" s="386">
        <f t="shared" si="62"/>
        <v>185.51519999999999</v>
      </c>
      <c r="BW40" s="386">
        <f t="shared" si="63"/>
        <v>0</v>
      </c>
      <c r="BX40" s="386">
        <f t="shared" si="34"/>
        <v>8787.0305119999994</v>
      </c>
      <c r="BY40" s="386">
        <f t="shared" si="35"/>
        <v>0</v>
      </c>
      <c r="BZ40" s="386">
        <f t="shared" si="36"/>
        <v>0</v>
      </c>
      <c r="CA40" s="386">
        <f t="shared" si="37"/>
        <v>0</v>
      </c>
      <c r="CB40" s="386">
        <f t="shared" si="38"/>
        <v>0</v>
      </c>
      <c r="CC40" s="386">
        <f t="shared" si="64"/>
        <v>0</v>
      </c>
      <c r="CD40" s="386">
        <f t="shared" si="65"/>
        <v>0</v>
      </c>
      <c r="CE40" s="386">
        <f t="shared" si="66"/>
        <v>0</v>
      </c>
      <c r="CF40" s="386">
        <f t="shared" si="67"/>
        <v>-202.00543999999999</v>
      </c>
      <c r="CG40" s="386">
        <f t="shared" si="68"/>
        <v>0</v>
      </c>
      <c r="CH40" s="386">
        <f t="shared" si="69"/>
        <v>4.1225599999999751</v>
      </c>
      <c r="CI40" s="386">
        <f t="shared" si="70"/>
        <v>0</v>
      </c>
      <c r="CJ40" s="386">
        <f t="shared" si="39"/>
        <v>-197.88288000000003</v>
      </c>
      <c r="CK40" s="386" t="str">
        <f t="shared" si="40"/>
        <v/>
      </c>
      <c r="CL40" s="386" t="str">
        <f t="shared" si="41"/>
        <v/>
      </c>
      <c r="CM40" s="386" t="str">
        <f t="shared" si="42"/>
        <v/>
      </c>
      <c r="CN40" s="386" t="str">
        <f t="shared" si="43"/>
        <v>0001-00</v>
      </c>
    </row>
    <row r="41" spans="1:92" ht="15.75" thickBot="1" x14ac:dyDescent="0.3">
      <c r="A41" s="376" t="s">
        <v>161</v>
      </c>
      <c r="B41" s="376" t="s">
        <v>162</v>
      </c>
      <c r="C41" s="376" t="s">
        <v>400</v>
      </c>
      <c r="D41" s="376" t="s">
        <v>401</v>
      </c>
      <c r="E41" s="376" t="s">
        <v>165</v>
      </c>
      <c r="F41" s="377" t="s">
        <v>166</v>
      </c>
      <c r="G41" s="376" t="s">
        <v>167</v>
      </c>
      <c r="H41" s="378"/>
      <c r="I41" s="378"/>
      <c r="J41" s="376" t="s">
        <v>168</v>
      </c>
      <c r="K41" s="376" t="s">
        <v>402</v>
      </c>
      <c r="L41" s="376" t="s">
        <v>176</v>
      </c>
      <c r="M41" s="376" t="s">
        <v>171</v>
      </c>
      <c r="N41" s="376" t="s">
        <v>172</v>
      </c>
      <c r="O41" s="379">
        <v>1</v>
      </c>
      <c r="P41" s="384">
        <v>0</v>
      </c>
      <c r="Q41" s="384">
        <v>0</v>
      </c>
      <c r="R41" s="380">
        <v>80</v>
      </c>
      <c r="S41" s="384">
        <v>0</v>
      </c>
      <c r="T41" s="380">
        <v>6876.8</v>
      </c>
      <c r="U41" s="380">
        <v>0</v>
      </c>
      <c r="V41" s="380">
        <v>2419.46</v>
      </c>
      <c r="W41" s="380">
        <v>0</v>
      </c>
      <c r="X41" s="380">
        <v>0</v>
      </c>
      <c r="Y41" s="380">
        <v>0</v>
      </c>
      <c r="Z41" s="380">
        <v>0</v>
      </c>
      <c r="AA41" s="376" t="s">
        <v>403</v>
      </c>
      <c r="AB41" s="376" t="s">
        <v>404</v>
      </c>
      <c r="AC41" s="376" t="s">
        <v>405</v>
      </c>
      <c r="AD41" s="376" t="s">
        <v>389</v>
      </c>
      <c r="AE41" s="376" t="s">
        <v>402</v>
      </c>
      <c r="AF41" s="376" t="s">
        <v>355</v>
      </c>
      <c r="AG41" s="376" t="s">
        <v>178</v>
      </c>
      <c r="AH41" s="381">
        <v>45.16</v>
      </c>
      <c r="AI41" s="381">
        <v>64810.5</v>
      </c>
      <c r="AJ41" s="376" t="s">
        <v>179</v>
      </c>
      <c r="AK41" s="376" t="s">
        <v>180</v>
      </c>
      <c r="AL41" s="376" t="s">
        <v>181</v>
      </c>
      <c r="AM41" s="376" t="s">
        <v>182</v>
      </c>
      <c r="AN41" s="376" t="s">
        <v>68</v>
      </c>
      <c r="AO41" s="379">
        <v>80</v>
      </c>
      <c r="AP41" s="384">
        <v>1</v>
      </c>
      <c r="AQ41" s="384">
        <v>0</v>
      </c>
      <c r="AR41" s="382" t="s">
        <v>183</v>
      </c>
      <c r="AS41" s="386">
        <f t="shared" si="27"/>
        <v>0</v>
      </c>
      <c r="AT41">
        <f t="shared" si="28"/>
        <v>0</v>
      </c>
      <c r="AU41" s="386" t="str">
        <f>IF(AT41=0,"",IF(AND(AT41=1,M41="F",SUMIF(C2:C84,C41,AS2:AS84)&lt;=1),SUMIF(C2:C84,C41,AS2:AS84),IF(AND(AT41=1,M41="F",SUMIF(C2:C84,C41,AS2:AS84)&gt;1),1,"")))</f>
        <v/>
      </c>
      <c r="AV41" s="386" t="str">
        <f>IF(AT41=0,"",IF(AND(AT41=3,M41="F",SUMIF(C2:C84,C41,AS2:AS84)&lt;=1),SUMIF(C2:C84,C41,AS2:AS84),IF(AND(AT41=3,M41="F",SUMIF(C2:C84,C41,AS2:AS84)&gt;1),1,"")))</f>
        <v/>
      </c>
      <c r="AW41" s="386">
        <f>SUMIF(C2:C84,C41,O2:O84)</f>
        <v>2</v>
      </c>
      <c r="AX41" s="386">
        <f>IF(AND(M41="F",AS41&lt;&gt;0),SUMIF(C2:C84,C41,W2:W84),0)</f>
        <v>0</v>
      </c>
      <c r="AY41" s="386" t="str">
        <f t="shared" si="29"/>
        <v/>
      </c>
      <c r="AZ41" s="386" t="str">
        <f t="shared" si="30"/>
        <v/>
      </c>
      <c r="BA41" s="386">
        <f t="shared" si="31"/>
        <v>0</v>
      </c>
      <c r="BB41" s="386">
        <f t="shared" si="44"/>
        <v>0</v>
      </c>
      <c r="BC41" s="386">
        <f t="shared" si="45"/>
        <v>0</v>
      </c>
      <c r="BD41" s="386">
        <f t="shared" si="46"/>
        <v>0</v>
      </c>
      <c r="BE41" s="386">
        <f t="shared" si="47"/>
        <v>0</v>
      </c>
      <c r="BF41" s="386">
        <f t="shared" si="48"/>
        <v>0</v>
      </c>
      <c r="BG41" s="386">
        <f t="shared" si="49"/>
        <v>0</v>
      </c>
      <c r="BH41" s="386">
        <f t="shared" si="50"/>
        <v>0</v>
      </c>
      <c r="BI41" s="386">
        <f t="shared" si="51"/>
        <v>0</v>
      </c>
      <c r="BJ41" s="386">
        <f t="shared" si="52"/>
        <v>0</v>
      </c>
      <c r="BK41" s="386">
        <f t="shared" si="53"/>
        <v>0</v>
      </c>
      <c r="BL41" s="386">
        <f t="shared" si="32"/>
        <v>0</v>
      </c>
      <c r="BM41" s="386">
        <f t="shared" si="33"/>
        <v>0</v>
      </c>
      <c r="BN41" s="386">
        <f t="shared" si="54"/>
        <v>0</v>
      </c>
      <c r="BO41" s="386">
        <f t="shared" si="55"/>
        <v>0</v>
      </c>
      <c r="BP41" s="386">
        <f t="shared" si="56"/>
        <v>0</v>
      </c>
      <c r="BQ41" s="386">
        <f t="shared" si="57"/>
        <v>0</v>
      </c>
      <c r="BR41" s="386">
        <f t="shared" si="58"/>
        <v>0</v>
      </c>
      <c r="BS41" s="386">
        <f t="shared" si="59"/>
        <v>0</v>
      </c>
      <c r="BT41" s="386">
        <f t="shared" si="60"/>
        <v>0</v>
      </c>
      <c r="BU41" s="386">
        <f t="shared" si="61"/>
        <v>0</v>
      </c>
      <c r="BV41" s="386">
        <f t="shared" si="62"/>
        <v>0</v>
      </c>
      <c r="BW41" s="386">
        <f t="shared" si="63"/>
        <v>0</v>
      </c>
      <c r="BX41" s="386">
        <f t="shared" si="34"/>
        <v>0</v>
      </c>
      <c r="BY41" s="386">
        <f t="shared" si="35"/>
        <v>0</v>
      </c>
      <c r="BZ41" s="386">
        <f t="shared" si="36"/>
        <v>0</v>
      </c>
      <c r="CA41" s="386">
        <f t="shared" si="37"/>
        <v>0</v>
      </c>
      <c r="CB41" s="386">
        <f t="shared" si="38"/>
        <v>0</v>
      </c>
      <c r="CC41" s="386">
        <f t="shared" si="64"/>
        <v>0</v>
      </c>
      <c r="CD41" s="386">
        <f t="shared" si="65"/>
        <v>0</v>
      </c>
      <c r="CE41" s="386">
        <f t="shared" si="66"/>
        <v>0</v>
      </c>
      <c r="CF41" s="386">
        <f t="shared" si="67"/>
        <v>0</v>
      </c>
      <c r="CG41" s="386">
        <f t="shared" si="68"/>
        <v>0</v>
      </c>
      <c r="CH41" s="386">
        <f t="shared" si="69"/>
        <v>0</v>
      </c>
      <c r="CI41" s="386">
        <f t="shared" si="70"/>
        <v>0</v>
      </c>
      <c r="CJ41" s="386">
        <f t="shared" si="39"/>
        <v>0</v>
      </c>
      <c r="CK41" s="386" t="str">
        <f t="shared" si="40"/>
        <v/>
      </c>
      <c r="CL41" s="386" t="str">
        <f t="shared" si="41"/>
        <v/>
      </c>
      <c r="CM41" s="386" t="str">
        <f t="shared" si="42"/>
        <v/>
      </c>
      <c r="CN41" s="386" t="str">
        <f t="shared" si="43"/>
        <v>0001-00</v>
      </c>
    </row>
    <row r="42" spans="1:92" ht="15.75" thickBot="1" x14ac:dyDescent="0.3">
      <c r="A42" s="376" t="s">
        <v>161</v>
      </c>
      <c r="B42" s="376" t="s">
        <v>162</v>
      </c>
      <c r="C42" s="376" t="s">
        <v>406</v>
      </c>
      <c r="D42" s="376" t="s">
        <v>379</v>
      </c>
      <c r="E42" s="376" t="s">
        <v>165</v>
      </c>
      <c r="F42" s="377" t="s">
        <v>166</v>
      </c>
      <c r="G42" s="376" t="s">
        <v>167</v>
      </c>
      <c r="H42" s="378"/>
      <c r="I42" s="378"/>
      <c r="J42" s="376" t="s">
        <v>168</v>
      </c>
      <c r="K42" s="376" t="s">
        <v>407</v>
      </c>
      <c r="L42" s="376" t="s">
        <v>187</v>
      </c>
      <c r="M42" s="376" t="s">
        <v>171</v>
      </c>
      <c r="N42" s="376" t="s">
        <v>172</v>
      </c>
      <c r="O42" s="379">
        <v>1</v>
      </c>
      <c r="P42" s="384">
        <v>0</v>
      </c>
      <c r="Q42" s="384">
        <v>0</v>
      </c>
      <c r="R42" s="380">
        <v>80</v>
      </c>
      <c r="S42" s="384">
        <v>0</v>
      </c>
      <c r="T42" s="380">
        <v>3374.4</v>
      </c>
      <c r="U42" s="380">
        <v>0</v>
      </c>
      <c r="V42" s="380">
        <v>1668.91</v>
      </c>
      <c r="W42" s="380">
        <v>0</v>
      </c>
      <c r="X42" s="380">
        <v>0</v>
      </c>
      <c r="Y42" s="380">
        <v>0</v>
      </c>
      <c r="Z42" s="380">
        <v>0</v>
      </c>
      <c r="AA42" s="376" t="s">
        <v>408</v>
      </c>
      <c r="AB42" s="376" t="s">
        <v>409</v>
      </c>
      <c r="AC42" s="376" t="s">
        <v>410</v>
      </c>
      <c r="AD42" s="376" t="s">
        <v>199</v>
      </c>
      <c r="AE42" s="376" t="s">
        <v>407</v>
      </c>
      <c r="AF42" s="376" t="s">
        <v>192</v>
      </c>
      <c r="AG42" s="376" t="s">
        <v>178</v>
      </c>
      <c r="AH42" s="381">
        <v>22.04</v>
      </c>
      <c r="AI42" s="381">
        <v>55658.5</v>
      </c>
      <c r="AJ42" s="376" t="s">
        <v>179</v>
      </c>
      <c r="AK42" s="376" t="s">
        <v>180</v>
      </c>
      <c r="AL42" s="376" t="s">
        <v>181</v>
      </c>
      <c r="AM42" s="376" t="s">
        <v>182</v>
      </c>
      <c r="AN42" s="376" t="s">
        <v>68</v>
      </c>
      <c r="AO42" s="379">
        <v>80</v>
      </c>
      <c r="AP42" s="384">
        <v>1</v>
      </c>
      <c r="AQ42" s="384">
        <v>0</v>
      </c>
      <c r="AR42" s="382" t="s">
        <v>183</v>
      </c>
      <c r="AS42" s="386">
        <f t="shared" si="27"/>
        <v>0</v>
      </c>
      <c r="AT42">
        <f t="shared" si="28"/>
        <v>0</v>
      </c>
      <c r="AU42" s="386" t="str">
        <f>IF(AT42=0,"",IF(AND(AT42=1,M42="F",SUMIF(C2:C84,C42,AS2:AS84)&lt;=1),SUMIF(C2:C84,C42,AS2:AS84),IF(AND(AT42=1,M42="F",SUMIF(C2:C84,C42,AS2:AS84)&gt;1),1,"")))</f>
        <v/>
      </c>
      <c r="AV42" s="386" t="str">
        <f>IF(AT42=0,"",IF(AND(AT42=3,M42="F",SUMIF(C2:C84,C42,AS2:AS84)&lt;=1),SUMIF(C2:C84,C42,AS2:AS84),IF(AND(AT42=3,M42="F",SUMIF(C2:C84,C42,AS2:AS84)&gt;1),1,"")))</f>
        <v/>
      </c>
      <c r="AW42" s="386">
        <f>SUMIF(C2:C84,C42,O2:O84)</f>
        <v>2</v>
      </c>
      <c r="AX42" s="386">
        <f>IF(AND(M42="F",AS42&lt;&gt;0),SUMIF(C2:C84,C42,W2:W84),0)</f>
        <v>0</v>
      </c>
      <c r="AY42" s="386" t="str">
        <f t="shared" si="29"/>
        <v/>
      </c>
      <c r="AZ42" s="386" t="str">
        <f t="shared" si="30"/>
        <v/>
      </c>
      <c r="BA42" s="386">
        <f t="shared" si="31"/>
        <v>0</v>
      </c>
      <c r="BB42" s="386">
        <f t="shared" si="44"/>
        <v>0</v>
      </c>
      <c r="BC42" s="386">
        <f t="shared" si="45"/>
        <v>0</v>
      </c>
      <c r="BD42" s="386">
        <f t="shared" si="46"/>
        <v>0</v>
      </c>
      <c r="BE42" s="386">
        <f t="shared" si="47"/>
        <v>0</v>
      </c>
      <c r="BF42" s="386">
        <f t="shared" si="48"/>
        <v>0</v>
      </c>
      <c r="BG42" s="386">
        <f t="shared" si="49"/>
        <v>0</v>
      </c>
      <c r="BH42" s="386">
        <f t="shared" si="50"/>
        <v>0</v>
      </c>
      <c r="BI42" s="386">
        <f t="shared" si="51"/>
        <v>0</v>
      </c>
      <c r="BJ42" s="386">
        <f t="shared" si="52"/>
        <v>0</v>
      </c>
      <c r="BK42" s="386">
        <f t="shared" si="53"/>
        <v>0</v>
      </c>
      <c r="BL42" s="386">
        <f t="shared" si="32"/>
        <v>0</v>
      </c>
      <c r="BM42" s="386">
        <f t="shared" si="33"/>
        <v>0</v>
      </c>
      <c r="BN42" s="386">
        <f t="shared" si="54"/>
        <v>0</v>
      </c>
      <c r="BO42" s="386">
        <f t="shared" si="55"/>
        <v>0</v>
      </c>
      <c r="BP42" s="386">
        <f t="shared" si="56"/>
        <v>0</v>
      </c>
      <c r="BQ42" s="386">
        <f t="shared" si="57"/>
        <v>0</v>
      </c>
      <c r="BR42" s="386">
        <f t="shared" si="58"/>
        <v>0</v>
      </c>
      <c r="BS42" s="386">
        <f t="shared" si="59"/>
        <v>0</v>
      </c>
      <c r="BT42" s="386">
        <f t="shared" si="60"/>
        <v>0</v>
      </c>
      <c r="BU42" s="386">
        <f t="shared" si="61"/>
        <v>0</v>
      </c>
      <c r="BV42" s="386">
        <f t="shared" si="62"/>
        <v>0</v>
      </c>
      <c r="BW42" s="386">
        <f t="shared" si="63"/>
        <v>0</v>
      </c>
      <c r="BX42" s="386">
        <f t="shared" si="34"/>
        <v>0</v>
      </c>
      <c r="BY42" s="386">
        <f t="shared" si="35"/>
        <v>0</v>
      </c>
      <c r="BZ42" s="386">
        <f t="shared" si="36"/>
        <v>0</v>
      </c>
      <c r="CA42" s="386">
        <f t="shared" si="37"/>
        <v>0</v>
      </c>
      <c r="CB42" s="386">
        <f t="shared" si="38"/>
        <v>0</v>
      </c>
      <c r="CC42" s="386">
        <f t="shared" si="64"/>
        <v>0</v>
      </c>
      <c r="CD42" s="386">
        <f t="shared" si="65"/>
        <v>0</v>
      </c>
      <c r="CE42" s="386">
        <f t="shared" si="66"/>
        <v>0</v>
      </c>
      <c r="CF42" s="386">
        <f t="shared" si="67"/>
        <v>0</v>
      </c>
      <c r="CG42" s="386">
        <f t="shared" si="68"/>
        <v>0</v>
      </c>
      <c r="CH42" s="386">
        <f t="shared" si="69"/>
        <v>0</v>
      </c>
      <c r="CI42" s="386">
        <f t="shared" si="70"/>
        <v>0</v>
      </c>
      <c r="CJ42" s="386">
        <f t="shared" si="39"/>
        <v>0</v>
      </c>
      <c r="CK42" s="386" t="str">
        <f t="shared" si="40"/>
        <v/>
      </c>
      <c r="CL42" s="386" t="str">
        <f t="shared" si="41"/>
        <v/>
      </c>
      <c r="CM42" s="386" t="str">
        <f t="shared" si="42"/>
        <v/>
      </c>
      <c r="CN42" s="386" t="str">
        <f t="shared" si="43"/>
        <v>0001-00</v>
      </c>
    </row>
    <row r="43" spans="1:92" ht="15.75" thickBot="1" x14ac:dyDescent="0.3">
      <c r="A43" s="376" t="s">
        <v>161</v>
      </c>
      <c r="B43" s="376" t="s">
        <v>162</v>
      </c>
      <c r="C43" s="376" t="s">
        <v>165</v>
      </c>
      <c r="D43" s="376" t="s">
        <v>411</v>
      </c>
      <c r="E43" s="376" t="s">
        <v>165</v>
      </c>
      <c r="F43" s="377" t="s">
        <v>166</v>
      </c>
      <c r="G43" s="376" t="s">
        <v>167</v>
      </c>
      <c r="H43" s="378"/>
      <c r="I43" s="378"/>
      <c r="J43" s="376" t="s">
        <v>168</v>
      </c>
      <c r="K43" s="376" t="s">
        <v>412</v>
      </c>
      <c r="L43" s="376" t="s">
        <v>166</v>
      </c>
      <c r="M43" s="376" t="s">
        <v>171</v>
      </c>
      <c r="N43" s="376" t="s">
        <v>413</v>
      </c>
      <c r="O43" s="379">
        <v>1</v>
      </c>
      <c r="P43" s="384">
        <v>0</v>
      </c>
      <c r="Q43" s="384">
        <v>0</v>
      </c>
      <c r="R43" s="380">
        <v>80</v>
      </c>
      <c r="S43" s="384">
        <v>0</v>
      </c>
      <c r="T43" s="380">
        <v>42134.400000000001</v>
      </c>
      <c r="U43" s="380">
        <v>0</v>
      </c>
      <c r="V43" s="380">
        <v>2518.6</v>
      </c>
      <c r="W43" s="380">
        <v>0</v>
      </c>
      <c r="X43" s="380">
        <v>0</v>
      </c>
      <c r="Y43" s="380">
        <v>0</v>
      </c>
      <c r="Z43" s="380">
        <v>0</v>
      </c>
      <c r="AA43" s="376" t="s">
        <v>414</v>
      </c>
      <c r="AB43" s="376" t="s">
        <v>415</v>
      </c>
      <c r="AC43" s="376" t="s">
        <v>282</v>
      </c>
      <c r="AD43" s="376" t="s">
        <v>354</v>
      </c>
      <c r="AE43" s="376" t="s">
        <v>412</v>
      </c>
      <c r="AF43" s="376" t="s">
        <v>416</v>
      </c>
      <c r="AG43" s="376" t="s">
        <v>178</v>
      </c>
      <c r="AH43" s="381">
        <v>50.39</v>
      </c>
      <c r="AI43" s="381">
        <v>21866.400000000001</v>
      </c>
      <c r="AJ43" s="376" t="s">
        <v>179</v>
      </c>
      <c r="AK43" s="376" t="s">
        <v>180</v>
      </c>
      <c r="AL43" s="376" t="s">
        <v>181</v>
      </c>
      <c r="AM43" s="376" t="s">
        <v>181</v>
      </c>
      <c r="AN43" s="376" t="s">
        <v>68</v>
      </c>
      <c r="AO43" s="379">
        <v>80</v>
      </c>
      <c r="AP43" s="384">
        <v>1</v>
      </c>
      <c r="AQ43" s="384">
        <v>0</v>
      </c>
      <c r="AR43" s="382" t="s">
        <v>183</v>
      </c>
      <c r="AS43" s="386">
        <f t="shared" si="27"/>
        <v>0</v>
      </c>
      <c r="AT43">
        <f t="shared" si="28"/>
        <v>0</v>
      </c>
      <c r="AU43" s="386" t="str">
        <f>IF(AT43=0,"",IF(AND(AT43=1,M43="F",SUMIF(C2:C84,C43,AS2:AS84)&lt;=1),SUMIF(C2:C84,C43,AS2:AS84),IF(AND(AT43=1,M43="F",SUMIF(C2:C84,C43,AS2:AS84)&gt;1),1,"")))</f>
        <v/>
      </c>
      <c r="AV43" s="386" t="str">
        <f>IF(AT43=0,"",IF(AND(AT43=3,M43="F",SUMIF(C2:C84,C43,AS2:AS84)&lt;=1),SUMIF(C2:C84,C43,AS2:AS84),IF(AND(AT43=3,M43="F",SUMIF(C2:C84,C43,AS2:AS84)&gt;1),1,"")))</f>
        <v/>
      </c>
      <c r="AW43" s="386">
        <f>SUMIF(C2:C84,C43,O2:O84)</f>
        <v>2</v>
      </c>
      <c r="AX43" s="386">
        <f>IF(AND(M43="F",AS43&lt;&gt;0),SUMIF(C2:C84,C43,W2:W84),0)</f>
        <v>0</v>
      </c>
      <c r="AY43" s="386" t="str">
        <f t="shared" si="29"/>
        <v/>
      </c>
      <c r="AZ43" s="386" t="str">
        <f t="shared" si="30"/>
        <v/>
      </c>
      <c r="BA43" s="386">
        <f t="shared" si="31"/>
        <v>0</v>
      </c>
      <c r="BB43" s="386">
        <f t="shared" si="44"/>
        <v>0</v>
      </c>
      <c r="BC43" s="386">
        <f t="shared" si="45"/>
        <v>0</v>
      </c>
      <c r="BD43" s="386">
        <f t="shared" si="46"/>
        <v>0</v>
      </c>
      <c r="BE43" s="386">
        <f t="shared" si="47"/>
        <v>0</v>
      </c>
      <c r="BF43" s="386">
        <f t="shared" si="48"/>
        <v>0</v>
      </c>
      <c r="BG43" s="386">
        <f t="shared" si="49"/>
        <v>0</v>
      </c>
      <c r="BH43" s="386">
        <f t="shared" si="50"/>
        <v>0</v>
      </c>
      <c r="BI43" s="386">
        <f t="shared" si="51"/>
        <v>0</v>
      </c>
      <c r="BJ43" s="386">
        <f t="shared" si="52"/>
        <v>0</v>
      </c>
      <c r="BK43" s="386">
        <f t="shared" si="53"/>
        <v>0</v>
      </c>
      <c r="BL43" s="386">
        <f t="shared" si="32"/>
        <v>0</v>
      </c>
      <c r="BM43" s="386">
        <f t="shared" si="33"/>
        <v>0</v>
      </c>
      <c r="BN43" s="386">
        <f t="shared" si="54"/>
        <v>0</v>
      </c>
      <c r="BO43" s="386">
        <f t="shared" si="55"/>
        <v>0</v>
      </c>
      <c r="BP43" s="386">
        <f t="shared" si="56"/>
        <v>0</v>
      </c>
      <c r="BQ43" s="386">
        <f t="shared" si="57"/>
        <v>0</v>
      </c>
      <c r="BR43" s="386">
        <f t="shared" si="58"/>
        <v>0</v>
      </c>
      <c r="BS43" s="386">
        <f t="shared" si="59"/>
        <v>0</v>
      </c>
      <c r="BT43" s="386">
        <f t="shared" si="60"/>
        <v>0</v>
      </c>
      <c r="BU43" s="386">
        <f t="shared" si="61"/>
        <v>0</v>
      </c>
      <c r="BV43" s="386">
        <f t="shared" si="62"/>
        <v>0</v>
      </c>
      <c r="BW43" s="386">
        <f t="shared" si="63"/>
        <v>0</v>
      </c>
      <c r="BX43" s="386">
        <f t="shared" si="34"/>
        <v>0</v>
      </c>
      <c r="BY43" s="386">
        <f t="shared" si="35"/>
        <v>0</v>
      </c>
      <c r="BZ43" s="386">
        <f t="shared" si="36"/>
        <v>0</v>
      </c>
      <c r="CA43" s="386">
        <f t="shared" si="37"/>
        <v>0</v>
      </c>
      <c r="CB43" s="386">
        <f t="shared" si="38"/>
        <v>0</v>
      </c>
      <c r="CC43" s="386">
        <f t="shared" si="64"/>
        <v>0</v>
      </c>
      <c r="CD43" s="386">
        <f t="shared" si="65"/>
        <v>0</v>
      </c>
      <c r="CE43" s="386">
        <f t="shared" si="66"/>
        <v>0</v>
      </c>
      <c r="CF43" s="386">
        <f t="shared" si="67"/>
        <v>0</v>
      </c>
      <c r="CG43" s="386">
        <f t="shared" si="68"/>
        <v>0</v>
      </c>
      <c r="CH43" s="386">
        <f t="shared" si="69"/>
        <v>0</v>
      </c>
      <c r="CI43" s="386">
        <f t="shared" si="70"/>
        <v>0</v>
      </c>
      <c r="CJ43" s="386">
        <f t="shared" si="39"/>
        <v>0</v>
      </c>
      <c r="CK43" s="386" t="str">
        <f t="shared" si="40"/>
        <v/>
      </c>
      <c r="CL43" s="386" t="str">
        <f t="shared" si="41"/>
        <v/>
      </c>
      <c r="CM43" s="386" t="str">
        <f t="shared" si="42"/>
        <v/>
      </c>
      <c r="CN43" s="386" t="str">
        <f t="shared" si="43"/>
        <v>0001-00</v>
      </c>
    </row>
    <row r="44" spans="1:92" ht="15.75" thickBot="1" x14ac:dyDescent="0.3">
      <c r="A44" s="376" t="s">
        <v>161</v>
      </c>
      <c r="B44" s="376" t="s">
        <v>162</v>
      </c>
      <c r="C44" s="376" t="s">
        <v>236</v>
      </c>
      <c r="D44" s="376" t="s">
        <v>206</v>
      </c>
      <c r="E44" s="376" t="s">
        <v>417</v>
      </c>
      <c r="F44" s="377" t="s">
        <v>166</v>
      </c>
      <c r="G44" s="376" t="s">
        <v>167</v>
      </c>
      <c r="H44" s="378"/>
      <c r="I44" s="378"/>
      <c r="J44" s="376" t="s">
        <v>168</v>
      </c>
      <c r="K44" s="376" t="s">
        <v>207</v>
      </c>
      <c r="L44" s="376" t="s">
        <v>195</v>
      </c>
      <c r="M44" s="376" t="s">
        <v>171</v>
      </c>
      <c r="N44" s="376" t="s">
        <v>172</v>
      </c>
      <c r="O44" s="379">
        <v>1</v>
      </c>
      <c r="P44" s="384">
        <v>0</v>
      </c>
      <c r="Q44" s="384">
        <v>0</v>
      </c>
      <c r="R44" s="380">
        <v>80</v>
      </c>
      <c r="S44" s="384">
        <v>0</v>
      </c>
      <c r="T44" s="380">
        <v>10224.959999999999</v>
      </c>
      <c r="U44" s="380">
        <v>0</v>
      </c>
      <c r="V44" s="380">
        <v>4245.38</v>
      </c>
      <c r="W44" s="380">
        <v>0</v>
      </c>
      <c r="X44" s="380">
        <v>0</v>
      </c>
      <c r="Y44" s="380">
        <v>0</v>
      </c>
      <c r="Z44" s="380">
        <v>0</v>
      </c>
      <c r="AA44" s="376" t="s">
        <v>237</v>
      </c>
      <c r="AB44" s="376" t="s">
        <v>238</v>
      </c>
      <c r="AC44" s="376" t="s">
        <v>239</v>
      </c>
      <c r="AD44" s="376" t="s">
        <v>180</v>
      </c>
      <c r="AE44" s="376" t="s">
        <v>207</v>
      </c>
      <c r="AF44" s="376" t="s">
        <v>200</v>
      </c>
      <c r="AG44" s="376" t="s">
        <v>178</v>
      </c>
      <c r="AH44" s="381">
        <v>24.4</v>
      </c>
      <c r="AI44" s="381">
        <v>29098.400000000001</v>
      </c>
      <c r="AJ44" s="376" t="s">
        <v>179</v>
      </c>
      <c r="AK44" s="376" t="s">
        <v>180</v>
      </c>
      <c r="AL44" s="376" t="s">
        <v>181</v>
      </c>
      <c r="AM44" s="376" t="s">
        <v>182</v>
      </c>
      <c r="AN44" s="376" t="s">
        <v>68</v>
      </c>
      <c r="AO44" s="379">
        <v>80</v>
      </c>
      <c r="AP44" s="384">
        <v>1</v>
      </c>
      <c r="AQ44" s="384">
        <v>0</v>
      </c>
      <c r="AR44" s="382" t="s">
        <v>183</v>
      </c>
      <c r="AS44" s="386">
        <f t="shared" si="27"/>
        <v>0</v>
      </c>
      <c r="AT44">
        <f t="shared" si="28"/>
        <v>0</v>
      </c>
      <c r="AU44" s="386" t="str">
        <f>IF(AT44=0,"",IF(AND(AT44=1,M44="F",SUMIF(C2:C84,C44,AS2:AS84)&lt;=1),SUMIF(C2:C84,C44,AS2:AS84),IF(AND(AT44=1,M44="F",SUMIF(C2:C84,C44,AS2:AS84)&gt;1),1,"")))</f>
        <v/>
      </c>
      <c r="AV44" s="386" t="str">
        <f>IF(AT44=0,"",IF(AND(AT44=3,M44="F",SUMIF(C2:C84,C44,AS2:AS84)&lt;=1),SUMIF(C2:C84,C44,AS2:AS84),IF(AND(AT44=3,M44="F",SUMIF(C2:C84,C44,AS2:AS84)&gt;1),1,"")))</f>
        <v/>
      </c>
      <c r="AW44" s="386">
        <f>SUMIF(C2:C84,C44,O2:O84)</f>
        <v>2</v>
      </c>
      <c r="AX44" s="386">
        <f>IF(AND(M44="F",AS44&lt;&gt;0),SUMIF(C2:C84,C44,W2:W84),0)</f>
        <v>0</v>
      </c>
      <c r="AY44" s="386" t="str">
        <f t="shared" si="29"/>
        <v/>
      </c>
      <c r="AZ44" s="386" t="str">
        <f t="shared" si="30"/>
        <v/>
      </c>
      <c r="BA44" s="386">
        <f t="shared" si="31"/>
        <v>0</v>
      </c>
      <c r="BB44" s="386">
        <f t="shared" si="44"/>
        <v>0</v>
      </c>
      <c r="BC44" s="386">
        <f t="shared" si="45"/>
        <v>0</v>
      </c>
      <c r="BD44" s="386">
        <f t="shared" si="46"/>
        <v>0</v>
      </c>
      <c r="BE44" s="386">
        <f t="shared" si="47"/>
        <v>0</v>
      </c>
      <c r="BF44" s="386">
        <f t="shared" si="48"/>
        <v>0</v>
      </c>
      <c r="BG44" s="386">
        <f t="shared" si="49"/>
        <v>0</v>
      </c>
      <c r="BH44" s="386">
        <f t="shared" si="50"/>
        <v>0</v>
      </c>
      <c r="BI44" s="386">
        <f t="shared" si="51"/>
        <v>0</v>
      </c>
      <c r="BJ44" s="386">
        <f t="shared" si="52"/>
        <v>0</v>
      </c>
      <c r="BK44" s="386">
        <f t="shared" si="53"/>
        <v>0</v>
      </c>
      <c r="BL44" s="386">
        <f t="shared" si="32"/>
        <v>0</v>
      </c>
      <c r="BM44" s="386">
        <f t="shared" si="33"/>
        <v>0</v>
      </c>
      <c r="BN44" s="386">
        <f t="shared" si="54"/>
        <v>0</v>
      </c>
      <c r="BO44" s="386">
        <f t="shared" si="55"/>
        <v>0</v>
      </c>
      <c r="BP44" s="386">
        <f t="shared" si="56"/>
        <v>0</v>
      </c>
      <c r="BQ44" s="386">
        <f t="shared" si="57"/>
        <v>0</v>
      </c>
      <c r="BR44" s="386">
        <f t="shared" si="58"/>
        <v>0</v>
      </c>
      <c r="BS44" s="386">
        <f t="shared" si="59"/>
        <v>0</v>
      </c>
      <c r="BT44" s="386">
        <f t="shared" si="60"/>
        <v>0</v>
      </c>
      <c r="BU44" s="386">
        <f t="shared" si="61"/>
        <v>0</v>
      </c>
      <c r="BV44" s="386">
        <f t="shared" si="62"/>
        <v>0</v>
      </c>
      <c r="BW44" s="386">
        <f t="shared" si="63"/>
        <v>0</v>
      </c>
      <c r="BX44" s="386">
        <f t="shared" si="34"/>
        <v>0</v>
      </c>
      <c r="BY44" s="386">
        <f t="shared" si="35"/>
        <v>0</v>
      </c>
      <c r="BZ44" s="386">
        <f t="shared" si="36"/>
        <v>0</v>
      </c>
      <c r="CA44" s="386">
        <f t="shared" si="37"/>
        <v>0</v>
      </c>
      <c r="CB44" s="386">
        <f t="shared" si="38"/>
        <v>0</v>
      </c>
      <c r="CC44" s="386">
        <f t="shared" si="64"/>
        <v>0</v>
      </c>
      <c r="CD44" s="386">
        <f t="shared" si="65"/>
        <v>0</v>
      </c>
      <c r="CE44" s="386">
        <f t="shared" si="66"/>
        <v>0</v>
      </c>
      <c r="CF44" s="386">
        <f t="shared" si="67"/>
        <v>0</v>
      </c>
      <c r="CG44" s="386">
        <f t="shared" si="68"/>
        <v>0</v>
      </c>
      <c r="CH44" s="386">
        <f t="shared" si="69"/>
        <v>0</v>
      </c>
      <c r="CI44" s="386">
        <f t="shared" si="70"/>
        <v>0</v>
      </c>
      <c r="CJ44" s="386">
        <f t="shared" si="39"/>
        <v>0</v>
      </c>
      <c r="CK44" s="386" t="str">
        <f t="shared" si="40"/>
        <v/>
      </c>
      <c r="CL44" s="386" t="str">
        <f t="shared" si="41"/>
        <v/>
      </c>
      <c r="CM44" s="386" t="str">
        <f t="shared" si="42"/>
        <v/>
      </c>
      <c r="CN44" s="386" t="str">
        <f t="shared" si="43"/>
        <v>0348-00</v>
      </c>
    </row>
    <row r="45" spans="1:92" ht="15.75" thickBot="1" x14ac:dyDescent="0.3">
      <c r="A45" s="376" t="s">
        <v>161</v>
      </c>
      <c r="B45" s="376" t="s">
        <v>162</v>
      </c>
      <c r="C45" s="376" t="s">
        <v>240</v>
      </c>
      <c r="D45" s="376" t="s">
        <v>206</v>
      </c>
      <c r="E45" s="376" t="s">
        <v>417</v>
      </c>
      <c r="F45" s="377" t="s">
        <v>166</v>
      </c>
      <c r="G45" s="376" t="s">
        <v>167</v>
      </c>
      <c r="H45" s="378"/>
      <c r="I45" s="378"/>
      <c r="J45" s="376" t="s">
        <v>168</v>
      </c>
      <c r="K45" s="376" t="s">
        <v>207</v>
      </c>
      <c r="L45" s="376" t="s">
        <v>195</v>
      </c>
      <c r="M45" s="376" t="s">
        <v>171</v>
      </c>
      <c r="N45" s="376" t="s">
        <v>172</v>
      </c>
      <c r="O45" s="379">
        <v>1</v>
      </c>
      <c r="P45" s="384">
        <v>1</v>
      </c>
      <c r="Q45" s="384">
        <v>1</v>
      </c>
      <c r="R45" s="380">
        <v>80</v>
      </c>
      <c r="S45" s="384">
        <v>1</v>
      </c>
      <c r="T45" s="380">
        <v>47689.73</v>
      </c>
      <c r="U45" s="380">
        <v>0</v>
      </c>
      <c r="V45" s="380">
        <v>20582.23</v>
      </c>
      <c r="W45" s="380">
        <v>51854.400000000001</v>
      </c>
      <c r="X45" s="380">
        <v>22951.63</v>
      </c>
      <c r="Y45" s="380">
        <v>51854.400000000001</v>
      </c>
      <c r="Z45" s="380">
        <v>22702.74</v>
      </c>
      <c r="AA45" s="376" t="s">
        <v>241</v>
      </c>
      <c r="AB45" s="376" t="s">
        <v>242</v>
      </c>
      <c r="AC45" s="376" t="s">
        <v>243</v>
      </c>
      <c r="AD45" s="376" t="s">
        <v>244</v>
      </c>
      <c r="AE45" s="376" t="s">
        <v>207</v>
      </c>
      <c r="AF45" s="376" t="s">
        <v>200</v>
      </c>
      <c r="AG45" s="376" t="s">
        <v>178</v>
      </c>
      <c r="AH45" s="381">
        <v>24.93</v>
      </c>
      <c r="AI45" s="379">
        <v>19538</v>
      </c>
      <c r="AJ45" s="376" t="s">
        <v>179</v>
      </c>
      <c r="AK45" s="376" t="s">
        <v>180</v>
      </c>
      <c r="AL45" s="376" t="s">
        <v>181</v>
      </c>
      <c r="AM45" s="376" t="s">
        <v>182</v>
      </c>
      <c r="AN45" s="376" t="s">
        <v>68</v>
      </c>
      <c r="AO45" s="379">
        <v>80</v>
      </c>
      <c r="AP45" s="384">
        <v>1</v>
      </c>
      <c r="AQ45" s="384">
        <v>1</v>
      </c>
      <c r="AR45" s="382" t="s">
        <v>183</v>
      </c>
      <c r="AS45" s="386">
        <f t="shared" si="27"/>
        <v>1</v>
      </c>
      <c r="AT45">
        <f t="shared" si="28"/>
        <v>1</v>
      </c>
      <c r="AU45" s="386">
        <f>IF(AT45=0,"",IF(AND(AT45=1,M45="F",SUMIF(C2:C84,C45,AS2:AS84)&lt;=1),SUMIF(C2:C84,C45,AS2:AS84),IF(AND(AT45=1,M45="F",SUMIF(C2:C84,C45,AS2:AS84)&gt;1),1,"")))</f>
        <v>1</v>
      </c>
      <c r="AV45" s="386" t="str">
        <f>IF(AT45=0,"",IF(AND(AT45=3,M45="F",SUMIF(C2:C84,C45,AS2:AS84)&lt;=1),SUMIF(C2:C84,C45,AS2:AS84),IF(AND(AT45=3,M45="F",SUMIF(C2:C84,C45,AS2:AS84)&gt;1),1,"")))</f>
        <v/>
      </c>
      <c r="AW45" s="386">
        <f>SUMIF(C2:C84,C45,O2:O84)</f>
        <v>2</v>
      </c>
      <c r="AX45" s="386">
        <f>IF(AND(M45="F",AS45&lt;&gt;0),SUMIF(C2:C84,C45,W2:W84),0)</f>
        <v>51854.400000000001</v>
      </c>
      <c r="AY45" s="386">
        <f t="shared" si="29"/>
        <v>51854.400000000001</v>
      </c>
      <c r="AZ45" s="386" t="str">
        <f t="shared" si="30"/>
        <v/>
      </c>
      <c r="BA45" s="386">
        <f t="shared" si="31"/>
        <v>0</v>
      </c>
      <c r="BB45" s="386">
        <f t="shared" si="44"/>
        <v>11650</v>
      </c>
      <c r="BC45" s="386">
        <f t="shared" si="45"/>
        <v>0</v>
      </c>
      <c r="BD45" s="386">
        <f t="shared" si="46"/>
        <v>3214.9728</v>
      </c>
      <c r="BE45" s="386">
        <f t="shared" si="47"/>
        <v>751.88880000000006</v>
      </c>
      <c r="BF45" s="386">
        <f t="shared" si="48"/>
        <v>6191.4153600000009</v>
      </c>
      <c r="BG45" s="386">
        <f t="shared" si="49"/>
        <v>373.87022400000001</v>
      </c>
      <c r="BH45" s="386">
        <f t="shared" si="50"/>
        <v>254.08655999999999</v>
      </c>
      <c r="BI45" s="386">
        <f t="shared" si="51"/>
        <v>287.01410400000003</v>
      </c>
      <c r="BJ45" s="386">
        <f t="shared" si="52"/>
        <v>228.15936000000002</v>
      </c>
      <c r="BK45" s="386">
        <f t="shared" si="53"/>
        <v>0</v>
      </c>
      <c r="BL45" s="386">
        <f t="shared" si="32"/>
        <v>11301.407208000001</v>
      </c>
      <c r="BM45" s="386">
        <f t="shared" si="33"/>
        <v>0</v>
      </c>
      <c r="BN45" s="386">
        <f t="shared" si="54"/>
        <v>11650</v>
      </c>
      <c r="BO45" s="386">
        <f t="shared" si="55"/>
        <v>0</v>
      </c>
      <c r="BP45" s="386">
        <f t="shared" si="56"/>
        <v>3214.9728</v>
      </c>
      <c r="BQ45" s="386">
        <f t="shared" si="57"/>
        <v>751.88880000000006</v>
      </c>
      <c r="BR45" s="386">
        <f t="shared" si="58"/>
        <v>6191.4153600000009</v>
      </c>
      <c r="BS45" s="386">
        <f t="shared" si="59"/>
        <v>373.87022400000001</v>
      </c>
      <c r="BT45" s="386">
        <f t="shared" si="60"/>
        <v>0</v>
      </c>
      <c r="BU45" s="386">
        <f t="shared" si="61"/>
        <v>287.01410400000003</v>
      </c>
      <c r="BV45" s="386">
        <f t="shared" si="62"/>
        <v>233.34479999999999</v>
      </c>
      <c r="BW45" s="386">
        <f t="shared" si="63"/>
        <v>0</v>
      </c>
      <c r="BX45" s="386">
        <f t="shared" si="34"/>
        <v>11052.506088000002</v>
      </c>
      <c r="BY45" s="386">
        <f t="shared" si="35"/>
        <v>0</v>
      </c>
      <c r="BZ45" s="386">
        <f t="shared" si="36"/>
        <v>0</v>
      </c>
      <c r="CA45" s="386">
        <f t="shared" si="37"/>
        <v>0</v>
      </c>
      <c r="CB45" s="386">
        <f t="shared" si="38"/>
        <v>0</v>
      </c>
      <c r="CC45" s="386">
        <f t="shared" si="64"/>
        <v>0</v>
      </c>
      <c r="CD45" s="386">
        <f t="shared" si="65"/>
        <v>0</v>
      </c>
      <c r="CE45" s="386">
        <f t="shared" si="66"/>
        <v>0</v>
      </c>
      <c r="CF45" s="386">
        <f t="shared" si="67"/>
        <v>-254.08655999999999</v>
      </c>
      <c r="CG45" s="386">
        <f t="shared" si="68"/>
        <v>0</v>
      </c>
      <c r="CH45" s="386">
        <f t="shared" si="69"/>
        <v>5.1854399999999687</v>
      </c>
      <c r="CI45" s="386">
        <f t="shared" si="70"/>
        <v>0</v>
      </c>
      <c r="CJ45" s="386">
        <f t="shared" si="39"/>
        <v>-248.90112000000002</v>
      </c>
      <c r="CK45" s="386" t="str">
        <f t="shared" si="40"/>
        <v/>
      </c>
      <c r="CL45" s="386" t="str">
        <f t="shared" si="41"/>
        <v/>
      </c>
      <c r="CM45" s="386" t="str">
        <f t="shared" si="42"/>
        <v/>
      </c>
      <c r="CN45" s="386" t="str">
        <f t="shared" si="43"/>
        <v>0348-00</v>
      </c>
    </row>
    <row r="46" spans="1:92" ht="15.75" thickBot="1" x14ac:dyDescent="0.3">
      <c r="A46" s="376" t="s">
        <v>161</v>
      </c>
      <c r="B46" s="376" t="s">
        <v>162</v>
      </c>
      <c r="C46" s="376" t="s">
        <v>201</v>
      </c>
      <c r="D46" s="376" t="s">
        <v>202</v>
      </c>
      <c r="E46" s="376" t="s">
        <v>417</v>
      </c>
      <c r="F46" s="377" t="s">
        <v>166</v>
      </c>
      <c r="G46" s="376" t="s">
        <v>167</v>
      </c>
      <c r="H46" s="378"/>
      <c r="I46" s="378"/>
      <c r="J46" s="376" t="s">
        <v>168</v>
      </c>
      <c r="K46" s="376" t="s">
        <v>203</v>
      </c>
      <c r="L46" s="376" t="s">
        <v>166</v>
      </c>
      <c r="M46" s="376" t="s">
        <v>171</v>
      </c>
      <c r="N46" s="376" t="s">
        <v>204</v>
      </c>
      <c r="O46" s="379">
        <v>0</v>
      </c>
      <c r="P46" s="384">
        <v>0</v>
      </c>
      <c r="Q46" s="384">
        <v>0</v>
      </c>
      <c r="R46" s="380">
        <v>0</v>
      </c>
      <c r="S46" s="384">
        <v>0</v>
      </c>
      <c r="T46" s="380">
        <v>200</v>
      </c>
      <c r="U46" s="380">
        <v>0</v>
      </c>
      <c r="V46" s="380">
        <v>27.29</v>
      </c>
      <c r="W46" s="380">
        <v>0</v>
      </c>
      <c r="X46" s="380">
        <v>0</v>
      </c>
      <c r="Y46" s="380">
        <v>0</v>
      </c>
      <c r="Z46" s="380">
        <v>0</v>
      </c>
      <c r="AA46" s="378"/>
      <c r="AB46" s="376" t="s">
        <v>45</v>
      </c>
      <c r="AC46" s="376" t="s">
        <v>45</v>
      </c>
      <c r="AD46" s="378"/>
      <c r="AE46" s="378"/>
      <c r="AF46" s="378"/>
      <c r="AG46" s="378"/>
      <c r="AH46" s="379">
        <v>0</v>
      </c>
      <c r="AI46" s="379">
        <v>0</v>
      </c>
      <c r="AJ46" s="378"/>
      <c r="AK46" s="378"/>
      <c r="AL46" s="376" t="s">
        <v>181</v>
      </c>
      <c r="AM46" s="378"/>
      <c r="AN46" s="378"/>
      <c r="AO46" s="379">
        <v>0</v>
      </c>
      <c r="AP46" s="384">
        <v>0</v>
      </c>
      <c r="AQ46" s="384">
        <v>0</v>
      </c>
      <c r="AR46" s="383"/>
      <c r="AS46" s="386">
        <f t="shared" si="27"/>
        <v>0</v>
      </c>
      <c r="AT46">
        <f t="shared" si="28"/>
        <v>0</v>
      </c>
      <c r="AU46" s="386" t="str">
        <f>IF(AT46=0,"",IF(AND(AT46=1,M46="F",SUMIF(C2:C84,C46,AS2:AS84)&lt;=1),SUMIF(C2:C84,C46,AS2:AS84),IF(AND(AT46=1,M46="F",SUMIF(C2:C84,C46,AS2:AS84)&gt;1),1,"")))</f>
        <v/>
      </c>
      <c r="AV46" s="386" t="str">
        <f>IF(AT46=0,"",IF(AND(AT46=3,M46="F",SUMIF(C2:C84,C46,AS2:AS84)&lt;=1),SUMIF(C2:C84,C46,AS2:AS84),IF(AND(AT46=3,M46="F",SUMIF(C2:C84,C46,AS2:AS84)&gt;1),1,"")))</f>
        <v/>
      </c>
      <c r="AW46" s="386">
        <f>SUMIF(C2:C84,C46,O2:O84)</f>
        <v>0</v>
      </c>
      <c r="AX46" s="386">
        <f>IF(AND(M46="F",AS46&lt;&gt;0),SUMIF(C2:C84,C46,W2:W84),0)</f>
        <v>0</v>
      </c>
      <c r="AY46" s="386" t="str">
        <f t="shared" si="29"/>
        <v/>
      </c>
      <c r="AZ46" s="386" t="str">
        <f t="shared" si="30"/>
        <v/>
      </c>
      <c r="BA46" s="386">
        <f t="shared" si="31"/>
        <v>0</v>
      </c>
      <c r="BB46" s="386">
        <f t="shared" si="44"/>
        <v>0</v>
      </c>
      <c r="BC46" s="386">
        <f t="shared" si="45"/>
        <v>0</v>
      </c>
      <c r="BD46" s="386">
        <f t="shared" si="46"/>
        <v>0</v>
      </c>
      <c r="BE46" s="386">
        <f t="shared" si="47"/>
        <v>0</v>
      </c>
      <c r="BF46" s="386">
        <f t="shared" si="48"/>
        <v>0</v>
      </c>
      <c r="BG46" s="386">
        <f t="shared" si="49"/>
        <v>0</v>
      </c>
      <c r="BH46" s="386">
        <f t="shared" si="50"/>
        <v>0</v>
      </c>
      <c r="BI46" s="386">
        <f t="shared" si="51"/>
        <v>0</v>
      </c>
      <c r="BJ46" s="386">
        <f t="shared" si="52"/>
        <v>0</v>
      </c>
      <c r="BK46" s="386">
        <f t="shared" si="53"/>
        <v>0</v>
      </c>
      <c r="BL46" s="386">
        <f t="shared" si="32"/>
        <v>0</v>
      </c>
      <c r="BM46" s="386">
        <f t="shared" si="33"/>
        <v>0</v>
      </c>
      <c r="BN46" s="386">
        <f t="shared" si="54"/>
        <v>0</v>
      </c>
      <c r="BO46" s="386">
        <f t="shared" si="55"/>
        <v>0</v>
      </c>
      <c r="BP46" s="386">
        <f t="shared" si="56"/>
        <v>0</v>
      </c>
      <c r="BQ46" s="386">
        <f t="shared" si="57"/>
        <v>0</v>
      </c>
      <c r="BR46" s="386">
        <f t="shared" si="58"/>
        <v>0</v>
      </c>
      <c r="BS46" s="386">
        <f t="shared" si="59"/>
        <v>0</v>
      </c>
      <c r="BT46" s="386">
        <f t="shared" si="60"/>
        <v>0</v>
      </c>
      <c r="BU46" s="386">
        <f t="shared" si="61"/>
        <v>0</v>
      </c>
      <c r="BV46" s="386">
        <f t="shared" si="62"/>
        <v>0</v>
      </c>
      <c r="BW46" s="386">
        <f t="shared" si="63"/>
        <v>0</v>
      </c>
      <c r="BX46" s="386">
        <f t="shared" si="34"/>
        <v>0</v>
      </c>
      <c r="BY46" s="386">
        <f t="shared" si="35"/>
        <v>0</v>
      </c>
      <c r="BZ46" s="386">
        <f t="shared" si="36"/>
        <v>0</v>
      </c>
      <c r="CA46" s="386">
        <f t="shared" si="37"/>
        <v>0</v>
      </c>
      <c r="CB46" s="386">
        <f t="shared" si="38"/>
        <v>0</v>
      </c>
      <c r="CC46" s="386">
        <f t="shared" si="64"/>
        <v>0</v>
      </c>
      <c r="CD46" s="386">
        <f t="shared" si="65"/>
        <v>0</v>
      </c>
      <c r="CE46" s="386">
        <f t="shared" si="66"/>
        <v>0</v>
      </c>
      <c r="CF46" s="386">
        <f t="shared" si="67"/>
        <v>0</v>
      </c>
      <c r="CG46" s="386">
        <f t="shared" si="68"/>
        <v>0</v>
      </c>
      <c r="CH46" s="386">
        <f t="shared" si="69"/>
        <v>0</v>
      </c>
      <c r="CI46" s="386">
        <f t="shared" si="70"/>
        <v>0</v>
      </c>
      <c r="CJ46" s="386">
        <f t="shared" si="39"/>
        <v>0</v>
      </c>
      <c r="CK46" s="386" t="str">
        <f t="shared" si="40"/>
        <v/>
      </c>
      <c r="CL46" s="386">
        <f t="shared" si="41"/>
        <v>200</v>
      </c>
      <c r="CM46" s="386">
        <f t="shared" si="42"/>
        <v>27.29</v>
      </c>
      <c r="CN46" s="386" t="str">
        <f t="shared" si="43"/>
        <v>0348-00</v>
      </c>
    </row>
    <row r="47" spans="1:92" ht="15.75" thickBot="1" x14ac:dyDescent="0.3">
      <c r="A47" s="376" t="s">
        <v>161</v>
      </c>
      <c r="B47" s="376" t="s">
        <v>162</v>
      </c>
      <c r="C47" s="376" t="s">
        <v>245</v>
      </c>
      <c r="D47" s="376" t="s">
        <v>206</v>
      </c>
      <c r="E47" s="376" t="s">
        <v>417</v>
      </c>
      <c r="F47" s="377" t="s">
        <v>166</v>
      </c>
      <c r="G47" s="376" t="s">
        <v>167</v>
      </c>
      <c r="H47" s="378"/>
      <c r="I47" s="378"/>
      <c r="J47" s="376" t="s">
        <v>168</v>
      </c>
      <c r="K47" s="376" t="s">
        <v>207</v>
      </c>
      <c r="L47" s="376" t="s">
        <v>195</v>
      </c>
      <c r="M47" s="376" t="s">
        <v>171</v>
      </c>
      <c r="N47" s="376" t="s">
        <v>172</v>
      </c>
      <c r="O47" s="379">
        <v>1</v>
      </c>
      <c r="P47" s="384">
        <v>1</v>
      </c>
      <c r="Q47" s="384">
        <v>1</v>
      </c>
      <c r="R47" s="380">
        <v>80</v>
      </c>
      <c r="S47" s="384">
        <v>1</v>
      </c>
      <c r="T47" s="380">
        <v>51500.91</v>
      </c>
      <c r="U47" s="380">
        <v>0</v>
      </c>
      <c r="V47" s="380">
        <v>21471.13</v>
      </c>
      <c r="W47" s="380">
        <v>58219.199999999997</v>
      </c>
      <c r="X47" s="380">
        <v>24338.85</v>
      </c>
      <c r="Y47" s="380">
        <v>58219.199999999997</v>
      </c>
      <c r="Z47" s="380">
        <v>24059.4</v>
      </c>
      <c r="AA47" s="376" t="s">
        <v>246</v>
      </c>
      <c r="AB47" s="376" t="s">
        <v>247</v>
      </c>
      <c r="AC47" s="376" t="s">
        <v>248</v>
      </c>
      <c r="AD47" s="376" t="s">
        <v>249</v>
      </c>
      <c r="AE47" s="376" t="s">
        <v>207</v>
      </c>
      <c r="AF47" s="376" t="s">
        <v>200</v>
      </c>
      <c r="AG47" s="376" t="s">
        <v>178</v>
      </c>
      <c r="AH47" s="381">
        <v>27.99</v>
      </c>
      <c r="AI47" s="381">
        <v>29031.4</v>
      </c>
      <c r="AJ47" s="376" t="s">
        <v>179</v>
      </c>
      <c r="AK47" s="376" t="s">
        <v>180</v>
      </c>
      <c r="AL47" s="376" t="s">
        <v>181</v>
      </c>
      <c r="AM47" s="376" t="s">
        <v>182</v>
      </c>
      <c r="AN47" s="376" t="s">
        <v>68</v>
      </c>
      <c r="AO47" s="379">
        <v>80</v>
      </c>
      <c r="AP47" s="384">
        <v>1</v>
      </c>
      <c r="AQ47" s="384">
        <v>1</v>
      </c>
      <c r="AR47" s="382" t="s">
        <v>183</v>
      </c>
      <c r="AS47" s="386">
        <f t="shared" si="27"/>
        <v>1</v>
      </c>
      <c r="AT47">
        <f t="shared" si="28"/>
        <v>1</v>
      </c>
      <c r="AU47" s="386">
        <f>IF(AT47=0,"",IF(AND(AT47=1,M47="F",SUMIF(C2:C84,C47,AS2:AS84)&lt;=1),SUMIF(C2:C84,C47,AS2:AS84),IF(AND(AT47=1,M47="F",SUMIF(C2:C84,C47,AS2:AS84)&gt;1),1,"")))</f>
        <v>1</v>
      </c>
      <c r="AV47" s="386" t="str">
        <f>IF(AT47=0,"",IF(AND(AT47=3,M47="F",SUMIF(C2:C84,C47,AS2:AS84)&lt;=1),SUMIF(C2:C84,C47,AS2:AS84),IF(AND(AT47=3,M47="F",SUMIF(C2:C84,C47,AS2:AS84)&gt;1),1,"")))</f>
        <v/>
      </c>
      <c r="AW47" s="386">
        <f>SUMIF(C2:C84,C47,O2:O84)</f>
        <v>2</v>
      </c>
      <c r="AX47" s="386">
        <f>IF(AND(M47="F",AS47&lt;&gt;0),SUMIF(C2:C84,C47,W2:W84),0)</f>
        <v>58219.199999999997</v>
      </c>
      <c r="AY47" s="386">
        <f t="shared" si="29"/>
        <v>58219.199999999997</v>
      </c>
      <c r="AZ47" s="386" t="str">
        <f t="shared" si="30"/>
        <v/>
      </c>
      <c r="BA47" s="386">
        <f t="shared" si="31"/>
        <v>0</v>
      </c>
      <c r="BB47" s="386">
        <f t="shared" si="44"/>
        <v>11650</v>
      </c>
      <c r="BC47" s="386">
        <f t="shared" si="45"/>
        <v>0</v>
      </c>
      <c r="BD47" s="386">
        <f t="shared" si="46"/>
        <v>3609.5903999999996</v>
      </c>
      <c r="BE47" s="386">
        <f t="shared" si="47"/>
        <v>844.17840000000001</v>
      </c>
      <c r="BF47" s="386">
        <f t="shared" si="48"/>
        <v>6951.37248</v>
      </c>
      <c r="BG47" s="386">
        <f t="shared" si="49"/>
        <v>419.76043199999998</v>
      </c>
      <c r="BH47" s="386">
        <f t="shared" si="50"/>
        <v>285.27407999999997</v>
      </c>
      <c r="BI47" s="386">
        <f t="shared" si="51"/>
        <v>322.24327199999999</v>
      </c>
      <c r="BJ47" s="386">
        <f t="shared" si="52"/>
        <v>256.16448000000003</v>
      </c>
      <c r="BK47" s="386">
        <f t="shared" si="53"/>
        <v>0</v>
      </c>
      <c r="BL47" s="386">
        <f t="shared" si="32"/>
        <v>12688.583543999997</v>
      </c>
      <c r="BM47" s="386">
        <f t="shared" si="33"/>
        <v>0</v>
      </c>
      <c r="BN47" s="386">
        <f t="shared" si="54"/>
        <v>11650</v>
      </c>
      <c r="BO47" s="386">
        <f t="shared" si="55"/>
        <v>0</v>
      </c>
      <c r="BP47" s="386">
        <f t="shared" si="56"/>
        <v>3609.5903999999996</v>
      </c>
      <c r="BQ47" s="386">
        <f t="shared" si="57"/>
        <v>844.17840000000001</v>
      </c>
      <c r="BR47" s="386">
        <f t="shared" si="58"/>
        <v>6951.37248</v>
      </c>
      <c r="BS47" s="386">
        <f t="shared" si="59"/>
        <v>419.76043199999998</v>
      </c>
      <c r="BT47" s="386">
        <f t="shared" si="60"/>
        <v>0</v>
      </c>
      <c r="BU47" s="386">
        <f t="shared" si="61"/>
        <v>322.24327199999999</v>
      </c>
      <c r="BV47" s="386">
        <f t="shared" si="62"/>
        <v>261.98639999999995</v>
      </c>
      <c r="BW47" s="386">
        <f t="shared" si="63"/>
        <v>0</v>
      </c>
      <c r="BX47" s="386">
        <f t="shared" si="34"/>
        <v>12409.131383999998</v>
      </c>
      <c r="BY47" s="386">
        <f t="shared" si="35"/>
        <v>0</v>
      </c>
      <c r="BZ47" s="386">
        <f t="shared" si="36"/>
        <v>0</v>
      </c>
      <c r="CA47" s="386">
        <f t="shared" si="37"/>
        <v>0</v>
      </c>
      <c r="CB47" s="386">
        <f t="shared" si="38"/>
        <v>0</v>
      </c>
      <c r="CC47" s="386">
        <f t="shared" si="64"/>
        <v>0</v>
      </c>
      <c r="CD47" s="386">
        <f t="shared" si="65"/>
        <v>0</v>
      </c>
      <c r="CE47" s="386">
        <f t="shared" si="66"/>
        <v>0</v>
      </c>
      <c r="CF47" s="386">
        <f t="shared" si="67"/>
        <v>-285.27407999999997</v>
      </c>
      <c r="CG47" s="386">
        <f t="shared" si="68"/>
        <v>0</v>
      </c>
      <c r="CH47" s="386">
        <f t="shared" si="69"/>
        <v>5.8219199999999649</v>
      </c>
      <c r="CI47" s="386">
        <f t="shared" si="70"/>
        <v>0</v>
      </c>
      <c r="CJ47" s="386">
        <f t="shared" si="39"/>
        <v>-279.45215999999999</v>
      </c>
      <c r="CK47" s="386" t="str">
        <f t="shared" si="40"/>
        <v/>
      </c>
      <c r="CL47" s="386" t="str">
        <f t="shared" si="41"/>
        <v/>
      </c>
      <c r="CM47" s="386" t="str">
        <f t="shared" si="42"/>
        <v/>
      </c>
      <c r="CN47" s="386" t="str">
        <f t="shared" si="43"/>
        <v>0348-00</v>
      </c>
    </row>
    <row r="48" spans="1:92" ht="15.75" thickBot="1" x14ac:dyDescent="0.3">
      <c r="A48" s="376" t="s">
        <v>161</v>
      </c>
      <c r="B48" s="376" t="s">
        <v>162</v>
      </c>
      <c r="C48" s="376" t="s">
        <v>250</v>
      </c>
      <c r="D48" s="376" t="s">
        <v>251</v>
      </c>
      <c r="E48" s="376" t="s">
        <v>417</v>
      </c>
      <c r="F48" s="377" t="s">
        <v>166</v>
      </c>
      <c r="G48" s="376" t="s">
        <v>167</v>
      </c>
      <c r="H48" s="378"/>
      <c r="I48" s="378"/>
      <c r="J48" s="376" t="s">
        <v>168</v>
      </c>
      <c r="K48" s="376" t="s">
        <v>252</v>
      </c>
      <c r="L48" s="376" t="s">
        <v>195</v>
      </c>
      <c r="M48" s="376" t="s">
        <v>171</v>
      </c>
      <c r="N48" s="376" t="s">
        <v>172</v>
      </c>
      <c r="O48" s="379">
        <v>1</v>
      </c>
      <c r="P48" s="384">
        <v>1</v>
      </c>
      <c r="Q48" s="384">
        <v>1</v>
      </c>
      <c r="R48" s="380">
        <v>80</v>
      </c>
      <c r="S48" s="384">
        <v>1</v>
      </c>
      <c r="T48" s="380">
        <v>64435.21</v>
      </c>
      <c r="U48" s="380">
        <v>0</v>
      </c>
      <c r="V48" s="380">
        <v>24001.79</v>
      </c>
      <c r="W48" s="380">
        <v>72404.800000000003</v>
      </c>
      <c r="X48" s="380">
        <v>27430.59</v>
      </c>
      <c r="Y48" s="380">
        <v>72404.800000000003</v>
      </c>
      <c r="Z48" s="380">
        <v>27083.05</v>
      </c>
      <c r="AA48" s="376" t="s">
        <v>253</v>
      </c>
      <c r="AB48" s="376" t="s">
        <v>254</v>
      </c>
      <c r="AC48" s="376" t="s">
        <v>255</v>
      </c>
      <c r="AD48" s="376" t="s">
        <v>256</v>
      </c>
      <c r="AE48" s="376" t="s">
        <v>252</v>
      </c>
      <c r="AF48" s="376" t="s">
        <v>200</v>
      </c>
      <c r="AG48" s="376" t="s">
        <v>178</v>
      </c>
      <c r="AH48" s="381">
        <v>34.81</v>
      </c>
      <c r="AI48" s="381">
        <v>20348.599999999999</v>
      </c>
      <c r="AJ48" s="376" t="s">
        <v>179</v>
      </c>
      <c r="AK48" s="376" t="s">
        <v>180</v>
      </c>
      <c r="AL48" s="376" t="s">
        <v>181</v>
      </c>
      <c r="AM48" s="376" t="s">
        <v>182</v>
      </c>
      <c r="AN48" s="376" t="s">
        <v>68</v>
      </c>
      <c r="AO48" s="379">
        <v>80</v>
      </c>
      <c r="AP48" s="384">
        <v>1</v>
      </c>
      <c r="AQ48" s="384">
        <v>1</v>
      </c>
      <c r="AR48" s="382" t="s">
        <v>183</v>
      </c>
      <c r="AS48" s="386">
        <f t="shared" si="27"/>
        <v>1</v>
      </c>
      <c r="AT48">
        <f t="shared" si="28"/>
        <v>1</v>
      </c>
      <c r="AU48" s="386">
        <f>IF(AT48=0,"",IF(AND(AT48=1,M48="F",SUMIF(C2:C84,C48,AS2:AS84)&lt;=1),SUMIF(C2:C84,C48,AS2:AS84),IF(AND(AT48=1,M48="F",SUMIF(C2:C84,C48,AS2:AS84)&gt;1),1,"")))</f>
        <v>1</v>
      </c>
      <c r="AV48" s="386" t="str">
        <f>IF(AT48=0,"",IF(AND(AT48=3,M48="F",SUMIF(C2:C84,C48,AS2:AS84)&lt;=1),SUMIF(C2:C84,C48,AS2:AS84),IF(AND(AT48=3,M48="F",SUMIF(C2:C84,C48,AS2:AS84)&gt;1),1,"")))</f>
        <v/>
      </c>
      <c r="AW48" s="386">
        <f>SUMIF(C2:C84,C48,O2:O84)</f>
        <v>2</v>
      </c>
      <c r="AX48" s="386">
        <f>IF(AND(M48="F",AS48&lt;&gt;0),SUMIF(C2:C84,C48,W2:W84),0)</f>
        <v>72404.800000000003</v>
      </c>
      <c r="AY48" s="386">
        <f t="shared" si="29"/>
        <v>72404.800000000003</v>
      </c>
      <c r="AZ48" s="386" t="str">
        <f t="shared" si="30"/>
        <v/>
      </c>
      <c r="BA48" s="386">
        <f t="shared" si="31"/>
        <v>0</v>
      </c>
      <c r="BB48" s="386">
        <f t="shared" si="44"/>
        <v>11650</v>
      </c>
      <c r="BC48" s="386">
        <f t="shared" si="45"/>
        <v>0</v>
      </c>
      <c r="BD48" s="386">
        <f t="shared" si="46"/>
        <v>4489.0976000000001</v>
      </c>
      <c r="BE48" s="386">
        <f t="shared" si="47"/>
        <v>1049.8696</v>
      </c>
      <c r="BF48" s="386">
        <f t="shared" si="48"/>
        <v>8645.1331200000004</v>
      </c>
      <c r="BG48" s="386">
        <f t="shared" si="49"/>
        <v>522.03860800000007</v>
      </c>
      <c r="BH48" s="386">
        <f t="shared" si="50"/>
        <v>354.78352000000001</v>
      </c>
      <c r="BI48" s="386">
        <f t="shared" si="51"/>
        <v>400.76056800000003</v>
      </c>
      <c r="BJ48" s="386">
        <f t="shared" si="52"/>
        <v>318.58112000000006</v>
      </c>
      <c r="BK48" s="386">
        <f t="shared" si="53"/>
        <v>0</v>
      </c>
      <c r="BL48" s="386">
        <f t="shared" si="32"/>
        <v>15780.264136000003</v>
      </c>
      <c r="BM48" s="386">
        <f t="shared" si="33"/>
        <v>0</v>
      </c>
      <c r="BN48" s="386">
        <f t="shared" si="54"/>
        <v>11650</v>
      </c>
      <c r="BO48" s="386">
        <f t="shared" si="55"/>
        <v>0</v>
      </c>
      <c r="BP48" s="386">
        <f t="shared" si="56"/>
        <v>4489.0976000000001</v>
      </c>
      <c r="BQ48" s="386">
        <f t="shared" si="57"/>
        <v>1049.8696</v>
      </c>
      <c r="BR48" s="386">
        <f t="shared" si="58"/>
        <v>8645.1331200000004</v>
      </c>
      <c r="BS48" s="386">
        <f t="shared" si="59"/>
        <v>522.03860800000007</v>
      </c>
      <c r="BT48" s="386">
        <f t="shared" si="60"/>
        <v>0</v>
      </c>
      <c r="BU48" s="386">
        <f t="shared" si="61"/>
        <v>400.76056800000003</v>
      </c>
      <c r="BV48" s="386">
        <f t="shared" si="62"/>
        <v>325.82159999999999</v>
      </c>
      <c r="BW48" s="386">
        <f t="shared" si="63"/>
        <v>0</v>
      </c>
      <c r="BX48" s="386">
        <f t="shared" si="34"/>
        <v>15432.721096000001</v>
      </c>
      <c r="BY48" s="386">
        <f t="shared" si="35"/>
        <v>0</v>
      </c>
      <c r="BZ48" s="386">
        <f t="shared" si="36"/>
        <v>0</v>
      </c>
      <c r="CA48" s="386">
        <f t="shared" si="37"/>
        <v>0</v>
      </c>
      <c r="CB48" s="386">
        <f t="shared" si="38"/>
        <v>0</v>
      </c>
      <c r="CC48" s="386">
        <f t="shared" si="64"/>
        <v>0</v>
      </c>
      <c r="CD48" s="386">
        <f t="shared" si="65"/>
        <v>0</v>
      </c>
      <c r="CE48" s="386">
        <f t="shared" si="66"/>
        <v>0</v>
      </c>
      <c r="CF48" s="386">
        <f t="shared" si="67"/>
        <v>-354.78352000000001</v>
      </c>
      <c r="CG48" s="386">
        <f t="shared" si="68"/>
        <v>0</v>
      </c>
      <c r="CH48" s="386">
        <f t="shared" si="69"/>
        <v>7.2404799999999563</v>
      </c>
      <c r="CI48" s="386">
        <f t="shared" si="70"/>
        <v>0</v>
      </c>
      <c r="CJ48" s="386">
        <f t="shared" si="39"/>
        <v>-347.54304000000008</v>
      </c>
      <c r="CK48" s="386" t="str">
        <f t="shared" si="40"/>
        <v/>
      </c>
      <c r="CL48" s="386" t="str">
        <f t="shared" si="41"/>
        <v/>
      </c>
      <c r="CM48" s="386" t="str">
        <f t="shared" si="42"/>
        <v/>
      </c>
      <c r="CN48" s="386" t="str">
        <f t="shared" si="43"/>
        <v>0348-00</v>
      </c>
    </row>
    <row r="49" spans="1:92" ht="15.75" thickBot="1" x14ac:dyDescent="0.3">
      <c r="A49" s="376" t="s">
        <v>161</v>
      </c>
      <c r="B49" s="376" t="s">
        <v>162</v>
      </c>
      <c r="C49" s="376" t="s">
        <v>257</v>
      </c>
      <c r="D49" s="376" t="s">
        <v>258</v>
      </c>
      <c r="E49" s="376" t="s">
        <v>417</v>
      </c>
      <c r="F49" s="377" t="s">
        <v>166</v>
      </c>
      <c r="G49" s="376" t="s">
        <v>167</v>
      </c>
      <c r="H49" s="378"/>
      <c r="I49" s="378"/>
      <c r="J49" s="376" t="s">
        <v>168</v>
      </c>
      <c r="K49" s="376" t="s">
        <v>259</v>
      </c>
      <c r="L49" s="376" t="s">
        <v>226</v>
      </c>
      <c r="M49" s="376" t="s">
        <v>171</v>
      </c>
      <c r="N49" s="376" t="s">
        <v>172</v>
      </c>
      <c r="O49" s="379">
        <v>1</v>
      </c>
      <c r="P49" s="384">
        <v>1</v>
      </c>
      <c r="Q49" s="384">
        <v>1</v>
      </c>
      <c r="R49" s="380">
        <v>80</v>
      </c>
      <c r="S49" s="384">
        <v>1</v>
      </c>
      <c r="T49" s="380">
        <v>48737.21</v>
      </c>
      <c r="U49" s="380">
        <v>0</v>
      </c>
      <c r="V49" s="380">
        <v>20944.5</v>
      </c>
      <c r="W49" s="380">
        <v>55411.199999999997</v>
      </c>
      <c r="X49" s="380">
        <v>23726.83</v>
      </c>
      <c r="Y49" s="380">
        <v>55411.199999999997</v>
      </c>
      <c r="Z49" s="380">
        <v>23460.87</v>
      </c>
      <c r="AA49" s="376" t="s">
        <v>260</v>
      </c>
      <c r="AB49" s="376" t="s">
        <v>261</v>
      </c>
      <c r="AC49" s="376" t="s">
        <v>262</v>
      </c>
      <c r="AD49" s="376" t="s">
        <v>263</v>
      </c>
      <c r="AE49" s="376" t="s">
        <v>259</v>
      </c>
      <c r="AF49" s="376" t="s">
        <v>231</v>
      </c>
      <c r="AG49" s="376" t="s">
        <v>178</v>
      </c>
      <c r="AH49" s="381">
        <v>26.64</v>
      </c>
      <c r="AI49" s="379">
        <v>32071</v>
      </c>
      <c r="AJ49" s="376" t="s">
        <v>179</v>
      </c>
      <c r="AK49" s="376" t="s">
        <v>180</v>
      </c>
      <c r="AL49" s="376" t="s">
        <v>181</v>
      </c>
      <c r="AM49" s="376" t="s">
        <v>182</v>
      </c>
      <c r="AN49" s="376" t="s">
        <v>68</v>
      </c>
      <c r="AO49" s="379">
        <v>80</v>
      </c>
      <c r="AP49" s="384">
        <v>1</v>
      </c>
      <c r="AQ49" s="384">
        <v>1</v>
      </c>
      <c r="AR49" s="382" t="s">
        <v>183</v>
      </c>
      <c r="AS49" s="386">
        <f t="shared" si="27"/>
        <v>1</v>
      </c>
      <c r="AT49">
        <f t="shared" si="28"/>
        <v>1</v>
      </c>
      <c r="AU49" s="386">
        <f>IF(AT49=0,"",IF(AND(AT49=1,M49="F",SUMIF(C2:C84,C49,AS2:AS84)&lt;=1),SUMIF(C2:C84,C49,AS2:AS84),IF(AND(AT49=1,M49="F",SUMIF(C2:C84,C49,AS2:AS84)&gt;1),1,"")))</f>
        <v>1</v>
      </c>
      <c r="AV49" s="386" t="str">
        <f>IF(AT49=0,"",IF(AND(AT49=3,M49="F",SUMIF(C2:C84,C49,AS2:AS84)&lt;=1),SUMIF(C2:C84,C49,AS2:AS84),IF(AND(AT49=3,M49="F",SUMIF(C2:C84,C49,AS2:AS84)&gt;1),1,"")))</f>
        <v/>
      </c>
      <c r="AW49" s="386">
        <f>SUMIF(C2:C84,C49,O2:O84)</f>
        <v>2</v>
      </c>
      <c r="AX49" s="386">
        <f>IF(AND(M49="F",AS49&lt;&gt;0),SUMIF(C2:C84,C49,W2:W84),0)</f>
        <v>55411.199999999997</v>
      </c>
      <c r="AY49" s="386">
        <f t="shared" si="29"/>
        <v>55411.199999999997</v>
      </c>
      <c r="AZ49" s="386" t="str">
        <f t="shared" si="30"/>
        <v/>
      </c>
      <c r="BA49" s="386">
        <f t="shared" si="31"/>
        <v>0</v>
      </c>
      <c r="BB49" s="386">
        <f t="shared" si="44"/>
        <v>11650</v>
      </c>
      <c r="BC49" s="386">
        <f t="shared" si="45"/>
        <v>0</v>
      </c>
      <c r="BD49" s="386">
        <f t="shared" si="46"/>
        <v>3435.4943999999996</v>
      </c>
      <c r="BE49" s="386">
        <f t="shared" si="47"/>
        <v>803.4624</v>
      </c>
      <c r="BF49" s="386">
        <f t="shared" si="48"/>
        <v>6616.09728</v>
      </c>
      <c r="BG49" s="386">
        <f t="shared" si="49"/>
        <v>399.51475199999999</v>
      </c>
      <c r="BH49" s="386">
        <f t="shared" si="50"/>
        <v>271.51488000000001</v>
      </c>
      <c r="BI49" s="386">
        <f t="shared" si="51"/>
        <v>306.70099199999999</v>
      </c>
      <c r="BJ49" s="386">
        <f t="shared" si="52"/>
        <v>243.80928</v>
      </c>
      <c r="BK49" s="386">
        <f t="shared" si="53"/>
        <v>0</v>
      </c>
      <c r="BL49" s="386">
        <f t="shared" si="32"/>
        <v>12076.593983999999</v>
      </c>
      <c r="BM49" s="386">
        <f t="shared" si="33"/>
        <v>0</v>
      </c>
      <c r="BN49" s="386">
        <f t="shared" si="54"/>
        <v>11650</v>
      </c>
      <c r="BO49" s="386">
        <f t="shared" si="55"/>
        <v>0</v>
      </c>
      <c r="BP49" s="386">
        <f t="shared" si="56"/>
        <v>3435.4943999999996</v>
      </c>
      <c r="BQ49" s="386">
        <f t="shared" si="57"/>
        <v>803.4624</v>
      </c>
      <c r="BR49" s="386">
        <f t="shared" si="58"/>
        <v>6616.09728</v>
      </c>
      <c r="BS49" s="386">
        <f t="shared" si="59"/>
        <v>399.51475199999999</v>
      </c>
      <c r="BT49" s="386">
        <f t="shared" si="60"/>
        <v>0</v>
      </c>
      <c r="BU49" s="386">
        <f t="shared" si="61"/>
        <v>306.70099199999999</v>
      </c>
      <c r="BV49" s="386">
        <f t="shared" si="62"/>
        <v>249.35039999999998</v>
      </c>
      <c r="BW49" s="386">
        <f t="shared" si="63"/>
        <v>0</v>
      </c>
      <c r="BX49" s="386">
        <f t="shared" si="34"/>
        <v>11810.620223999998</v>
      </c>
      <c r="BY49" s="386">
        <f t="shared" si="35"/>
        <v>0</v>
      </c>
      <c r="BZ49" s="386">
        <f t="shared" si="36"/>
        <v>0</v>
      </c>
      <c r="CA49" s="386">
        <f t="shared" si="37"/>
        <v>0</v>
      </c>
      <c r="CB49" s="386">
        <f t="shared" si="38"/>
        <v>0</v>
      </c>
      <c r="CC49" s="386">
        <f t="shared" si="64"/>
        <v>0</v>
      </c>
      <c r="CD49" s="386">
        <f t="shared" si="65"/>
        <v>0</v>
      </c>
      <c r="CE49" s="386">
        <f t="shared" si="66"/>
        <v>0</v>
      </c>
      <c r="CF49" s="386">
        <f t="shared" si="67"/>
        <v>-271.51488000000001</v>
      </c>
      <c r="CG49" s="386">
        <f t="shared" si="68"/>
        <v>0</v>
      </c>
      <c r="CH49" s="386">
        <f t="shared" si="69"/>
        <v>5.5411199999999665</v>
      </c>
      <c r="CI49" s="386">
        <f t="shared" si="70"/>
        <v>0</v>
      </c>
      <c r="CJ49" s="386">
        <f t="shared" si="39"/>
        <v>-265.97376000000003</v>
      </c>
      <c r="CK49" s="386" t="str">
        <f t="shared" si="40"/>
        <v/>
      </c>
      <c r="CL49" s="386" t="str">
        <f t="shared" si="41"/>
        <v/>
      </c>
      <c r="CM49" s="386" t="str">
        <f t="shared" si="42"/>
        <v/>
      </c>
      <c r="CN49" s="386" t="str">
        <f t="shared" si="43"/>
        <v>0348-00</v>
      </c>
    </row>
    <row r="50" spans="1:92" ht="15.75" thickBot="1" x14ac:dyDescent="0.3">
      <c r="A50" s="376" t="s">
        <v>161</v>
      </c>
      <c r="B50" s="376" t="s">
        <v>162</v>
      </c>
      <c r="C50" s="376" t="s">
        <v>264</v>
      </c>
      <c r="D50" s="376" t="s">
        <v>258</v>
      </c>
      <c r="E50" s="376" t="s">
        <v>417</v>
      </c>
      <c r="F50" s="377" t="s">
        <v>166</v>
      </c>
      <c r="G50" s="376" t="s">
        <v>167</v>
      </c>
      <c r="H50" s="378"/>
      <c r="I50" s="378"/>
      <c r="J50" s="376" t="s">
        <v>168</v>
      </c>
      <c r="K50" s="376" t="s">
        <v>259</v>
      </c>
      <c r="L50" s="376" t="s">
        <v>226</v>
      </c>
      <c r="M50" s="376" t="s">
        <v>171</v>
      </c>
      <c r="N50" s="376" t="s">
        <v>172</v>
      </c>
      <c r="O50" s="379">
        <v>1</v>
      </c>
      <c r="P50" s="384">
        <v>1</v>
      </c>
      <c r="Q50" s="384">
        <v>1</v>
      </c>
      <c r="R50" s="380">
        <v>80</v>
      </c>
      <c r="S50" s="384">
        <v>1</v>
      </c>
      <c r="T50" s="380">
        <v>50536.75</v>
      </c>
      <c r="U50" s="380">
        <v>0</v>
      </c>
      <c r="V50" s="380">
        <v>20663.28</v>
      </c>
      <c r="W50" s="380">
        <v>59716.800000000003</v>
      </c>
      <c r="X50" s="380">
        <v>24665.25</v>
      </c>
      <c r="Y50" s="380">
        <v>59716.800000000003</v>
      </c>
      <c r="Z50" s="380">
        <v>24378.61</v>
      </c>
      <c r="AA50" s="376" t="s">
        <v>265</v>
      </c>
      <c r="AB50" s="376" t="s">
        <v>266</v>
      </c>
      <c r="AC50" s="376" t="s">
        <v>267</v>
      </c>
      <c r="AD50" s="376" t="s">
        <v>268</v>
      </c>
      <c r="AE50" s="376" t="s">
        <v>259</v>
      </c>
      <c r="AF50" s="376" t="s">
        <v>231</v>
      </c>
      <c r="AG50" s="376" t="s">
        <v>178</v>
      </c>
      <c r="AH50" s="381">
        <v>28.71</v>
      </c>
      <c r="AI50" s="381">
        <v>17787.8</v>
      </c>
      <c r="AJ50" s="376" t="s">
        <v>179</v>
      </c>
      <c r="AK50" s="376" t="s">
        <v>180</v>
      </c>
      <c r="AL50" s="376" t="s">
        <v>181</v>
      </c>
      <c r="AM50" s="376" t="s">
        <v>182</v>
      </c>
      <c r="AN50" s="376" t="s">
        <v>68</v>
      </c>
      <c r="AO50" s="379">
        <v>80</v>
      </c>
      <c r="AP50" s="384">
        <v>1</v>
      </c>
      <c r="AQ50" s="384">
        <v>1</v>
      </c>
      <c r="AR50" s="382" t="s">
        <v>183</v>
      </c>
      <c r="AS50" s="386">
        <f t="shared" si="27"/>
        <v>1</v>
      </c>
      <c r="AT50">
        <f t="shared" si="28"/>
        <v>1</v>
      </c>
      <c r="AU50" s="386">
        <f>IF(AT50=0,"",IF(AND(AT50=1,M50="F",SUMIF(C2:C84,C50,AS2:AS84)&lt;=1),SUMIF(C2:C84,C50,AS2:AS84),IF(AND(AT50=1,M50="F",SUMIF(C2:C84,C50,AS2:AS84)&gt;1),1,"")))</f>
        <v>1</v>
      </c>
      <c r="AV50" s="386" t="str">
        <f>IF(AT50=0,"",IF(AND(AT50=3,M50="F",SUMIF(C2:C84,C50,AS2:AS84)&lt;=1),SUMIF(C2:C84,C50,AS2:AS84),IF(AND(AT50=3,M50="F",SUMIF(C2:C84,C50,AS2:AS84)&gt;1),1,"")))</f>
        <v/>
      </c>
      <c r="AW50" s="386">
        <f>SUMIF(C2:C84,C50,O2:O84)</f>
        <v>2</v>
      </c>
      <c r="AX50" s="386">
        <f>IF(AND(M50="F",AS50&lt;&gt;0),SUMIF(C2:C84,C50,W2:W84),0)</f>
        <v>59716.800000000003</v>
      </c>
      <c r="AY50" s="386">
        <f t="shared" si="29"/>
        <v>59716.800000000003</v>
      </c>
      <c r="AZ50" s="386" t="str">
        <f t="shared" si="30"/>
        <v/>
      </c>
      <c r="BA50" s="386">
        <f t="shared" si="31"/>
        <v>0</v>
      </c>
      <c r="BB50" s="386">
        <f t="shared" si="44"/>
        <v>11650</v>
      </c>
      <c r="BC50" s="386">
        <f t="shared" si="45"/>
        <v>0</v>
      </c>
      <c r="BD50" s="386">
        <f t="shared" si="46"/>
        <v>3702.4416000000001</v>
      </c>
      <c r="BE50" s="386">
        <f t="shared" si="47"/>
        <v>865.89360000000011</v>
      </c>
      <c r="BF50" s="386">
        <f t="shared" si="48"/>
        <v>7130.1859200000008</v>
      </c>
      <c r="BG50" s="386">
        <f t="shared" si="49"/>
        <v>430.55812800000001</v>
      </c>
      <c r="BH50" s="386">
        <f t="shared" si="50"/>
        <v>292.61232000000001</v>
      </c>
      <c r="BI50" s="386">
        <f t="shared" si="51"/>
        <v>330.532488</v>
      </c>
      <c r="BJ50" s="386">
        <f t="shared" si="52"/>
        <v>262.75392000000005</v>
      </c>
      <c r="BK50" s="386">
        <f t="shared" si="53"/>
        <v>0</v>
      </c>
      <c r="BL50" s="386">
        <f t="shared" si="32"/>
        <v>13014.977976000002</v>
      </c>
      <c r="BM50" s="386">
        <f t="shared" si="33"/>
        <v>0</v>
      </c>
      <c r="BN50" s="386">
        <f t="shared" si="54"/>
        <v>11650</v>
      </c>
      <c r="BO50" s="386">
        <f t="shared" si="55"/>
        <v>0</v>
      </c>
      <c r="BP50" s="386">
        <f t="shared" si="56"/>
        <v>3702.4416000000001</v>
      </c>
      <c r="BQ50" s="386">
        <f t="shared" si="57"/>
        <v>865.89360000000011</v>
      </c>
      <c r="BR50" s="386">
        <f t="shared" si="58"/>
        <v>7130.1859200000008</v>
      </c>
      <c r="BS50" s="386">
        <f t="shared" si="59"/>
        <v>430.55812800000001</v>
      </c>
      <c r="BT50" s="386">
        <f t="shared" si="60"/>
        <v>0</v>
      </c>
      <c r="BU50" s="386">
        <f t="shared" si="61"/>
        <v>330.532488</v>
      </c>
      <c r="BV50" s="386">
        <f t="shared" si="62"/>
        <v>268.72559999999999</v>
      </c>
      <c r="BW50" s="386">
        <f t="shared" si="63"/>
        <v>0</v>
      </c>
      <c r="BX50" s="386">
        <f t="shared" si="34"/>
        <v>12728.337336000002</v>
      </c>
      <c r="BY50" s="386">
        <f t="shared" si="35"/>
        <v>0</v>
      </c>
      <c r="BZ50" s="386">
        <f t="shared" si="36"/>
        <v>0</v>
      </c>
      <c r="CA50" s="386">
        <f t="shared" si="37"/>
        <v>0</v>
      </c>
      <c r="CB50" s="386">
        <f t="shared" si="38"/>
        <v>0</v>
      </c>
      <c r="CC50" s="386">
        <f t="shared" si="64"/>
        <v>0</v>
      </c>
      <c r="CD50" s="386">
        <f t="shared" si="65"/>
        <v>0</v>
      </c>
      <c r="CE50" s="386">
        <f t="shared" si="66"/>
        <v>0</v>
      </c>
      <c r="CF50" s="386">
        <f t="shared" si="67"/>
        <v>-292.61232000000001</v>
      </c>
      <c r="CG50" s="386">
        <f t="shared" si="68"/>
        <v>0</v>
      </c>
      <c r="CH50" s="386">
        <f t="shared" si="69"/>
        <v>5.9716799999999646</v>
      </c>
      <c r="CI50" s="386">
        <f t="shared" si="70"/>
        <v>0</v>
      </c>
      <c r="CJ50" s="386">
        <f t="shared" si="39"/>
        <v>-286.64064000000002</v>
      </c>
      <c r="CK50" s="386" t="str">
        <f t="shared" si="40"/>
        <v/>
      </c>
      <c r="CL50" s="386" t="str">
        <f t="shared" si="41"/>
        <v/>
      </c>
      <c r="CM50" s="386" t="str">
        <f t="shared" si="42"/>
        <v/>
      </c>
      <c r="CN50" s="386" t="str">
        <f t="shared" si="43"/>
        <v>0348-00</v>
      </c>
    </row>
    <row r="51" spans="1:92" ht="15.75" thickBot="1" x14ac:dyDescent="0.3">
      <c r="A51" s="376" t="s">
        <v>161</v>
      </c>
      <c r="B51" s="376" t="s">
        <v>162</v>
      </c>
      <c r="C51" s="376" t="s">
        <v>269</v>
      </c>
      <c r="D51" s="376" t="s">
        <v>258</v>
      </c>
      <c r="E51" s="376" t="s">
        <v>417</v>
      </c>
      <c r="F51" s="377" t="s">
        <v>166</v>
      </c>
      <c r="G51" s="376" t="s">
        <v>167</v>
      </c>
      <c r="H51" s="378"/>
      <c r="I51" s="378"/>
      <c r="J51" s="376" t="s">
        <v>168</v>
      </c>
      <c r="K51" s="376" t="s">
        <v>259</v>
      </c>
      <c r="L51" s="376" t="s">
        <v>226</v>
      </c>
      <c r="M51" s="376" t="s">
        <v>171</v>
      </c>
      <c r="N51" s="376" t="s">
        <v>172</v>
      </c>
      <c r="O51" s="379">
        <v>1</v>
      </c>
      <c r="P51" s="384">
        <v>1</v>
      </c>
      <c r="Q51" s="384">
        <v>1</v>
      </c>
      <c r="R51" s="380">
        <v>80</v>
      </c>
      <c r="S51" s="384">
        <v>1</v>
      </c>
      <c r="T51" s="380">
        <v>49385.27</v>
      </c>
      <c r="U51" s="380">
        <v>0</v>
      </c>
      <c r="V51" s="380">
        <v>20702.63</v>
      </c>
      <c r="W51" s="380">
        <v>55619.199999999997</v>
      </c>
      <c r="X51" s="380">
        <v>23772.18</v>
      </c>
      <c r="Y51" s="380">
        <v>55619.199999999997</v>
      </c>
      <c r="Z51" s="380">
        <v>23505.21</v>
      </c>
      <c r="AA51" s="376" t="s">
        <v>270</v>
      </c>
      <c r="AB51" s="376" t="s">
        <v>271</v>
      </c>
      <c r="AC51" s="376" t="s">
        <v>272</v>
      </c>
      <c r="AD51" s="376" t="s">
        <v>273</v>
      </c>
      <c r="AE51" s="376" t="s">
        <v>259</v>
      </c>
      <c r="AF51" s="376" t="s">
        <v>231</v>
      </c>
      <c r="AG51" s="376" t="s">
        <v>178</v>
      </c>
      <c r="AH51" s="381">
        <v>26.74</v>
      </c>
      <c r="AI51" s="381">
        <v>22548.3</v>
      </c>
      <c r="AJ51" s="376" t="s">
        <v>179</v>
      </c>
      <c r="AK51" s="376" t="s">
        <v>180</v>
      </c>
      <c r="AL51" s="376" t="s">
        <v>181</v>
      </c>
      <c r="AM51" s="376" t="s">
        <v>182</v>
      </c>
      <c r="AN51" s="376" t="s">
        <v>68</v>
      </c>
      <c r="AO51" s="379">
        <v>80</v>
      </c>
      <c r="AP51" s="384">
        <v>1</v>
      </c>
      <c r="AQ51" s="384">
        <v>1</v>
      </c>
      <c r="AR51" s="382" t="s">
        <v>183</v>
      </c>
      <c r="AS51" s="386">
        <f t="shared" si="27"/>
        <v>1</v>
      </c>
      <c r="AT51">
        <f t="shared" si="28"/>
        <v>1</v>
      </c>
      <c r="AU51" s="386">
        <f>IF(AT51=0,"",IF(AND(AT51=1,M51="F",SUMIF(C2:C84,C51,AS2:AS84)&lt;=1),SUMIF(C2:C84,C51,AS2:AS84),IF(AND(AT51=1,M51="F",SUMIF(C2:C84,C51,AS2:AS84)&gt;1),1,"")))</f>
        <v>1</v>
      </c>
      <c r="AV51" s="386" t="str">
        <f>IF(AT51=0,"",IF(AND(AT51=3,M51="F",SUMIF(C2:C84,C51,AS2:AS84)&lt;=1),SUMIF(C2:C84,C51,AS2:AS84),IF(AND(AT51=3,M51="F",SUMIF(C2:C84,C51,AS2:AS84)&gt;1),1,"")))</f>
        <v/>
      </c>
      <c r="AW51" s="386">
        <f>SUMIF(C2:C84,C51,O2:O84)</f>
        <v>2</v>
      </c>
      <c r="AX51" s="386">
        <f>IF(AND(M51="F",AS51&lt;&gt;0),SUMIF(C2:C84,C51,W2:W84),0)</f>
        <v>55619.199999999997</v>
      </c>
      <c r="AY51" s="386">
        <f t="shared" si="29"/>
        <v>55619.199999999997</v>
      </c>
      <c r="AZ51" s="386" t="str">
        <f t="shared" si="30"/>
        <v/>
      </c>
      <c r="BA51" s="386">
        <f t="shared" si="31"/>
        <v>0</v>
      </c>
      <c r="BB51" s="386">
        <f t="shared" si="44"/>
        <v>11650</v>
      </c>
      <c r="BC51" s="386">
        <f t="shared" si="45"/>
        <v>0</v>
      </c>
      <c r="BD51" s="386">
        <f t="shared" si="46"/>
        <v>3448.3903999999998</v>
      </c>
      <c r="BE51" s="386">
        <f t="shared" si="47"/>
        <v>806.47839999999997</v>
      </c>
      <c r="BF51" s="386">
        <f t="shared" si="48"/>
        <v>6640.9324800000004</v>
      </c>
      <c r="BG51" s="386">
        <f t="shared" si="49"/>
        <v>401.014432</v>
      </c>
      <c r="BH51" s="386">
        <f t="shared" si="50"/>
        <v>272.53407999999996</v>
      </c>
      <c r="BI51" s="386">
        <f t="shared" si="51"/>
        <v>307.85227199999997</v>
      </c>
      <c r="BJ51" s="386">
        <f t="shared" si="52"/>
        <v>244.72448</v>
      </c>
      <c r="BK51" s="386">
        <f t="shared" si="53"/>
        <v>0</v>
      </c>
      <c r="BL51" s="386">
        <f t="shared" si="32"/>
        <v>12121.926544</v>
      </c>
      <c r="BM51" s="386">
        <f t="shared" si="33"/>
        <v>0</v>
      </c>
      <c r="BN51" s="386">
        <f t="shared" si="54"/>
        <v>11650</v>
      </c>
      <c r="BO51" s="386">
        <f t="shared" si="55"/>
        <v>0</v>
      </c>
      <c r="BP51" s="386">
        <f t="shared" si="56"/>
        <v>3448.3903999999998</v>
      </c>
      <c r="BQ51" s="386">
        <f t="shared" si="57"/>
        <v>806.47839999999997</v>
      </c>
      <c r="BR51" s="386">
        <f t="shared" si="58"/>
        <v>6640.9324800000004</v>
      </c>
      <c r="BS51" s="386">
        <f t="shared" si="59"/>
        <v>401.014432</v>
      </c>
      <c r="BT51" s="386">
        <f t="shared" si="60"/>
        <v>0</v>
      </c>
      <c r="BU51" s="386">
        <f t="shared" si="61"/>
        <v>307.85227199999997</v>
      </c>
      <c r="BV51" s="386">
        <f t="shared" si="62"/>
        <v>250.28639999999996</v>
      </c>
      <c r="BW51" s="386">
        <f t="shared" si="63"/>
        <v>0</v>
      </c>
      <c r="BX51" s="386">
        <f t="shared" si="34"/>
        <v>11854.954384000001</v>
      </c>
      <c r="BY51" s="386">
        <f t="shared" si="35"/>
        <v>0</v>
      </c>
      <c r="BZ51" s="386">
        <f t="shared" si="36"/>
        <v>0</v>
      </c>
      <c r="CA51" s="386">
        <f t="shared" si="37"/>
        <v>0</v>
      </c>
      <c r="CB51" s="386">
        <f t="shared" si="38"/>
        <v>0</v>
      </c>
      <c r="CC51" s="386">
        <f t="shared" si="64"/>
        <v>0</v>
      </c>
      <c r="CD51" s="386">
        <f t="shared" si="65"/>
        <v>0</v>
      </c>
      <c r="CE51" s="386">
        <f t="shared" si="66"/>
        <v>0</v>
      </c>
      <c r="CF51" s="386">
        <f t="shared" si="67"/>
        <v>-272.53407999999996</v>
      </c>
      <c r="CG51" s="386">
        <f t="shared" si="68"/>
        <v>0</v>
      </c>
      <c r="CH51" s="386">
        <f t="shared" si="69"/>
        <v>5.561919999999966</v>
      </c>
      <c r="CI51" s="386">
        <f t="shared" si="70"/>
        <v>0</v>
      </c>
      <c r="CJ51" s="386">
        <f t="shared" si="39"/>
        <v>-266.97215999999997</v>
      </c>
      <c r="CK51" s="386" t="str">
        <f t="shared" si="40"/>
        <v/>
      </c>
      <c r="CL51" s="386" t="str">
        <f t="shared" si="41"/>
        <v/>
      </c>
      <c r="CM51" s="386" t="str">
        <f t="shared" si="42"/>
        <v/>
      </c>
      <c r="CN51" s="386" t="str">
        <f t="shared" si="43"/>
        <v>0348-00</v>
      </c>
    </row>
    <row r="52" spans="1:92" ht="15.75" thickBot="1" x14ac:dyDescent="0.3">
      <c r="A52" s="376" t="s">
        <v>161</v>
      </c>
      <c r="B52" s="376" t="s">
        <v>162</v>
      </c>
      <c r="C52" s="376" t="s">
        <v>274</v>
      </c>
      <c r="D52" s="376" t="s">
        <v>258</v>
      </c>
      <c r="E52" s="376" t="s">
        <v>417</v>
      </c>
      <c r="F52" s="377" t="s">
        <v>166</v>
      </c>
      <c r="G52" s="376" t="s">
        <v>167</v>
      </c>
      <c r="H52" s="378"/>
      <c r="I52" s="378"/>
      <c r="J52" s="376" t="s">
        <v>168</v>
      </c>
      <c r="K52" s="376" t="s">
        <v>259</v>
      </c>
      <c r="L52" s="376" t="s">
        <v>226</v>
      </c>
      <c r="M52" s="376" t="s">
        <v>171</v>
      </c>
      <c r="N52" s="376" t="s">
        <v>172</v>
      </c>
      <c r="O52" s="379">
        <v>1</v>
      </c>
      <c r="P52" s="384">
        <v>1</v>
      </c>
      <c r="Q52" s="384">
        <v>1</v>
      </c>
      <c r="R52" s="380">
        <v>80</v>
      </c>
      <c r="S52" s="384">
        <v>1</v>
      </c>
      <c r="T52" s="380">
        <v>50808.31</v>
      </c>
      <c r="U52" s="380">
        <v>0</v>
      </c>
      <c r="V52" s="380">
        <v>21376.51</v>
      </c>
      <c r="W52" s="380">
        <v>59321.599999999999</v>
      </c>
      <c r="X52" s="380">
        <v>24579.1</v>
      </c>
      <c r="Y52" s="380">
        <v>59321.599999999999</v>
      </c>
      <c r="Z52" s="380">
        <v>24294.36</v>
      </c>
      <c r="AA52" s="376" t="s">
        <v>275</v>
      </c>
      <c r="AB52" s="376" t="s">
        <v>276</v>
      </c>
      <c r="AC52" s="376" t="s">
        <v>277</v>
      </c>
      <c r="AD52" s="376" t="s">
        <v>199</v>
      </c>
      <c r="AE52" s="376" t="s">
        <v>259</v>
      </c>
      <c r="AF52" s="376" t="s">
        <v>231</v>
      </c>
      <c r="AG52" s="376" t="s">
        <v>178</v>
      </c>
      <c r="AH52" s="381">
        <v>28.52</v>
      </c>
      <c r="AI52" s="379">
        <v>47222</v>
      </c>
      <c r="AJ52" s="376" t="s">
        <v>179</v>
      </c>
      <c r="AK52" s="376" t="s">
        <v>180</v>
      </c>
      <c r="AL52" s="376" t="s">
        <v>181</v>
      </c>
      <c r="AM52" s="376" t="s">
        <v>182</v>
      </c>
      <c r="AN52" s="376" t="s">
        <v>68</v>
      </c>
      <c r="AO52" s="379">
        <v>80</v>
      </c>
      <c r="AP52" s="384">
        <v>1</v>
      </c>
      <c r="AQ52" s="384">
        <v>1</v>
      </c>
      <c r="AR52" s="382" t="s">
        <v>183</v>
      </c>
      <c r="AS52" s="386">
        <f t="shared" si="27"/>
        <v>1</v>
      </c>
      <c r="AT52">
        <f t="shared" si="28"/>
        <v>1</v>
      </c>
      <c r="AU52" s="386">
        <f>IF(AT52=0,"",IF(AND(AT52=1,M52="F",SUMIF(C2:C84,C52,AS2:AS84)&lt;=1),SUMIF(C2:C84,C52,AS2:AS84),IF(AND(AT52=1,M52="F",SUMIF(C2:C84,C52,AS2:AS84)&gt;1),1,"")))</f>
        <v>1</v>
      </c>
      <c r="AV52" s="386" t="str">
        <f>IF(AT52=0,"",IF(AND(AT52=3,M52="F",SUMIF(C2:C84,C52,AS2:AS84)&lt;=1),SUMIF(C2:C84,C52,AS2:AS84),IF(AND(AT52=3,M52="F",SUMIF(C2:C84,C52,AS2:AS84)&gt;1),1,"")))</f>
        <v/>
      </c>
      <c r="AW52" s="386">
        <f>SUMIF(C2:C84,C52,O2:O84)</f>
        <v>2</v>
      </c>
      <c r="AX52" s="386">
        <f>IF(AND(M52="F",AS52&lt;&gt;0),SUMIF(C2:C84,C52,W2:W84),0)</f>
        <v>59321.599999999999</v>
      </c>
      <c r="AY52" s="386">
        <f t="shared" si="29"/>
        <v>59321.599999999999</v>
      </c>
      <c r="AZ52" s="386" t="str">
        <f t="shared" si="30"/>
        <v/>
      </c>
      <c r="BA52" s="386">
        <f t="shared" si="31"/>
        <v>0</v>
      </c>
      <c r="BB52" s="386">
        <f t="shared" si="44"/>
        <v>11650</v>
      </c>
      <c r="BC52" s="386">
        <f t="shared" si="45"/>
        <v>0</v>
      </c>
      <c r="BD52" s="386">
        <f t="shared" si="46"/>
        <v>3677.9391999999998</v>
      </c>
      <c r="BE52" s="386">
        <f t="shared" si="47"/>
        <v>860.16320000000007</v>
      </c>
      <c r="BF52" s="386">
        <f t="shared" si="48"/>
        <v>7082.9990400000006</v>
      </c>
      <c r="BG52" s="386">
        <f t="shared" si="49"/>
        <v>427.70873599999999</v>
      </c>
      <c r="BH52" s="386">
        <f t="shared" si="50"/>
        <v>290.67583999999999</v>
      </c>
      <c r="BI52" s="386">
        <f t="shared" si="51"/>
        <v>328.345056</v>
      </c>
      <c r="BJ52" s="386">
        <f t="shared" si="52"/>
        <v>261.01504</v>
      </c>
      <c r="BK52" s="386">
        <f t="shared" si="53"/>
        <v>0</v>
      </c>
      <c r="BL52" s="386">
        <f t="shared" si="32"/>
        <v>12928.846112000001</v>
      </c>
      <c r="BM52" s="386">
        <f t="shared" si="33"/>
        <v>0</v>
      </c>
      <c r="BN52" s="386">
        <f t="shared" si="54"/>
        <v>11650</v>
      </c>
      <c r="BO52" s="386">
        <f t="shared" si="55"/>
        <v>0</v>
      </c>
      <c r="BP52" s="386">
        <f t="shared" si="56"/>
        <v>3677.9391999999998</v>
      </c>
      <c r="BQ52" s="386">
        <f t="shared" si="57"/>
        <v>860.16320000000007</v>
      </c>
      <c r="BR52" s="386">
        <f t="shared" si="58"/>
        <v>7082.9990400000006</v>
      </c>
      <c r="BS52" s="386">
        <f t="shared" si="59"/>
        <v>427.70873599999999</v>
      </c>
      <c r="BT52" s="386">
        <f t="shared" si="60"/>
        <v>0</v>
      </c>
      <c r="BU52" s="386">
        <f t="shared" si="61"/>
        <v>328.345056</v>
      </c>
      <c r="BV52" s="386">
        <f t="shared" si="62"/>
        <v>266.94719999999995</v>
      </c>
      <c r="BW52" s="386">
        <f t="shared" si="63"/>
        <v>0</v>
      </c>
      <c r="BX52" s="386">
        <f t="shared" si="34"/>
        <v>12644.102432000001</v>
      </c>
      <c r="BY52" s="386">
        <f t="shared" si="35"/>
        <v>0</v>
      </c>
      <c r="BZ52" s="386">
        <f t="shared" si="36"/>
        <v>0</v>
      </c>
      <c r="CA52" s="386">
        <f t="shared" si="37"/>
        <v>0</v>
      </c>
      <c r="CB52" s="386">
        <f t="shared" si="38"/>
        <v>0</v>
      </c>
      <c r="CC52" s="386">
        <f t="shared" si="64"/>
        <v>0</v>
      </c>
      <c r="CD52" s="386">
        <f t="shared" si="65"/>
        <v>0</v>
      </c>
      <c r="CE52" s="386">
        <f t="shared" si="66"/>
        <v>0</v>
      </c>
      <c r="CF52" s="386">
        <f t="shared" si="67"/>
        <v>-290.67583999999999</v>
      </c>
      <c r="CG52" s="386">
        <f t="shared" si="68"/>
        <v>0</v>
      </c>
      <c r="CH52" s="386">
        <f t="shared" si="69"/>
        <v>5.9321599999999641</v>
      </c>
      <c r="CI52" s="386">
        <f t="shared" si="70"/>
        <v>0</v>
      </c>
      <c r="CJ52" s="386">
        <f t="shared" si="39"/>
        <v>-284.74368000000004</v>
      </c>
      <c r="CK52" s="386" t="str">
        <f t="shared" si="40"/>
        <v/>
      </c>
      <c r="CL52" s="386" t="str">
        <f t="shared" si="41"/>
        <v/>
      </c>
      <c r="CM52" s="386" t="str">
        <f t="shared" si="42"/>
        <v/>
      </c>
      <c r="CN52" s="386" t="str">
        <f t="shared" si="43"/>
        <v>0348-00</v>
      </c>
    </row>
    <row r="53" spans="1:92" ht="15.75" thickBot="1" x14ac:dyDescent="0.3">
      <c r="A53" s="376" t="s">
        <v>161</v>
      </c>
      <c r="B53" s="376" t="s">
        <v>162</v>
      </c>
      <c r="C53" s="376" t="s">
        <v>278</v>
      </c>
      <c r="D53" s="376" t="s">
        <v>258</v>
      </c>
      <c r="E53" s="376" t="s">
        <v>417</v>
      </c>
      <c r="F53" s="377" t="s">
        <v>166</v>
      </c>
      <c r="G53" s="376" t="s">
        <v>167</v>
      </c>
      <c r="H53" s="378"/>
      <c r="I53" s="378"/>
      <c r="J53" s="376" t="s">
        <v>168</v>
      </c>
      <c r="K53" s="376" t="s">
        <v>259</v>
      </c>
      <c r="L53" s="376" t="s">
        <v>226</v>
      </c>
      <c r="M53" s="376" t="s">
        <v>171</v>
      </c>
      <c r="N53" s="376" t="s">
        <v>172</v>
      </c>
      <c r="O53" s="379">
        <v>1</v>
      </c>
      <c r="P53" s="384">
        <v>1</v>
      </c>
      <c r="Q53" s="384">
        <v>1</v>
      </c>
      <c r="R53" s="380">
        <v>80</v>
      </c>
      <c r="S53" s="384">
        <v>1</v>
      </c>
      <c r="T53" s="380">
        <v>52370.48</v>
      </c>
      <c r="U53" s="380">
        <v>0</v>
      </c>
      <c r="V53" s="380">
        <v>21607.8</v>
      </c>
      <c r="W53" s="380">
        <v>58884.800000000003</v>
      </c>
      <c r="X53" s="380">
        <v>24483.9</v>
      </c>
      <c r="Y53" s="380">
        <v>58884.800000000003</v>
      </c>
      <c r="Z53" s="380">
        <v>24201.26</v>
      </c>
      <c r="AA53" s="376" t="s">
        <v>279</v>
      </c>
      <c r="AB53" s="376" t="s">
        <v>280</v>
      </c>
      <c r="AC53" s="376" t="s">
        <v>281</v>
      </c>
      <c r="AD53" s="376" t="s">
        <v>282</v>
      </c>
      <c r="AE53" s="376" t="s">
        <v>259</v>
      </c>
      <c r="AF53" s="376" t="s">
        <v>231</v>
      </c>
      <c r="AG53" s="376" t="s">
        <v>178</v>
      </c>
      <c r="AH53" s="381">
        <v>28.31</v>
      </c>
      <c r="AI53" s="381">
        <v>28669.9</v>
      </c>
      <c r="AJ53" s="376" t="s">
        <v>179</v>
      </c>
      <c r="AK53" s="376" t="s">
        <v>180</v>
      </c>
      <c r="AL53" s="376" t="s">
        <v>181</v>
      </c>
      <c r="AM53" s="376" t="s">
        <v>182</v>
      </c>
      <c r="AN53" s="376" t="s">
        <v>68</v>
      </c>
      <c r="AO53" s="379">
        <v>80</v>
      </c>
      <c r="AP53" s="384">
        <v>1</v>
      </c>
      <c r="AQ53" s="384">
        <v>1</v>
      </c>
      <c r="AR53" s="382" t="s">
        <v>183</v>
      </c>
      <c r="AS53" s="386">
        <f t="shared" si="27"/>
        <v>1</v>
      </c>
      <c r="AT53">
        <f t="shared" si="28"/>
        <v>1</v>
      </c>
      <c r="AU53" s="386">
        <f>IF(AT53=0,"",IF(AND(AT53=1,M53="F",SUMIF(C2:C84,C53,AS2:AS84)&lt;=1),SUMIF(C2:C84,C53,AS2:AS84),IF(AND(AT53=1,M53="F",SUMIF(C2:C84,C53,AS2:AS84)&gt;1),1,"")))</f>
        <v>1</v>
      </c>
      <c r="AV53" s="386" t="str">
        <f>IF(AT53=0,"",IF(AND(AT53=3,M53="F",SUMIF(C2:C84,C53,AS2:AS84)&lt;=1),SUMIF(C2:C84,C53,AS2:AS84),IF(AND(AT53=3,M53="F",SUMIF(C2:C84,C53,AS2:AS84)&gt;1),1,"")))</f>
        <v/>
      </c>
      <c r="AW53" s="386">
        <f>SUMIF(C2:C84,C53,O2:O84)</f>
        <v>2</v>
      </c>
      <c r="AX53" s="386">
        <f>IF(AND(M53="F",AS53&lt;&gt;0),SUMIF(C2:C84,C53,W2:W84),0)</f>
        <v>58884.800000000003</v>
      </c>
      <c r="AY53" s="386">
        <f t="shared" si="29"/>
        <v>58884.800000000003</v>
      </c>
      <c r="AZ53" s="386" t="str">
        <f t="shared" si="30"/>
        <v/>
      </c>
      <c r="BA53" s="386">
        <f t="shared" si="31"/>
        <v>0</v>
      </c>
      <c r="BB53" s="386">
        <f t="shared" si="44"/>
        <v>11650</v>
      </c>
      <c r="BC53" s="386">
        <f t="shared" si="45"/>
        <v>0</v>
      </c>
      <c r="BD53" s="386">
        <f t="shared" si="46"/>
        <v>3650.8576000000003</v>
      </c>
      <c r="BE53" s="386">
        <f t="shared" si="47"/>
        <v>853.82960000000014</v>
      </c>
      <c r="BF53" s="386">
        <f t="shared" si="48"/>
        <v>7030.8451200000009</v>
      </c>
      <c r="BG53" s="386">
        <f t="shared" si="49"/>
        <v>424.55940800000002</v>
      </c>
      <c r="BH53" s="386">
        <f t="shared" si="50"/>
        <v>288.53552000000002</v>
      </c>
      <c r="BI53" s="386">
        <f t="shared" si="51"/>
        <v>325.927368</v>
      </c>
      <c r="BJ53" s="386">
        <f t="shared" si="52"/>
        <v>259.09312000000006</v>
      </c>
      <c r="BK53" s="386">
        <f t="shared" si="53"/>
        <v>0</v>
      </c>
      <c r="BL53" s="386">
        <f t="shared" si="32"/>
        <v>12833.647736000001</v>
      </c>
      <c r="BM53" s="386">
        <f t="shared" si="33"/>
        <v>0</v>
      </c>
      <c r="BN53" s="386">
        <f t="shared" si="54"/>
        <v>11650</v>
      </c>
      <c r="BO53" s="386">
        <f t="shared" si="55"/>
        <v>0</v>
      </c>
      <c r="BP53" s="386">
        <f t="shared" si="56"/>
        <v>3650.8576000000003</v>
      </c>
      <c r="BQ53" s="386">
        <f t="shared" si="57"/>
        <v>853.82960000000014</v>
      </c>
      <c r="BR53" s="386">
        <f t="shared" si="58"/>
        <v>7030.8451200000009</v>
      </c>
      <c r="BS53" s="386">
        <f t="shared" si="59"/>
        <v>424.55940800000002</v>
      </c>
      <c r="BT53" s="386">
        <f t="shared" si="60"/>
        <v>0</v>
      </c>
      <c r="BU53" s="386">
        <f t="shared" si="61"/>
        <v>325.927368</v>
      </c>
      <c r="BV53" s="386">
        <f t="shared" si="62"/>
        <v>264.98160000000001</v>
      </c>
      <c r="BW53" s="386">
        <f t="shared" si="63"/>
        <v>0</v>
      </c>
      <c r="BX53" s="386">
        <f t="shared" si="34"/>
        <v>12551.000696000001</v>
      </c>
      <c r="BY53" s="386">
        <f t="shared" si="35"/>
        <v>0</v>
      </c>
      <c r="BZ53" s="386">
        <f t="shared" si="36"/>
        <v>0</v>
      </c>
      <c r="CA53" s="386">
        <f t="shared" si="37"/>
        <v>0</v>
      </c>
      <c r="CB53" s="386">
        <f t="shared" si="38"/>
        <v>0</v>
      </c>
      <c r="CC53" s="386">
        <f t="shared" si="64"/>
        <v>0</v>
      </c>
      <c r="CD53" s="386">
        <f t="shared" si="65"/>
        <v>0</v>
      </c>
      <c r="CE53" s="386">
        <f t="shared" si="66"/>
        <v>0</v>
      </c>
      <c r="CF53" s="386">
        <f t="shared" si="67"/>
        <v>-288.53552000000002</v>
      </c>
      <c r="CG53" s="386">
        <f t="shared" si="68"/>
        <v>0</v>
      </c>
      <c r="CH53" s="386">
        <f t="shared" si="69"/>
        <v>5.8884799999999649</v>
      </c>
      <c r="CI53" s="386">
        <f t="shared" si="70"/>
        <v>0</v>
      </c>
      <c r="CJ53" s="386">
        <f t="shared" si="39"/>
        <v>-282.64704000000006</v>
      </c>
      <c r="CK53" s="386" t="str">
        <f t="shared" si="40"/>
        <v/>
      </c>
      <c r="CL53" s="386" t="str">
        <f t="shared" si="41"/>
        <v/>
      </c>
      <c r="CM53" s="386" t="str">
        <f t="shared" si="42"/>
        <v/>
      </c>
      <c r="CN53" s="386" t="str">
        <f t="shared" si="43"/>
        <v>0348-00</v>
      </c>
    </row>
    <row r="54" spans="1:92" ht="15.75" thickBot="1" x14ac:dyDescent="0.3">
      <c r="A54" s="376" t="s">
        <v>161</v>
      </c>
      <c r="B54" s="376" t="s">
        <v>162</v>
      </c>
      <c r="C54" s="376" t="s">
        <v>283</v>
      </c>
      <c r="D54" s="376" t="s">
        <v>284</v>
      </c>
      <c r="E54" s="376" t="s">
        <v>417</v>
      </c>
      <c r="F54" s="377" t="s">
        <v>166</v>
      </c>
      <c r="G54" s="376" t="s">
        <v>167</v>
      </c>
      <c r="H54" s="378"/>
      <c r="I54" s="378"/>
      <c r="J54" s="376" t="s">
        <v>218</v>
      </c>
      <c r="K54" s="376" t="s">
        <v>285</v>
      </c>
      <c r="L54" s="376" t="s">
        <v>187</v>
      </c>
      <c r="M54" s="376" t="s">
        <v>171</v>
      </c>
      <c r="N54" s="376" t="s">
        <v>172</v>
      </c>
      <c r="O54" s="379">
        <v>1</v>
      </c>
      <c r="P54" s="384">
        <v>1</v>
      </c>
      <c r="Q54" s="384">
        <v>1</v>
      </c>
      <c r="R54" s="380">
        <v>80</v>
      </c>
      <c r="S54" s="384">
        <v>1</v>
      </c>
      <c r="T54" s="380">
        <v>35526.46</v>
      </c>
      <c r="U54" s="380">
        <v>0</v>
      </c>
      <c r="V54" s="380">
        <v>18249.82</v>
      </c>
      <c r="W54" s="380">
        <v>40081.599999999999</v>
      </c>
      <c r="X54" s="380">
        <v>20385.740000000002</v>
      </c>
      <c r="Y54" s="380">
        <v>40081.599999999999</v>
      </c>
      <c r="Z54" s="380">
        <v>20193.36</v>
      </c>
      <c r="AA54" s="376" t="s">
        <v>286</v>
      </c>
      <c r="AB54" s="376" t="s">
        <v>287</v>
      </c>
      <c r="AC54" s="376" t="s">
        <v>288</v>
      </c>
      <c r="AD54" s="376" t="s">
        <v>289</v>
      </c>
      <c r="AE54" s="376" t="s">
        <v>285</v>
      </c>
      <c r="AF54" s="376" t="s">
        <v>192</v>
      </c>
      <c r="AG54" s="376" t="s">
        <v>178</v>
      </c>
      <c r="AH54" s="381">
        <v>19.27</v>
      </c>
      <c r="AI54" s="381">
        <v>59088.1</v>
      </c>
      <c r="AJ54" s="376" t="s">
        <v>179</v>
      </c>
      <c r="AK54" s="376" t="s">
        <v>180</v>
      </c>
      <c r="AL54" s="376" t="s">
        <v>181</v>
      </c>
      <c r="AM54" s="376" t="s">
        <v>182</v>
      </c>
      <c r="AN54" s="376" t="s">
        <v>68</v>
      </c>
      <c r="AO54" s="379">
        <v>80</v>
      </c>
      <c r="AP54" s="384">
        <v>1</v>
      </c>
      <c r="AQ54" s="384">
        <v>1</v>
      </c>
      <c r="AR54" s="382" t="s">
        <v>183</v>
      </c>
      <c r="AS54" s="386">
        <f t="shared" si="27"/>
        <v>1</v>
      </c>
      <c r="AT54">
        <f t="shared" si="28"/>
        <v>1</v>
      </c>
      <c r="AU54" s="386">
        <f>IF(AT54=0,"",IF(AND(AT54=1,M54="F",SUMIF(C2:C84,C54,AS2:AS84)&lt;=1),SUMIF(C2:C84,C54,AS2:AS84),IF(AND(AT54=1,M54="F",SUMIF(C2:C84,C54,AS2:AS84)&gt;1),1,"")))</f>
        <v>1</v>
      </c>
      <c r="AV54" s="386" t="str">
        <f>IF(AT54=0,"",IF(AND(AT54=3,M54="F",SUMIF(C2:C84,C54,AS2:AS84)&lt;=1),SUMIF(C2:C84,C54,AS2:AS84),IF(AND(AT54=3,M54="F",SUMIF(C2:C84,C54,AS2:AS84)&gt;1),1,"")))</f>
        <v/>
      </c>
      <c r="AW54" s="386">
        <f>SUMIF(C2:C84,C54,O2:O84)</f>
        <v>2</v>
      </c>
      <c r="AX54" s="386">
        <f>IF(AND(M54="F",AS54&lt;&gt;0),SUMIF(C2:C84,C54,W2:W84),0)</f>
        <v>40081.599999999999</v>
      </c>
      <c r="AY54" s="386">
        <f t="shared" si="29"/>
        <v>40081.599999999999</v>
      </c>
      <c r="AZ54" s="386" t="str">
        <f t="shared" si="30"/>
        <v/>
      </c>
      <c r="BA54" s="386">
        <f t="shared" si="31"/>
        <v>0</v>
      </c>
      <c r="BB54" s="386">
        <f t="shared" si="44"/>
        <v>11650</v>
      </c>
      <c r="BC54" s="386">
        <f t="shared" si="45"/>
        <v>0</v>
      </c>
      <c r="BD54" s="386">
        <f t="shared" si="46"/>
        <v>2485.0591999999997</v>
      </c>
      <c r="BE54" s="386">
        <f t="shared" si="47"/>
        <v>581.18320000000006</v>
      </c>
      <c r="BF54" s="386">
        <f t="shared" si="48"/>
        <v>4785.7430400000003</v>
      </c>
      <c r="BG54" s="386">
        <f t="shared" si="49"/>
        <v>288.988336</v>
      </c>
      <c r="BH54" s="386">
        <f t="shared" si="50"/>
        <v>196.39983999999998</v>
      </c>
      <c r="BI54" s="386">
        <f t="shared" si="51"/>
        <v>221.85165599999999</v>
      </c>
      <c r="BJ54" s="386">
        <f t="shared" si="52"/>
        <v>176.35903999999999</v>
      </c>
      <c r="BK54" s="386">
        <f t="shared" si="53"/>
        <v>0</v>
      </c>
      <c r="BL54" s="386">
        <f t="shared" si="32"/>
        <v>8735.5843120000009</v>
      </c>
      <c r="BM54" s="386">
        <f t="shared" si="33"/>
        <v>0</v>
      </c>
      <c r="BN54" s="386">
        <f t="shared" si="54"/>
        <v>11650</v>
      </c>
      <c r="BO54" s="386">
        <f t="shared" si="55"/>
        <v>0</v>
      </c>
      <c r="BP54" s="386">
        <f t="shared" si="56"/>
        <v>2485.0591999999997</v>
      </c>
      <c r="BQ54" s="386">
        <f t="shared" si="57"/>
        <v>581.18320000000006</v>
      </c>
      <c r="BR54" s="386">
        <f t="shared" si="58"/>
        <v>4785.7430400000003</v>
      </c>
      <c r="BS54" s="386">
        <f t="shared" si="59"/>
        <v>288.988336</v>
      </c>
      <c r="BT54" s="386">
        <f t="shared" si="60"/>
        <v>0</v>
      </c>
      <c r="BU54" s="386">
        <f t="shared" si="61"/>
        <v>221.85165599999999</v>
      </c>
      <c r="BV54" s="386">
        <f t="shared" si="62"/>
        <v>180.36719999999997</v>
      </c>
      <c r="BW54" s="386">
        <f t="shared" si="63"/>
        <v>0</v>
      </c>
      <c r="BX54" s="386">
        <f t="shared" si="34"/>
        <v>8543.192632000002</v>
      </c>
      <c r="BY54" s="386">
        <f t="shared" si="35"/>
        <v>0</v>
      </c>
      <c r="BZ54" s="386">
        <f t="shared" si="36"/>
        <v>0</v>
      </c>
      <c r="CA54" s="386">
        <f t="shared" si="37"/>
        <v>0</v>
      </c>
      <c r="CB54" s="386">
        <f t="shared" si="38"/>
        <v>0</v>
      </c>
      <c r="CC54" s="386">
        <f t="shared" si="64"/>
        <v>0</v>
      </c>
      <c r="CD54" s="386">
        <f t="shared" si="65"/>
        <v>0</v>
      </c>
      <c r="CE54" s="386">
        <f t="shared" si="66"/>
        <v>0</v>
      </c>
      <c r="CF54" s="386">
        <f t="shared" si="67"/>
        <v>-196.39983999999998</v>
      </c>
      <c r="CG54" s="386">
        <f t="shared" si="68"/>
        <v>0</v>
      </c>
      <c r="CH54" s="386">
        <f t="shared" si="69"/>
        <v>4.0081599999999753</v>
      </c>
      <c r="CI54" s="386">
        <f t="shared" si="70"/>
        <v>0</v>
      </c>
      <c r="CJ54" s="386">
        <f t="shared" si="39"/>
        <v>-192.39168000000001</v>
      </c>
      <c r="CK54" s="386" t="str">
        <f t="shared" si="40"/>
        <v/>
      </c>
      <c r="CL54" s="386" t="str">
        <f t="shared" si="41"/>
        <v/>
      </c>
      <c r="CM54" s="386" t="str">
        <f t="shared" si="42"/>
        <v/>
      </c>
      <c r="CN54" s="386" t="str">
        <f t="shared" si="43"/>
        <v>0348-00</v>
      </c>
    </row>
    <row r="55" spans="1:92" ht="15.75" thickBot="1" x14ac:dyDescent="0.3">
      <c r="A55" s="376" t="s">
        <v>161</v>
      </c>
      <c r="B55" s="376" t="s">
        <v>162</v>
      </c>
      <c r="C55" s="376" t="s">
        <v>290</v>
      </c>
      <c r="D55" s="376" t="s">
        <v>291</v>
      </c>
      <c r="E55" s="376" t="s">
        <v>417</v>
      </c>
      <c r="F55" s="377" t="s">
        <v>166</v>
      </c>
      <c r="G55" s="376" t="s">
        <v>167</v>
      </c>
      <c r="H55" s="378"/>
      <c r="I55" s="378"/>
      <c r="J55" s="376" t="s">
        <v>168</v>
      </c>
      <c r="K55" s="376" t="s">
        <v>292</v>
      </c>
      <c r="L55" s="376" t="s">
        <v>180</v>
      </c>
      <c r="M55" s="376" t="s">
        <v>171</v>
      </c>
      <c r="N55" s="376" t="s">
        <v>172</v>
      </c>
      <c r="O55" s="379">
        <v>1</v>
      </c>
      <c r="P55" s="384">
        <v>1</v>
      </c>
      <c r="Q55" s="384">
        <v>1</v>
      </c>
      <c r="R55" s="380">
        <v>80</v>
      </c>
      <c r="S55" s="384">
        <v>1</v>
      </c>
      <c r="T55" s="380">
        <v>24528</v>
      </c>
      <c r="U55" s="380">
        <v>0</v>
      </c>
      <c r="V55" s="380">
        <v>15770.91</v>
      </c>
      <c r="W55" s="380">
        <v>27560</v>
      </c>
      <c r="X55" s="380">
        <v>17656.68</v>
      </c>
      <c r="Y55" s="380">
        <v>27560</v>
      </c>
      <c r="Z55" s="380">
        <v>17524.400000000001</v>
      </c>
      <c r="AA55" s="376" t="s">
        <v>293</v>
      </c>
      <c r="AB55" s="376" t="s">
        <v>294</v>
      </c>
      <c r="AC55" s="376" t="s">
        <v>295</v>
      </c>
      <c r="AD55" s="376" t="s">
        <v>296</v>
      </c>
      <c r="AE55" s="376" t="s">
        <v>292</v>
      </c>
      <c r="AF55" s="376" t="s">
        <v>297</v>
      </c>
      <c r="AG55" s="376" t="s">
        <v>178</v>
      </c>
      <c r="AH55" s="381">
        <v>13.25</v>
      </c>
      <c r="AI55" s="381">
        <v>47700.5</v>
      </c>
      <c r="AJ55" s="376" t="s">
        <v>179</v>
      </c>
      <c r="AK55" s="376" t="s">
        <v>180</v>
      </c>
      <c r="AL55" s="376" t="s">
        <v>181</v>
      </c>
      <c r="AM55" s="376" t="s">
        <v>182</v>
      </c>
      <c r="AN55" s="376" t="s">
        <v>68</v>
      </c>
      <c r="AO55" s="379">
        <v>80</v>
      </c>
      <c r="AP55" s="384">
        <v>1</v>
      </c>
      <c r="AQ55" s="384">
        <v>1</v>
      </c>
      <c r="AR55" s="382" t="s">
        <v>183</v>
      </c>
      <c r="AS55" s="386">
        <f t="shared" si="27"/>
        <v>1</v>
      </c>
      <c r="AT55">
        <f t="shared" si="28"/>
        <v>1</v>
      </c>
      <c r="AU55" s="386">
        <f>IF(AT55=0,"",IF(AND(AT55=1,M55="F",SUMIF(C2:C84,C55,AS2:AS84)&lt;=1),SUMIF(C2:C84,C55,AS2:AS84),IF(AND(AT55=1,M55="F",SUMIF(C2:C84,C55,AS2:AS84)&gt;1),1,"")))</f>
        <v>1</v>
      </c>
      <c r="AV55" s="386" t="str">
        <f>IF(AT55=0,"",IF(AND(AT55=3,M55="F",SUMIF(C2:C84,C55,AS2:AS84)&lt;=1),SUMIF(C2:C84,C55,AS2:AS84),IF(AND(AT55=3,M55="F",SUMIF(C2:C84,C55,AS2:AS84)&gt;1),1,"")))</f>
        <v/>
      </c>
      <c r="AW55" s="386">
        <f>SUMIF(C2:C84,C55,O2:O84)</f>
        <v>2</v>
      </c>
      <c r="AX55" s="386">
        <f>IF(AND(M55="F",AS55&lt;&gt;0),SUMIF(C2:C84,C55,W2:W84),0)</f>
        <v>27560</v>
      </c>
      <c r="AY55" s="386">
        <f t="shared" si="29"/>
        <v>27560</v>
      </c>
      <c r="AZ55" s="386" t="str">
        <f t="shared" si="30"/>
        <v/>
      </c>
      <c r="BA55" s="386">
        <f t="shared" si="31"/>
        <v>0</v>
      </c>
      <c r="BB55" s="386">
        <f t="shared" si="44"/>
        <v>11650</v>
      </c>
      <c r="BC55" s="386">
        <f t="shared" si="45"/>
        <v>0</v>
      </c>
      <c r="BD55" s="386">
        <f t="shared" si="46"/>
        <v>1708.72</v>
      </c>
      <c r="BE55" s="386">
        <f t="shared" si="47"/>
        <v>399.62</v>
      </c>
      <c r="BF55" s="386">
        <f t="shared" si="48"/>
        <v>3290.6640000000002</v>
      </c>
      <c r="BG55" s="386">
        <f t="shared" si="49"/>
        <v>198.70760000000001</v>
      </c>
      <c r="BH55" s="386">
        <f t="shared" si="50"/>
        <v>135.04399999999998</v>
      </c>
      <c r="BI55" s="386">
        <f t="shared" si="51"/>
        <v>152.5446</v>
      </c>
      <c r="BJ55" s="386">
        <f t="shared" si="52"/>
        <v>121.26400000000001</v>
      </c>
      <c r="BK55" s="386">
        <f t="shared" si="53"/>
        <v>0</v>
      </c>
      <c r="BL55" s="386">
        <f t="shared" si="32"/>
        <v>6006.5642000000007</v>
      </c>
      <c r="BM55" s="386">
        <f t="shared" si="33"/>
        <v>0</v>
      </c>
      <c r="BN55" s="386">
        <f t="shared" si="54"/>
        <v>11650</v>
      </c>
      <c r="BO55" s="386">
        <f t="shared" si="55"/>
        <v>0</v>
      </c>
      <c r="BP55" s="386">
        <f t="shared" si="56"/>
        <v>1708.72</v>
      </c>
      <c r="BQ55" s="386">
        <f t="shared" si="57"/>
        <v>399.62</v>
      </c>
      <c r="BR55" s="386">
        <f t="shared" si="58"/>
        <v>3290.6640000000002</v>
      </c>
      <c r="BS55" s="386">
        <f t="shared" si="59"/>
        <v>198.70760000000001</v>
      </c>
      <c r="BT55" s="386">
        <f t="shared" si="60"/>
        <v>0</v>
      </c>
      <c r="BU55" s="386">
        <f t="shared" si="61"/>
        <v>152.5446</v>
      </c>
      <c r="BV55" s="386">
        <f t="shared" si="62"/>
        <v>124.02</v>
      </c>
      <c r="BW55" s="386">
        <f t="shared" si="63"/>
        <v>0</v>
      </c>
      <c r="BX55" s="386">
        <f t="shared" si="34"/>
        <v>5874.2762000000012</v>
      </c>
      <c r="BY55" s="386">
        <f t="shared" si="35"/>
        <v>0</v>
      </c>
      <c r="BZ55" s="386">
        <f t="shared" si="36"/>
        <v>0</v>
      </c>
      <c r="CA55" s="386">
        <f t="shared" si="37"/>
        <v>0</v>
      </c>
      <c r="CB55" s="386">
        <f t="shared" si="38"/>
        <v>0</v>
      </c>
      <c r="CC55" s="386">
        <f t="shared" si="64"/>
        <v>0</v>
      </c>
      <c r="CD55" s="386">
        <f t="shared" si="65"/>
        <v>0</v>
      </c>
      <c r="CE55" s="386">
        <f t="shared" si="66"/>
        <v>0</v>
      </c>
      <c r="CF55" s="386">
        <f t="shared" si="67"/>
        <v>-135.04399999999998</v>
      </c>
      <c r="CG55" s="386">
        <f t="shared" si="68"/>
        <v>0</v>
      </c>
      <c r="CH55" s="386">
        <f t="shared" si="69"/>
        <v>2.7559999999999834</v>
      </c>
      <c r="CI55" s="386">
        <f t="shared" si="70"/>
        <v>0</v>
      </c>
      <c r="CJ55" s="386">
        <f t="shared" si="39"/>
        <v>-132.28800000000001</v>
      </c>
      <c r="CK55" s="386" t="str">
        <f t="shared" si="40"/>
        <v/>
      </c>
      <c r="CL55" s="386" t="str">
        <f t="shared" si="41"/>
        <v/>
      </c>
      <c r="CM55" s="386" t="str">
        <f t="shared" si="42"/>
        <v/>
      </c>
      <c r="CN55" s="386" t="str">
        <f t="shared" si="43"/>
        <v>0348-00</v>
      </c>
    </row>
    <row r="56" spans="1:92" ht="15.75" thickBot="1" x14ac:dyDescent="0.3">
      <c r="A56" s="376" t="s">
        <v>161</v>
      </c>
      <c r="B56" s="376" t="s">
        <v>162</v>
      </c>
      <c r="C56" s="376" t="s">
        <v>298</v>
      </c>
      <c r="D56" s="376" t="s">
        <v>284</v>
      </c>
      <c r="E56" s="376" t="s">
        <v>417</v>
      </c>
      <c r="F56" s="377" t="s">
        <v>166</v>
      </c>
      <c r="G56" s="376" t="s">
        <v>167</v>
      </c>
      <c r="H56" s="378"/>
      <c r="I56" s="378"/>
      <c r="J56" s="376" t="s">
        <v>168</v>
      </c>
      <c r="K56" s="376" t="s">
        <v>285</v>
      </c>
      <c r="L56" s="376" t="s">
        <v>187</v>
      </c>
      <c r="M56" s="376" t="s">
        <v>171</v>
      </c>
      <c r="N56" s="376" t="s">
        <v>172</v>
      </c>
      <c r="O56" s="379">
        <v>1</v>
      </c>
      <c r="P56" s="384">
        <v>1</v>
      </c>
      <c r="Q56" s="384">
        <v>1</v>
      </c>
      <c r="R56" s="380">
        <v>80</v>
      </c>
      <c r="S56" s="384">
        <v>1</v>
      </c>
      <c r="T56" s="380">
        <v>31699.93</v>
      </c>
      <c r="U56" s="380">
        <v>0</v>
      </c>
      <c r="V56" s="380">
        <v>17267.349999999999</v>
      </c>
      <c r="W56" s="380">
        <v>35942.400000000001</v>
      </c>
      <c r="X56" s="380">
        <v>19483.61</v>
      </c>
      <c r="Y56" s="380">
        <v>35942.400000000001</v>
      </c>
      <c r="Z56" s="380">
        <v>19311.099999999999</v>
      </c>
      <c r="AA56" s="376" t="s">
        <v>299</v>
      </c>
      <c r="AB56" s="376" t="s">
        <v>300</v>
      </c>
      <c r="AC56" s="376" t="s">
        <v>301</v>
      </c>
      <c r="AD56" s="376" t="s">
        <v>302</v>
      </c>
      <c r="AE56" s="376" t="s">
        <v>285</v>
      </c>
      <c r="AF56" s="376" t="s">
        <v>192</v>
      </c>
      <c r="AG56" s="376" t="s">
        <v>178</v>
      </c>
      <c r="AH56" s="381">
        <v>17.28</v>
      </c>
      <c r="AI56" s="381">
        <v>21207.4</v>
      </c>
      <c r="AJ56" s="376" t="s">
        <v>179</v>
      </c>
      <c r="AK56" s="376" t="s">
        <v>180</v>
      </c>
      <c r="AL56" s="376" t="s">
        <v>181</v>
      </c>
      <c r="AM56" s="376" t="s">
        <v>182</v>
      </c>
      <c r="AN56" s="376" t="s">
        <v>68</v>
      </c>
      <c r="AO56" s="379">
        <v>80</v>
      </c>
      <c r="AP56" s="384">
        <v>1</v>
      </c>
      <c r="AQ56" s="384">
        <v>1</v>
      </c>
      <c r="AR56" s="382" t="s">
        <v>183</v>
      </c>
      <c r="AS56" s="386">
        <f t="shared" si="27"/>
        <v>1</v>
      </c>
      <c r="AT56">
        <f t="shared" si="28"/>
        <v>1</v>
      </c>
      <c r="AU56" s="386">
        <f>IF(AT56=0,"",IF(AND(AT56=1,M56="F",SUMIF(C2:C84,C56,AS2:AS84)&lt;=1),SUMIF(C2:C84,C56,AS2:AS84),IF(AND(AT56=1,M56="F",SUMIF(C2:C84,C56,AS2:AS84)&gt;1),1,"")))</f>
        <v>1</v>
      </c>
      <c r="AV56" s="386" t="str">
        <f>IF(AT56=0,"",IF(AND(AT56=3,M56="F",SUMIF(C2:C84,C56,AS2:AS84)&lt;=1),SUMIF(C2:C84,C56,AS2:AS84),IF(AND(AT56=3,M56="F",SUMIF(C2:C84,C56,AS2:AS84)&gt;1),1,"")))</f>
        <v/>
      </c>
      <c r="AW56" s="386">
        <f>SUMIF(C2:C84,C56,O2:O84)</f>
        <v>2</v>
      </c>
      <c r="AX56" s="386">
        <f>IF(AND(M56="F",AS56&lt;&gt;0),SUMIF(C2:C84,C56,W2:W84),0)</f>
        <v>35942.400000000001</v>
      </c>
      <c r="AY56" s="386">
        <f t="shared" si="29"/>
        <v>35942.400000000001</v>
      </c>
      <c r="AZ56" s="386" t="str">
        <f t="shared" si="30"/>
        <v/>
      </c>
      <c r="BA56" s="386">
        <f t="shared" si="31"/>
        <v>0</v>
      </c>
      <c r="BB56" s="386">
        <f t="shared" si="44"/>
        <v>11650</v>
      </c>
      <c r="BC56" s="386">
        <f t="shared" si="45"/>
        <v>0</v>
      </c>
      <c r="BD56" s="386">
        <f t="shared" si="46"/>
        <v>2228.4288000000001</v>
      </c>
      <c r="BE56" s="386">
        <f t="shared" si="47"/>
        <v>521.16480000000001</v>
      </c>
      <c r="BF56" s="386">
        <f t="shared" si="48"/>
        <v>4291.5225600000003</v>
      </c>
      <c r="BG56" s="386">
        <f t="shared" si="49"/>
        <v>259.14470400000005</v>
      </c>
      <c r="BH56" s="386">
        <f t="shared" si="50"/>
        <v>176.11776</v>
      </c>
      <c r="BI56" s="386">
        <f t="shared" si="51"/>
        <v>198.94118400000002</v>
      </c>
      <c r="BJ56" s="386">
        <f t="shared" si="52"/>
        <v>158.14656000000002</v>
      </c>
      <c r="BK56" s="386">
        <f t="shared" si="53"/>
        <v>0</v>
      </c>
      <c r="BL56" s="386">
        <f t="shared" si="32"/>
        <v>7833.4663680000012</v>
      </c>
      <c r="BM56" s="386">
        <f t="shared" si="33"/>
        <v>0</v>
      </c>
      <c r="BN56" s="386">
        <f t="shared" si="54"/>
        <v>11650</v>
      </c>
      <c r="BO56" s="386">
        <f t="shared" si="55"/>
        <v>0</v>
      </c>
      <c r="BP56" s="386">
        <f t="shared" si="56"/>
        <v>2228.4288000000001</v>
      </c>
      <c r="BQ56" s="386">
        <f t="shared" si="57"/>
        <v>521.16480000000001</v>
      </c>
      <c r="BR56" s="386">
        <f t="shared" si="58"/>
        <v>4291.5225600000003</v>
      </c>
      <c r="BS56" s="386">
        <f t="shared" si="59"/>
        <v>259.14470400000005</v>
      </c>
      <c r="BT56" s="386">
        <f t="shared" si="60"/>
        <v>0</v>
      </c>
      <c r="BU56" s="386">
        <f t="shared" si="61"/>
        <v>198.94118400000002</v>
      </c>
      <c r="BV56" s="386">
        <f t="shared" si="62"/>
        <v>161.74080000000001</v>
      </c>
      <c r="BW56" s="386">
        <f t="shared" si="63"/>
        <v>0</v>
      </c>
      <c r="BX56" s="386">
        <f t="shared" si="34"/>
        <v>7660.9428480000006</v>
      </c>
      <c r="BY56" s="386">
        <f t="shared" si="35"/>
        <v>0</v>
      </c>
      <c r="BZ56" s="386">
        <f t="shared" si="36"/>
        <v>0</v>
      </c>
      <c r="CA56" s="386">
        <f t="shared" si="37"/>
        <v>0</v>
      </c>
      <c r="CB56" s="386">
        <f t="shared" si="38"/>
        <v>0</v>
      </c>
      <c r="CC56" s="386">
        <f t="shared" si="64"/>
        <v>0</v>
      </c>
      <c r="CD56" s="386">
        <f t="shared" si="65"/>
        <v>0</v>
      </c>
      <c r="CE56" s="386">
        <f t="shared" si="66"/>
        <v>0</v>
      </c>
      <c r="CF56" s="386">
        <f t="shared" si="67"/>
        <v>-176.11776</v>
      </c>
      <c r="CG56" s="386">
        <f t="shared" si="68"/>
        <v>0</v>
      </c>
      <c r="CH56" s="386">
        <f t="shared" si="69"/>
        <v>3.5942399999999783</v>
      </c>
      <c r="CI56" s="386">
        <f t="shared" si="70"/>
        <v>0</v>
      </c>
      <c r="CJ56" s="386">
        <f t="shared" si="39"/>
        <v>-172.52352000000002</v>
      </c>
      <c r="CK56" s="386" t="str">
        <f t="shared" si="40"/>
        <v/>
      </c>
      <c r="CL56" s="386" t="str">
        <f t="shared" si="41"/>
        <v/>
      </c>
      <c r="CM56" s="386" t="str">
        <f t="shared" si="42"/>
        <v/>
      </c>
      <c r="CN56" s="386" t="str">
        <f t="shared" si="43"/>
        <v>0348-00</v>
      </c>
    </row>
    <row r="57" spans="1:92" ht="15.75" thickBot="1" x14ac:dyDescent="0.3">
      <c r="A57" s="376" t="s">
        <v>161</v>
      </c>
      <c r="B57" s="376" t="s">
        <v>162</v>
      </c>
      <c r="C57" s="376" t="s">
        <v>303</v>
      </c>
      <c r="D57" s="376" t="s">
        <v>284</v>
      </c>
      <c r="E57" s="376" t="s">
        <v>417</v>
      </c>
      <c r="F57" s="377" t="s">
        <v>166</v>
      </c>
      <c r="G57" s="376" t="s">
        <v>167</v>
      </c>
      <c r="H57" s="378"/>
      <c r="I57" s="378"/>
      <c r="J57" s="376" t="s">
        <v>168</v>
      </c>
      <c r="K57" s="376" t="s">
        <v>285</v>
      </c>
      <c r="L57" s="376" t="s">
        <v>187</v>
      </c>
      <c r="M57" s="376" t="s">
        <v>171</v>
      </c>
      <c r="N57" s="376" t="s">
        <v>172</v>
      </c>
      <c r="O57" s="379">
        <v>1</v>
      </c>
      <c r="P57" s="384">
        <v>1</v>
      </c>
      <c r="Q57" s="384">
        <v>1</v>
      </c>
      <c r="R57" s="380">
        <v>80</v>
      </c>
      <c r="S57" s="384">
        <v>1</v>
      </c>
      <c r="T57" s="380">
        <v>31564.7</v>
      </c>
      <c r="U57" s="380">
        <v>0</v>
      </c>
      <c r="V57" s="380">
        <v>17080.07</v>
      </c>
      <c r="W57" s="380">
        <v>36192</v>
      </c>
      <c r="X57" s="380">
        <v>19538.02</v>
      </c>
      <c r="Y57" s="380">
        <v>36192</v>
      </c>
      <c r="Z57" s="380">
        <v>19364.3</v>
      </c>
      <c r="AA57" s="376" t="s">
        <v>304</v>
      </c>
      <c r="AB57" s="376" t="s">
        <v>305</v>
      </c>
      <c r="AC57" s="376" t="s">
        <v>306</v>
      </c>
      <c r="AD57" s="376" t="s">
        <v>307</v>
      </c>
      <c r="AE57" s="376" t="s">
        <v>285</v>
      </c>
      <c r="AF57" s="376" t="s">
        <v>192</v>
      </c>
      <c r="AG57" s="376" t="s">
        <v>178</v>
      </c>
      <c r="AH57" s="381">
        <v>17.399999999999999</v>
      </c>
      <c r="AI57" s="381">
        <v>8744.7999999999993</v>
      </c>
      <c r="AJ57" s="376" t="s">
        <v>179</v>
      </c>
      <c r="AK57" s="376" t="s">
        <v>180</v>
      </c>
      <c r="AL57" s="376" t="s">
        <v>181</v>
      </c>
      <c r="AM57" s="376" t="s">
        <v>182</v>
      </c>
      <c r="AN57" s="376" t="s">
        <v>68</v>
      </c>
      <c r="AO57" s="379">
        <v>80</v>
      </c>
      <c r="AP57" s="384">
        <v>1</v>
      </c>
      <c r="AQ57" s="384">
        <v>1</v>
      </c>
      <c r="AR57" s="382" t="s">
        <v>183</v>
      </c>
      <c r="AS57" s="386">
        <f t="shared" si="27"/>
        <v>1</v>
      </c>
      <c r="AT57">
        <f t="shared" si="28"/>
        <v>1</v>
      </c>
      <c r="AU57" s="386">
        <f>IF(AT57=0,"",IF(AND(AT57=1,M57="F",SUMIF(C2:C84,C57,AS2:AS84)&lt;=1),SUMIF(C2:C84,C57,AS2:AS84),IF(AND(AT57=1,M57="F",SUMIF(C2:C84,C57,AS2:AS84)&gt;1),1,"")))</f>
        <v>1</v>
      </c>
      <c r="AV57" s="386" t="str">
        <f>IF(AT57=0,"",IF(AND(AT57=3,M57="F",SUMIF(C2:C84,C57,AS2:AS84)&lt;=1),SUMIF(C2:C84,C57,AS2:AS84),IF(AND(AT57=3,M57="F",SUMIF(C2:C84,C57,AS2:AS84)&gt;1),1,"")))</f>
        <v/>
      </c>
      <c r="AW57" s="386">
        <f>SUMIF(C2:C84,C57,O2:O84)</f>
        <v>2</v>
      </c>
      <c r="AX57" s="386">
        <f>IF(AND(M57="F",AS57&lt;&gt;0),SUMIF(C2:C84,C57,W2:W84),0)</f>
        <v>36192</v>
      </c>
      <c r="AY57" s="386">
        <f t="shared" si="29"/>
        <v>36192</v>
      </c>
      <c r="AZ57" s="386" t="str">
        <f t="shared" si="30"/>
        <v/>
      </c>
      <c r="BA57" s="386">
        <f t="shared" si="31"/>
        <v>0</v>
      </c>
      <c r="BB57" s="386">
        <f t="shared" si="44"/>
        <v>11650</v>
      </c>
      <c r="BC57" s="386">
        <f t="shared" si="45"/>
        <v>0</v>
      </c>
      <c r="BD57" s="386">
        <f t="shared" si="46"/>
        <v>2243.904</v>
      </c>
      <c r="BE57" s="386">
        <f t="shared" si="47"/>
        <v>524.78399999999999</v>
      </c>
      <c r="BF57" s="386">
        <f t="shared" si="48"/>
        <v>4321.3248000000003</v>
      </c>
      <c r="BG57" s="386">
        <f t="shared" si="49"/>
        <v>260.94432</v>
      </c>
      <c r="BH57" s="386">
        <f t="shared" si="50"/>
        <v>177.3408</v>
      </c>
      <c r="BI57" s="386">
        <f t="shared" si="51"/>
        <v>200.32272</v>
      </c>
      <c r="BJ57" s="386">
        <f t="shared" si="52"/>
        <v>159.2448</v>
      </c>
      <c r="BK57" s="386">
        <f t="shared" si="53"/>
        <v>0</v>
      </c>
      <c r="BL57" s="386">
        <f t="shared" si="32"/>
        <v>7887.8654400000005</v>
      </c>
      <c r="BM57" s="386">
        <f t="shared" si="33"/>
        <v>0</v>
      </c>
      <c r="BN57" s="386">
        <f t="shared" si="54"/>
        <v>11650</v>
      </c>
      <c r="BO57" s="386">
        <f t="shared" si="55"/>
        <v>0</v>
      </c>
      <c r="BP57" s="386">
        <f t="shared" si="56"/>
        <v>2243.904</v>
      </c>
      <c r="BQ57" s="386">
        <f t="shared" si="57"/>
        <v>524.78399999999999</v>
      </c>
      <c r="BR57" s="386">
        <f t="shared" si="58"/>
        <v>4321.3248000000003</v>
      </c>
      <c r="BS57" s="386">
        <f t="shared" si="59"/>
        <v>260.94432</v>
      </c>
      <c r="BT57" s="386">
        <f t="shared" si="60"/>
        <v>0</v>
      </c>
      <c r="BU57" s="386">
        <f t="shared" si="61"/>
        <v>200.32272</v>
      </c>
      <c r="BV57" s="386">
        <f t="shared" si="62"/>
        <v>162.86399999999998</v>
      </c>
      <c r="BW57" s="386">
        <f t="shared" si="63"/>
        <v>0</v>
      </c>
      <c r="BX57" s="386">
        <f t="shared" si="34"/>
        <v>7714.1438399999997</v>
      </c>
      <c r="BY57" s="386">
        <f t="shared" si="35"/>
        <v>0</v>
      </c>
      <c r="BZ57" s="386">
        <f t="shared" si="36"/>
        <v>0</v>
      </c>
      <c r="CA57" s="386">
        <f t="shared" si="37"/>
        <v>0</v>
      </c>
      <c r="CB57" s="386">
        <f t="shared" si="38"/>
        <v>0</v>
      </c>
      <c r="CC57" s="386">
        <f t="shared" si="64"/>
        <v>0</v>
      </c>
      <c r="CD57" s="386">
        <f t="shared" si="65"/>
        <v>0</v>
      </c>
      <c r="CE57" s="386">
        <f t="shared" si="66"/>
        <v>0</v>
      </c>
      <c r="CF57" s="386">
        <f t="shared" si="67"/>
        <v>-177.3408</v>
      </c>
      <c r="CG57" s="386">
        <f t="shared" si="68"/>
        <v>0</v>
      </c>
      <c r="CH57" s="386">
        <f t="shared" si="69"/>
        <v>3.619199999999978</v>
      </c>
      <c r="CI57" s="386">
        <f t="shared" si="70"/>
        <v>0</v>
      </c>
      <c r="CJ57" s="386">
        <f t="shared" si="39"/>
        <v>-173.72160000000002</v>
      </c>
      <c r="CK57" s="386" t="str">
        <f t="shared" si="40"/>
        <v/>
      </c>
      <c r="CL57" s="386" t="str">
        <f t="shared" si="41"/>
        <v/>
      </c>
      <c r="CM57" s="386" t="str">
        <f t="shared" si="42"/>
        <v/>
      </c>
      <c r="CN57" s="386" t="str">
        <f t="shared" si="43"/>
        <v>0348-00</v>
      </c>
    </row>
    <row r="58" spans="1:92" ht="15.75" thickBot="1" x14ac:dyDescent="0.3">
      <c r="A58" s="376" t="s">
        <v>161</v>
      </c>
      <c r="B58" s="376" t="s">
        <v>162</v>
      </c>
      <c r="C58" s="376" t="s">
        <v>308</v>
      </c>
      <c r="D58" s="376" t="s">
        <v>284</v>
      </c>
      <c r="E58" s="376" t="s">
        <v>417</v>
      </c>
      <c r="F58" s="377" t="s">
        <v>166</v>
      </c>
      <c r="G58" s="376" t="s">
        <v>167</v>
      </c>
      <c r="H58" s="378"/>
      <c r="I58" s="378"/>
      <c r="J58" s="376" t="s">
        <v>168</v>
      </c>
      <c r="K58" s="376" t="s">
        <v>285</v>
      </c>
      <c r="L58" s="376" t="s">
        <v>187</v>
      </c>
      <c r="M58" s="376" t="s">
        <v>171</v>
      </c>
      <c r="N58" s="376" t="s">
        <v>172</v>
      </c>
      <c r="O58" s="379">
        <v>1</v>
      </c>
      <c r="P58" s="384">
        <v>1</v>
      </c>
      <c r="Q58" s="384">
        <v>1</v>
      </c>
      <c r="R58" s="380">
        <v>80</v>
      </c>
      <c r="S58" s="384">
        <v>1</v>
      </c>
      <c r="T58" s="380">
        <v>33209.599999999999</v>
      </c>
      <c r="U58" s="380">
        <v>0</v>
      </c>
      <c r="V58" s="380">
        <v>17627.04</v>
      </c>
      <c r="W58" s="380">
        <v>37606.400000000001</v>
      </c>
      <c r="X58" s="380">
        <v>19846.28</v>
      </c>
      <c r="Y58" s="380">
        <v>37606.400000000001</v>
      </c>
      <c r="Z58" s="380">
        <v>19665.77</v>
      </c>
      <c r="AA58" s="376" t="s">
        <v>309</v>
      </c>
      <c r="AB58" s="376" t="s">
        <v>310</v>
      </c>
      <c r="AC58" s="376" t="s">
        <v>311</v>
      </c>
      <c r="AD58" s="376" t="s">
        <v>312</v>
      </c>
      <c r="AE58" s="376" t="s">
        <v>285</v>
      </c>
      <c r="AF58" s="376" t="s">
        <v>192</v>
      </c>
      <c r="AG58" s="376" t="s">
        <v>178</v>
      </c>
      <c r="AH58" s="381">
        <v>18.079999999999998</v>
      </c>
      <c r="AI58" s="381">
        <v>25863.4</v>
      </c>
      <c r="AJ58" s="376" t="s">
        <v>179</v>
      </c>
      <c r="AK58" s="376" t="s">
        <v>180</v>
      </c>
      <c r="AL58" s="376" t="s">
        <v>181</v>
      </c>
      <c r="AM58" s="376" t="s">
        <v>182</v>
      </c>
      <c r="AN58" s="376" t="s">
        <v>68</v>
      </c>
      <c r="AO58" s="379">
        <v>80</v>
      </c>
      <c r="AP58" s="384">
        <v>1</v>
      </c>
      <c r="AQ58" s="384">
        <v>1</v>
      </c>
      <c r="AR58" s="382" t="s">
        <v>183</v>
      </c>
      <c r="AS58" s="386">
        <f t="shared" si="27"/>
        <v>1</v>
      </c>
      <c r="AT58">
        <f t="shared" si="28"/>
        <v>1</v>
      </c>
      <c r="AU58" s="386">
        <f>IF(AT58=0,"",IF(AND(AT58=1,M58="F",SUMIF(C2:C84,C58,AS2:AS84)&lt;=1),SUMIF(C2:C84,C58,AS2:AS84),IF(AND(AT58=1,M58="F",SUMIF(C2:C84,C58,AS2:AS84)&gt;1),1,"")))</f>
        <v>1</v>
      </c>
      <c r="AV58" s="386" t="str">
        <f>IF(AT58=0,"",IF(AND(AT58=3,M58="F",SUMIF(C2:C84,C58,AS2:AS84)&lt;=1),SUMIF(C2:C84,C58,AS2:AS84),IF(AND(AT58=3,M58="F",SUMIF(C2:C84,C58,AS2:AS84)&gt;1),1,"")))</f>
        <v/>
      </c>
      <c r="AW58" s="386">
        <f>SUMIF(C2:C84,C58,O2:O84)</f>
        <v>2</v>
      </c>
      <c r="AX58" s="386">
        <f>IF(AND(M58="F",AS58&lt;&gt;0),SUMIF(C2:C84,C58,W2:W84),0)</f>
        <v>37606.400000000001</v>
      </c>
      <c r="AY58" s="386">
        <f t="shared" si="29"/>
        <v>37606.400000000001</v>
      </c>
      <c r="AZ58" s="386" t="str">
        <f t="shared" si="30"/>
        <v/>
      </c>
      <c r="BA58" s="386">
        <f t="shared" si="31"/>
        <v>0</v>
      </c>
      <c r="BB58" s="386">
        <f t="shared" si="44"/>
        <v>11650</v>
      </c>
      <c r="BC58" s="386">
        <f t="shared" si="45"/>
        <v>0</v>
      </c>
      <c r="BD58" s="386">
        <f t="shared" si="46"/>
        <v>2331.5968000000003</v>
      </c>
      <c r="BE58" s="386">
        <f t="shared" si="47"/>
        <v>545.29280000000006</v>
      </c>
      <c r="BF58" s="386">
        <f t="shared" si="48"/>
        <v>4490.2041600000002</v>
      </c>
      <c r="BG58" s="386">
        <f t="shared" si="49"/>
        <v>271.14214400000003</v>
      </c>
      <c r="BH58" s="386">
        <f t="shared" si="50"/>
        <v>184.27135999999999</v>
      </c>
      <c r="BI58" s="386">
        <f t="shared" si="51"/>
        <v>208.15142400000002</v>
      </c>
      <c r="BJ58" s="386">
        <f t="shared" si="52"/>
        <v>165.46816000000001</v>
      </c>
      <c r="BK58" s="386">
        <f t="shared" si="53"/>
        <v>0</v>
      </c>
      <c r="BL58" s="386">
        <f t="shared" si="32"/>
        <v>8196.1268479999999</v>
      </c>
      <c r="BM58" s="386">
        <f t="shared" si="33"/>
        <v>0</v>
      </c>
      <c r="BN58" s="386">
        <f t="shared" si="54"/>
        <v>11650</v>
      </c>
      <c r="BO58" s="386">
        <f t="shared" si="55"/>
        <v>0</v>
      </c>
      <c r="BP58" s="386">
        <f t="shared" si="56"/>
        <v>2331.5968000000003</v>
      </c>
      <c r="BQ58" s="386">
        <f t="shared" si="57"/>
        <v>545.29280000000006</v>
      </c>
      <c r="BR58" s="386">
        <f t="shared" si="58"/>
        <v>4490.2041600000002</v>
      </c>
      <c r="BS58" s="386">
        <f t="shared" si="59"/>
        <v>271.14214400000003</v>
      </c>
      <c r="BT58" s="386">
        <f t="shared" si="60"/>
        <v>0</v>
      </c>
      <c r="BU58" s="386">
        <f t="shared" si="61"/>
        <v>208.15142400000002</v>
      </c>
      <c r="BV58" s="386">
        <f t="shared" si="62"/>
        <v>169.22880000000001</v>
      </c>
      <c r="BW58" s="386">
        <f t="shared" si="63"/>
        <v>0</v>
      </c>
      <c r="BX58" s="386">
        <f t="shared" si="34"/>
        <v>8015.6161280000006</v>
      </c>
      <c r="BY58" s="386">
        <f t="shared" si="35"/>
        <v>0</v>
      </c>
      <c r="BZ58" s="386">
        <f t="shared" si="36"/>
        <v>0</v>
      </c>
      <c r="CA58" s="386">
        <f t="shared" si="37"/>
        <v>0</v>
      </c>
      <c r="CB58" s="386">
        <f t="shared" si="38"/>
        <v>0</v>
      </c>
      <c r="CC58" s="386">
        <f t="shared" si="64"/>
        <v>0</v>
      </c>
      <c r="CD58" s="386">
        <f t="shared" si="65"/>
        <v>0</v>
      </c>
      <c r="CE58" s="386">
        <f t="shared" si="66"/>
        <v>0</v>
      </c>
      <c r="CF58" s="386">
        <f t="shared" si="67"/>
        <v>-184.27135999999999</v>
      </c>
      <c r="CG58" s="386">
        <f t="shared" si="68"/>
        <v>0</v>
      </c>
      <c r="CH58" s="386">
        <f t="shared" si="69"/>
        <v>3.7606399999999773</v>
      </c>
      <c r="CI58" s="386">
        <f t="shared" si="70"/>
        <v>0</v>
      </c>
      <c r="CJ58" s="386">
        <f t="shared" si="39"/>
        <v>-180.51072000000002</v>
      </c>
      <c r="CK58" s="386" t="str">
        <f t="shared" si="40"/>
        <v/>
      </c>
      <c r="CL58" s="386" t="str">
        <f t="shared" si="41"/>
        <v/>
      </c>
      <c r="CM58" s="386" t="str">
        <f t="shared" si="42"/>
        <v/>
      </c>
      <c r="CN58" s="386" t="str">
        <f t="shared" si="43"/>
        <v>0348-00</v>
      </c>
    </row>
    <row r="59" spans="1:92" ht="15.75" thickBot="1" x14ac:dyDescent="0.3">
      <c r="A59" s="376" t="s">
        <v>161</v>
      </c>
      <c r="B59" s="376" t="s">
        <v>162</v>
      </c>
      <c r="C59" s="376" t="s">
        <v>313</v>
      </c>
      <c r="D59" s="376" t="s">
        <v>284</v>
      </c>
      <c r="E59" s="376" t="s">
        <v>417</v>
      </c>
      <c r="F59" s="377" t="s">
        <v>166</v>
      </c>
      <c r="G59" s="376" t="s">
        <v>167</v>
      </c>
      <c r="H59" s="378"/>
      <c r="I59" s="378"/>
      <c r="J59" s="376" t="s">
        <v>168</v>
      </c>
      <c r="K59" s="376" t="s">
        <v>285</v>
      </c>
      <c r="L59" s="376" t="s">
        <v>187</v>
      </c>
      <c r="M59" s="376" t="s">
        <v>171</v>
      </c>
      <c r="N59" s="376" t="s">
        <v>172</v>
      </c>
      <c r="O59" s="379">
        <v>1</v>
      </c>
      <c r="P59" s="384">
        <v>1</v>
      </c>
      <c r="Q59" s="384">
        <v>1</v>
      </c>
      <c r="R59" s="380">
        <v>80</v>
      </c>
      <c r="S59" s="384">
        <v>1</v>
      </c>
      <c r="T59" s="380">
        <v>36518.400000000001</v>
      </c>
      <c r="U59" s="380">
        <v>0</v>
      </c>
      <c r="V59" s="380">
        <v>18317.240000000002</v>
      </c>
      <c r="W59" s="380">
        <v>41433.599999999999</v>
      </c>
      <c r="X59" s="380">
        <v>20680.419999999998</v>
      </c>
      <c r="Y59" s="380">
        <v>41433.599999999999</v>
      </c>
      <c r="Z59" s="380">
        <v>20481.55</v>
      </c>
      <c r="AA59" s="376" t="s">
        <v>314</v>
      </c>
      <c r="AB59" s="376" t="s">
        <v>315</v>
      </c>
      <c r="AC59" s="376" t="s">
        <v>306</v>
      </c>
      <c r="AD59" s="376" t="s">
        <v>176</v>
      </c>
      <c r="AE59" s="376" t="s">
        <v>285</v>
      </c>
      <c r="AF59" s="376" t="s">
        <v>192</v>
      </c>
      <c r="AG59" s="376" t="s">
        <v>178</v>
      </c>
      <c r="AH59" s="381">
        <v>19.920000000000002</v>
      </c>
      <c r="AI59" s="381">
        <v>36226.5</v>
      </c>
      <c r="AJ59" s="376" t="s">
        <v>179</v>
      </c>
      <c r="AK59" s="376" t="s">
        <v>180</v>
      </c>
      <c r="AL59" s="376" t="s">
        <v>181</v>
      </c>
      <c r="AM59" s="376" t="s">
        <v>182</v>
      </c>
      <c r="AN59" s="376" t="s">
        <v>68</v>
      </c>
      <c r="AO59" s="379">
        <v>80</v>
      </c>
      <c r="AP59" s="384">
        <v>1</v>
      </c>
      <c r="AQ59" s="384">
        <v>1</v>
      </c>
      <c r="AR59" s="382" t="s">
        <v>183</v>
      </c>
      <c r="AS59" s="386">
        <f t="shared" si="27"/>
        <v>1</v>
      </c>
      <c r="AT59">
        <f t="shared" si="28"/>
        <v>1</v>
      </c>
      <c r="AU59" s="386">
        <f>IF(AT59=0,"",IF(AND(AT59=1,M59="F",SUMIF(C2:C84,C59,AS2:AS84)&lt;=1),SUMIF(C2:C84,C59,AS2:AS84),IF(AND(AT59=1,M59="F",SUMIF(C2:C84,C59,AS2:AS84)&gt;1),1,"")))</f>
        <v>1</v>
      </c>
      <c r="AV59" s="386" t="str">
        <f>IF(AT59=0,"",IF(AND(AT59=3,M59="F",SUMIF(C2:C84,C59,AS2:AS84)&lt;=1),SUMIF(C2:C84,C59,AS2:AS84),IF(AND(AT59=3,M59="F",SUMIF(C2:C84,C59,AS2:AS84)&gt;1),1,"")))</f>
        <v/>
      </c>
      <c r="AW59" s="386">
        <f>SUMIF(C2:C84,C59,O2:O84)</f>
        <v>2</v>
      </c>
      <c r="AX59" s="386">
        <f>IF(AND(M59="F",AS59&lt;&gt;0),SUMIF(C2:C84,C59,W2:W84),0)</f>
        <v>41433.599999999999</v>
      </c>
      <c r="AY59" s="386">
        <f t="shared" si="29"/>
        <v>41433.599999999999</v>
      </c>
      <c r="AZ59" s="386" t="str">
        <f t="shared" si="30"/>
        <v/>
      </c>
      <c r="BA59" s="386">
        <f t="shared" si="31"/>
        <v>0</v>
      </c>
      <c r="BB59" s="386">
        <f t="shared" si="44"/>
        <v>11650</v>
      </c>
      <c r="BC59" s="386">
        <f t="shared" si="45"/>
        <v>0</v>
      </c>
      <c r="BD59" s="386">
        <f t="shared" si="46"/>
        <v>2568.8831999999998</v>
      </c>
      <c r="BE59" s="386">
        <f t="shared" si="47"/>
        <v>600.78719999999998</v>
      </c>
      <c r="BF59" s="386">
        <f t="shared" si="48"/>
        <v>4947.17184</v>
      </c>
      <c r="BG59" s="386">
        <f t="shared" si="49"/>
        <v>298.73625600000003</v>
      </c>
      <c r="BH59" s="386">
        <f t="shared" si="50"/>
        <v>203.02463999999998</v>
      </c>
      <c r="BI59" s="386">
        <f t="shared" si="51"/>
        <v>229.33497599999998</v>
      </c>
      <c r="BJ59" s="386">
        <f t="shared" si="52"/>
        <v>182.30784</v>
      </c>
      <c r="BK59" s="386">
        <f t="shared" si="53"/>
        <v>0</v>
      </c>
      <c r="BL59" s="386">
        <f t="shared" si="32"/>
        <v>9030.2459519999993</v>
      </c>
      <c r="BM59" s="386">
        <f t="shared" si="33"/>
        <v>0</v>
      </c>
      <c r="BN59" s="386">
        <f t="shared" si="54"/>
        <v>11650</v>
      </c>
      <c r="BO59" s="386">
        <f t="shared" si="55"/>
        <v>0</v>
      </c>
      <c r="BP59" s="386">
        <f t="shared" si="56"/>
        <v>2568.8831999999998</v>
      </c>
      <c r="BQ59" s="386">
        <f t="shared" si="57"/>
        <v>600.78719999999998</v>
      </c>
      <c r="BR59" s="386">
        <f t="shared" si="58"/>
        <v>4947.17184</v>
      </c>
      <c r="BS59" s="386">
        <f t="shared" si="59"/>
        <v>298.73625600000003</v>
      </c>
      <c r="BT59" s="386">
        <f t="shared" si="60"/>
        <v>0</v>
      </c>
      <c r="BU59" s="386">
        <f t="shared" si="61"/>
        <v>229.33497599999998</v>
      </c>
      <c r="BV59" s="386">
        <f t="shared" si="62"/>
        <v>186.45119999999997</v>
      </c>
      <c r="BW59" s="386">
        <f t="shared" si="63"/>
        <v>0</v>
      </c>
      <c r="BX59" s="386">
        <f t="shared" si="34"/>
        <v>8831.3646719999997</v>
      </c>
      <c r="BY59" s="386">
        <f t="shared" si="35"/>
        <v>0</v>
      </c>
      <c r="BZ59" s="386">
        <f t="shared" si="36"/>
        <v>0</v>
      </c>
      <c r="CA59" s="386">
        <f t="shared" si="37"/>
        <v>0</v>
      </c>
      <c r="CB59" s="386">
        <f t="shared" si="38"/>
        <v>0</v>
      </c>
      <c r="CC59" s="386">
        <f t="shared" si="64"/>
        <v>0</v>
      </c>
      <c r="CD59" s="386">
        <f t="shared" si="65"/>
        <v>0</v>
      </c>
      <c r="CE59" s="386">
        <f t="shared" si="66"/>
        <v>0</v>
      </c>
      <c r="CF59" s="386">
        <f t="shared" si="67"/>
        <v>-203.02463999999998</v>
      </c>
      <c r="CG59" s="386">
        <f t="shared" si="68"/>
        <v>0</v>
      </c>
      <c r="CH59" s="386">
        <f t="shared" si="69"/>
        <v>4.1433599999999746</v>
      </c>
      <c r="CI59" s="386">
        <f t="shared" si="70"/>
        <v>0</v>
      </c>
      <c r="CJ59" s="386">
        <f t="shared" si="39"/>
        <v>-198.88128</v>
      </c>
      <c r="CK59" s="386" t="str">
        <f t="shared" si="40"/>
        <v/>
      </c>
      <c r="CL59" s="386" t="str">
        <f t="shared" si="41"/>
        <v/>
      </c>
      <c r="CM59" s="386" t="str">
        <f t="shared" si="42"/>
        <v/>
      </c>
      <c r="CN59" s="386" t="str">
        <f t="shared" si="43"/>
        <v>0348-00</v>
      </c>
    </row>
    <row r="60" spans="1:92" ht="15.75" thickBot="1" x14ac:dyDescent="0.3">
      <c r="A60" s="376" t="s">
        <v>161</v>
      </c>
      <c r="B60" s="376" t="s">
        <v>162</v>
      </c>
      <c r="C60" s="376" t="s">
        <v>323</v>
      </c>
      <c r="D60" s="376" t="s">
        <v>206</v>
      </c>
      <c r="E60" s="376" t="s">
        <v>417</v>
      </c>
      <c r="F60" s="377" t="s">
        <v>166</v>
      </c>
      <c r="G60" s="376" t="s">
        <v>167</v>
      </c>
      <c r="H60" s="378"/>
      <c r="I60" s="378"/>
      <c r="J60" s="376" t="s">
        <v>168</v>
      </c>
      <c r="K60" s="376" t="s">
        <v>207</v>
      </c>
      <c r="L60" s="376" t="s">
        <v>195</v>
      </c>
      <c r="M60" s="376" t="s">
        <v>171</v>
      </c>
      <c r="N60" s="376" t="s">
        <v>172</v>
      </c>
      <c r="O60" s="379">
        <v>1</v>
      </c>
      <c r="P60" s="384">
        <v>1</v>
      </c>
      <c r="Q60" s="384">
        <v>1</v>
      </c>
      <c r="R60" s="380">
        <v>80</v>
      </c>
      <c r="S60" s="384">
        <v>1</v>
      </c>
      <c r="T60" s="380">
        <v>48032</v>
      </c>
      <c r="U60" s="380">
        <v>0</v>
      </c>
      <c r="V60" s="380">
        <v>20894.990000000002</v>
      </c>
      <c r="W60" s="380">
        <v>54496</v>
      </c>
      <c r="X60" s="380">
        <v>23527.38</v>
      </c>
      <c r="Y60" s="380">
        <v>54496</v>
      </c>
      <c r="Z60" s="380">
        <v>23265.8</v>
      </c>
      <c r="AA60" s="376" t="s">
        <v>324</v>
      </c>
      <c r="AB60" s="376" t="s">
        <v>325</v>
      </c>
      <c r="AC60" s="376" t="s">
        <v>326</v>
      </c>
      <c r="AD60" s="376" t="s">
        <v>327</v>
      </c>
      <c r="AE60" s="376" t="s">
        <v>207</v>
      </c>
      <c r="AF60" s="376" t="s">
        <v>200</v>
      </c>
      <c r="AG60" s="376" t="s">
        <v>178</v>
      </c>
      <c r="AH60" s="381">
        <v>26.2</v>
      </c>
      <c r="AI60" s="379">
        <v>31029</v>
      </c>
      <c r="AJ60" s="376" t="s">
        <v>179</v>
      </c>
      <c r="AK60" s="376" t="s">
        <v>180</v>
      </c>
      <c r="AL60" s="376" t="s">
        <v>181</v>
      </c>
      <c r="AM60" s="376" t="s">
        <v>182</v>
      </c>
      <c r="AN60" s="376" t="s">
        <v>68</v>
      </c>
      <c r="AO60" s="379">
        <v>80</v>
      </c>
      <c r="AP60" s="384">
        <v>1</v>
      </c>
      <c r="AQ60" s="384">
        <v>1</v>
      </c>
      <c r="AR60" s="382" t="s">
        <v>183</v>
      </c>
      <c r="AS60" s="386">
        <f t="shared" si="27"/>
        <v>1</v>
      </c>
      <c r="AT60">
        <f t="shared" si="28"/>
        <v>1</v>
      </c>
      <c r="AU60" s="386">
        <f>IF(AT60=0,"",IF(AND(AT60=1,M60="F",SUMIF(C2:C84,C60,AS2:AS84)&lt;=1),SUMIF(C2:C84,C60,AS2:AS84),IF(AND(AT60=1,M60="F",SUMIF(C2:C84,C60,AS2:AS84)&gt;1),1,"")))</f>
        <v>1</v>
      </c>
      <c r="AV60" s="386" t="str">
        <f>IF(AT60=0,"",IF(AND(AT60=3,M60="F",SUMIF(C2:C84,C60,AS2:AS84)&lt;=1),SUMIF(C2:C84,C60,AS2:AS84),IF(AND(AT60=3,M60="F",SUMIF(C2:C84,C60,AS2:AS84)&gt;1),1,"")))</f>
        <v/>
      </c>
      <c r="AW60" s="386">
        <f>SUMIF(C2:C84,C60,O2:O84)</f>
        <v>2</v>
      </c>
      <c r="AX60" s="386">
        <f>IF(AND(M60="F",AS60&lt;&gt;0),SUMIF(C2:C84,C60,W2:W84),0)</f>
        <v>54496</v>
      </c>
      <c r="AY60" s="386">
        <f t="shared" si="29"/>
        <v>54496</v>
      </c>
      <c r="AZ60" s="386" t="str">
        <f t="shared" si="30"/>
        <v/>
      </c>
      <c r="BA60" s="386">
        <f t="shared" si="31"/>
        <v>0</v>
      </c>
      <c r="BB60" s="386">
        <f t="shared" si="44"/>
        <v>11650</v>
      </c>
      <c r="BC60" s="386">
        <f t="shared" si="45"/>
        <v>0</v>
      </c>
      <c r="BD60" s="386">
        <f t="shared" si="46"/>
        <v>3378.752</v>
      </c>
      <c r="BE60" s="386">
        <f t="shared" si="47"/>
        <v>790.19200000000001</v>
      </c>
      <c r="BF60" s="386">
        <f t="shared" si="48"/>
        <v>6506.8224</v>
      </c>
      <c r="BG60" s="386">
        <f t="shared" si="49"/>
        <v>392.91615999999999</v>
      </c>
      <c r="BH60" s="386">
        <f t="shared" si="50"/>
        <v>267.03039999999999</v>
      </c>
      <c r="BI60" s="386">
        <f t="shared" si="51"/>
        <v>301.63535999999999</v>
      </c>
      <c r="BJ60" s="386">
        <f t="shared" si="52"/>
        <v>239.78240000000002</v>
      </c>
      <c r="BK60" s="386">
        <f t="shared" si="53"/>
        <v>0</v>
      </c>
      <c r="BL60" s="386">
        <f t="shared" si="32"/>
        <v>11877.130720000001</v>
      </c>
      <c r="BM60" s="386">
        <f t="shared" si="33"/>
        <v>0</v>
      </c>
      <c r="BN60" s="386">
        <f t="shared" si="54"/>
        <v>11650</v>
      </c>
      <c r="BO60" s="386">
        <f t="shared" si="55"/>
        <v>0</v>
      </c>
      <c r="BP60" s="386">
        <f t="shared" si="56"/>
        <v>3378.752</v>
      </c>
      <c r="BQ60" s="386">
        <f t="shared" si="57"/>
        <v>790.19200000000001</v>
      </c>
      <c r="BR60" s="386">
        <f t="shared" si="58"/>
        <v>6506.8224</v>
      </c>
      <c r="BS60" s="386">
        <f t="shared" si="59"/>
        <v>392.91615999999999</v>
      </c>
      <c r="BT60" s="386">
        <f t="shared" si="60"/>
        <v>0</v>
      </c>
      <c r="BU60" s="386">
        <f t="shared" si="61"/>
        <v>301.63535999999999</v>
      </c>
      <c r="BV60" s="386">
        <f t="shared" si="62"/>
        <v>245.23199999999997</v>
      </c>
      <c r="BW60" s="386">
        <f t="shared" si="63"/>
        <v>0</v>
      </c>
      <c r="BX60" s="386">
        <f t="shared" si="34"/>
        <v>11615.549920000001</v>
      </c>
      <c r="BY60" s="386">
        <f t="shared" si="35"/>
        <v>0</v>
      </c>
      <c r="BZ60" s="386">
        <f t="shared" si="36"/>
        <v>0</v>
      </c>
      <c r="CA60" s="386">
        <f t="shared" si="37"/>
        <v>0</v>
      </c>
      <c r="CB60" s="386">
        <f t="shared" si="38"/>
        <v>0</v>
      </c>
      <c r="CC60" s="386">
        <f t="shared" si="64"/>
        <v>0</v>
      </c>
      <c r="CD60" s="386">
        <f t="shared" si="65"/>
        <v>0</v>
      </c>
      <c r="CE60" s="386">
        <f t="shared" si="66"/>
        <v>0</v>
      </c>
      <c r="CF60" s="386">
        <f t="shared" si="67"/>
        <v>-267.03039999999999</v>
      </c>
      <c r="CG60" s="386">
        <f t="shared" si="68"/>
        <v>0</v>
      </c>
      <c r="CH60" s="386">
        <f t="shared" si="69"/>
        <v>5.4495999999999674</v>
      </c>
      <c r="CI60" s="386">
        <f t="shared" si="70"/>
        <v>0</v>
      </c>
      <c r="CJ60" s="386">
        <f t="shared" si="39"/>
        <v>-261.58080000000001</v>
      </c>
      <c r="CK60" s="386" t="str">
        <f t="shared" si="40"/>
        <v/>
      </c>
      <c r="CL60" s="386" t="str">
        <f t="shared" si="41"/>
        <v/>
      </c>
      <c r="CM60" s="386" t="str">
        <f t="shared" si="42"/>
        <v/>
      </c>
      <c r="CN60" s="386" t="str">
        <f t="shared" si="43"/>
        <v>0348-00</v>
      </c>
    </row>
    <row r="61" spans="1:92" ht="15.75" thickBot="1" x14ac:dyDescent="0.3">
      <c r="A61" s="376" t="s">
        <v>161</v>
      </c>
      <c r="B61" s="376" t="s">
        <v>162</v>
      </c>
      <c r="C61" s="376" t="s">
        <v>332</v>
      </c>
      <c r="D61" s="376" t="s">
        <v>206</v>
      </c>
      <c r="E61" s="376" t="s">
        <v>417</v>
      </c>
      <c r="F61" s="377" t="s">
        <v>166</v>
      </c>
      <c r="G61" s="376" t="s">
        <v>167</v>
      </c>
      <c r="H61" s="378"/>
      <c r="I61" s="378"/>
      <c r="J61" s="376" t="s">
        <v>168</v>
      </c>
      <c r="K61" s="376" t="s">
        <v>207</v>
      </c>
      <c r="L61" s="376" t="s">
        <v>195</v>
      </c>
      <c r="M61" s="376" t="s">
        <v>171</v>
      </c>
      <c r="N61" s="376" t="s">
        <v>172</v>
      </c>
      <c r="O61" s="379">
        <v>1</v>
      </c>
      <c r="P61" s="384">
        <v>1</v>
      </c>
      <c r="Q61" s="384">
        <v>1</v>
      </c>
      <c r="R61" s="380">
        <v>80</v>
      </c>
      <c r="S61" s="384">
        <v>1</v>
      </c>
      <c r="T61" s="380">
        <v>42214.400000000001</v>
      </c>
      <c r="U61" s="380">
        <v>0</v>
      </c>
      <c r="V61" s="380">
        <v>19541.11</v>
      </c>
      <c r="W61" s="380">
        <v>48089.599999999999</v>
      </c>
      <c r="X61" s="380">
        <v>22131.08</v>
      </c>
      <c r="Y61" s="380">
        <v>48089.599999999999</v>
      </c>
      <c r="Z61" s="380">
        <v>21900.26</v>
      </c>
      <c r="AA61" s="376" t="s">
        <v>333</v>
      </c>
      <c r="AB61" s="376" t="s">
        <v>334</v>
      </c>
      <c r="AC61" s="376" t="s">
        <v>315</v>
      </c>
      <c r="AD61" s="376" t="s">
        <v>335</v>
      </c>
      <c r="AE61" s="376" t="s">
        <v>207</v>
      </c>
      <c r="AF61" s="376" t="s">
        <v>200</v>
      </c>
      <c r="AG61" s="376" t="s">
        <v>178</v>
      </c>
      <c r="AH61" s="381">
        <v>23.12</v>
      </c>
      <c r="AI61" s="381">
        <v>19906.2</v>
      </c>
      <c r="AJ61" s="376" t="s">
        <v>179</v>
      </c>
      <c r="AK61" s="376" t="s">
        <v>180</v>
      </c>
      <c r="AL61" s="376" t="s">
        <v>181</v>
      </c>
      <c r="AM61" s="376" t="s">
        <v>182</v>
      </c>
      <c r="AN61" s="376" t="s">
        <v>68</v>
      </c>
      <c r="AO61" s="379">
        <v>80</v>
      </c>
      <c r="AP61" s="384">
        <v>1</v>
      </c>
      <c r="AQ61" s="384">
        <v>1</v>
      </c>
      <c r="AR61" s="382" t="s">
        <v>183</v>
      </c>
      <c r="AS61" s="386">
        <f t="shared" si="27"/>
        <v>1</v>
      </c>
      <c r="AT61">
        <f t="shared" si="28"/>
        <v>1</v>
      </c>
      <c r="AU61" s="386">
        <f>IF(AT61=0,"",IF(AND(AT61=1,M61="F",SUMIF(C2:C84,C61,AS2:AS84)&lt;=1),SUMIF(C2:C84,C61,AS2:AS84),IF(AND(AT61=1,M61="F",SUMIF(C2:C84,C61,AS2:AS84)&gt;1),1,"")))</f>
        <v>1</v>
      </c>
      <c r="AV61" s="386" t="str">
        <f>IF(AT61=0,"",IF(AND(AT61=3,M61="F",SUMIF(C2:C84,C61,AS2:AS84)&lt;=1),SUMIF(C2:C84,C61,AS2:AS84),IF(AND(AT61=3,M61="F",SUMIF(C2:C84,C61,AS2:AS84)&gt;1),1,"")))</f>
        <v/>
      </c>
      <c r="AW61" s="386">
        <f>SUMIF(C2:C84,C61,O2:O84)</f>
        <v>2</v>
      </c>
      <c r="AX61" s="386">
        <f>IF(AND(M61="F",AS61&lt;&gt;0),SUMIF(C2:C84,C61,W2:W84),0)</f>
        <v>48089.599999999999</v>
      </c>
      <c r="AY61" s="386">
        <f t="shared" si="29"/>
        <v>48089.599999999999</v>
      </c>
      <c r="AZ61" s="386" t="str">
        <f t="shared" si="30"/>
        <v/>
      </c>
      <c r="BA61" s="386">
        <f t="shared" si="31"/>
        <v>0</v>
      </c>
      <c r="BB61" s="386">
        <f t="shared" si="44"/>
        <v>11650</v>
      </c>
      <c r="BC61" s="386">
        <f t="shared" si="45"/>
        <v>0</v>
      </c>
      <c r="BD61" s="386">
        <f t="shared" si="46"/>
        <v>2981.5551999999998</v>
      </c>
      <c r="BE61" s="386">
        <f t="shared" si="47"/>
        <v>697.29920000000004</v>
      </c>
      <c r="BF61" s="386">
        <f t="shared" si="48"/>
        <v>5741.8982400000004</v>
      </c>
      <c r="BG61" s="386">
        <f t="shared" si="49"/>
        <v>346.72601600000002</v>
      </c>
      <c r="BH61" s="386">
        <f t="shared" si="50"/>
        <v>235.63903999999999</v>
      </c>
      <c r="BI61" s="386">
        <f t="shared" si="51"/>
        <v>266.17593599999998</v>
      </c>
      <c r="BJ61" s="386">
        <f t="shared" si="52"/>
        <v>211.59424000000001</v>
      </c>
      <c r="BK61" s="386">
        <f t="shared" si="53"/>
        <v>0</v>
      </c>
      <c r="BL61" s="386">
        <f t="shared" si="32"/>
        <v>10480.887872000001</v>
      </c>
      <c r="BM61" s="386">
        <f t="shared" si="33"/>
        <v>0</v>
      </c>
      <c r="BN61" s="386">
        <f t="shared" si="54"/>
        <v>11650</v>
      </c>
      <c r="BO61" s="386">
        <f t="shared" si="55"/>
        <v>0</v>
      </c>
      <c r="BP61" s="386">
        <f t="shared" si="56"/>
        <v>2981.5551999999998</v>
      </c>
      <c r="BQ61" s="386">
        <f t="shared" si="57"/>
        <v>697.29920000000004</v>
      </c>
      <c r="BR61" s="386">
        <f t="shared" si="58"/>
        <v>5741.8982400000004</v>
      </c>
      <c r="BS61" s="386">
        <f t="shared" si="59"/>
        <v>346.72601600000002</v>
      </c>
      <c r="BT61" s="386">
        <f t="shared" si="60"/>
        <v>0</v>
      </c>
      <c r="BU61" s="386">
        <f t="shared" si="61"/>
        <v>266.17593599999998</v>
      </c>
      <c r="BV61" s="386">
        <f t="shared" si="62"/>
        <v>216.40319999999997</v>
      </c>
      <c r="BW61" s="386">
        <f t="shared" si="63"/>
        <v>0</v>
      </c>
      <c r="BX61" s="386">
        <f t="shared" si="34"/>
        <v>10250.057792000001</v>
      </c>
      <c r="BY61" s="386">
        <f t="shared" si="35"/>
        <v>0</v>
      </c>
      <c r="BZ61" s="386">
        <f t="shared" si="36"/>
        <v>0</v>
      </c>
      <c r="CA61" s="386">
        <f t="shared" si="37"/>
        <v>0</v>
      </c>
      <c r="CB61" s="386">
        <f t="shared" si="38"/>
        <v>0</v>
      </c>
      <c r="CC61" s="386">
        <f t="shared" si="64"/>
        <v>0</v>
      </c>
      <c r="CD61" s="386">
        <f t="shared" si="65"/>
        <v>0</v>
      </c>
      <c r="CE61" s="386">
        <f t="shared" si="66"/>
        <v>0</v>
      </c>
      <c r="CF61" s="386">
        <f t="shared" si="67"/>
        <v>-235.63903999999999</v>
      </c>
      <c r="CG61" s="386">
        <f t="shared" si="68"/>
        <v>0</v>
      </c>
      <c r="CH61" s="386">
        <f t="shared" si="69"/>
        <v>4.8089599999999706</v>
      </c>
      <c r="CI61" s="386">
        <f t="shared" si="70"/>
        <v>0</v>
      </c>
      <c r="CJ61" s="386">
        <f t="shared" si="39"/>
        <v>-230.83008000000001</v>
      </c>
      <c r="CK61" s="386" t="str">
        <f t="shared" si="40"/>
        <v/>
      </c>
      <c r="CL61" s="386" t="str">
        <f t="shared" si="41"/>
        <v/>
      </c>
      <c r="CM61" s="386" t="str">
        <f t="shared" si="42"/>
        <v/>
      </c>
      <c r="CN61" s="386" t="str">
        <f t="shared" si="43"/>
        <v>0348-00</v>
      </c>
    </row>
    <row r="62" spans="1:92" ht="15.75" thickBot="1" x14ac:dyDescent="0.3">
      <c r="A62" s="376" t="s">
        <v>161</v>
      </c>
      <c r="B62" s="376" t="s">
        <v>162</v>
      </c>
      <c r="C62" s="376" t="s">
        <v>316</v>
      </c>
      <c r="D62" s="376" t="s">
        <v>317</v>
      </c>
      <c r="E62" s="376" t="s">
        <v>417</v>
      </c>
      <c r="F62" s="377" t="s">
        <v>166</v>
      </c>
      <c r="G62" s="376" t="s">
        <v>167</v>
      </c>
      <c r="H62" s="378"/>
      <c r="I62" s="378"/>
      <c r="J62" s="376" t="s">
        <v>168</v>
      </c>
      <c r="K62" s="376" t="s">
        <v>318</v>
      </c>
      <c r="L62" s="376" t="s">
        <v>226</v>
      </c>
      <c r="M62" s="376" t="s">
        <v>171</v>
      </c>
      <c r="N62" s="376" t="s">
        <v>172</v>
      </c>
      <c r="O62" s="379">
        <v>1</v>
      </c>
      <c r="P62" s="384">
        <v>1</v>
      </c>
      <c r="Q62" s="384">
        <v>1</v>
      </c>
      <c r="R62" s="380">
        <v>80</v>
      </c>
      <c r="S62" s="384">
        <v>1</v>
      </c>
      <c r="T62" s="380">
        <v>48444.94</v>
      </c>
      <c r="U62" s="380">
        <v>0</v>
      </c>
      <c r="V62" s="380">
        <v>21479.99</v>
      </c>
      <c r="W62" s="380">
        <v>52020.800000000003</v>
      </c>
      <c r="X62" s="380">
        <v>22987.9</v>
      </c>
      <c r="Y62" s="380">
        <v>52020.800000000003</v>
      </c>
      <c r="Z62" s="380">
        <v>22738.2</v>
      </c>
      <c r="AA62" s="376" t="s">
        <v>319</v>
      </c>
      <c r="AB62" s="376" t="s">
        <v>320</v>
      </c>
      <c r="AC62" s="376" t="s">
        <v>321</v>
      </c>
      <c r="AD62" s="376" t="s">
        <v>322</v>
      </c>
      <c r="AE62" s="376" t="s">
        <v>318</v>
      </c>
      <c r="AF62" s="376" t="s">
        <v>231</v>
      </c>
      <c r="AG62" s="376" t="s">
        <v>178</v>
      </c>
      <c r="AH62" s="381">
        <v>25.01</v>
      </c>
      <c r="AI62" s="379">
        <v>7799</v>
      </c>
      <c r="AJ62" s="376" t="s">
        <v>179</v>
      </c>
      <c r="AK62" s="376" t="s">
        <v>180</v>
      </c>
      <c r="AL62" s="376" t="s">
        <v>181</v>
      </c>
      <c r="AM62" s="376" t="s">
        <v>182</v>
      </c>
      <c r="AN62" s="376" t="s">
        <v>68</v>
      </c>
      <c r="AO62" s="379">
        <v>80</v>
      </c>
      <c r="AP62" s="384">
        <v>1</v>
      </c>
      <c r="AQ62" s="384">
        <v>1</v>
      </c>
      <c r="AR62" s="382" t="s">
        <v>183</v>
      </c>
      <c r="AS62" s="386">
        <f t="shared" si="27"/>
        <v>1</v>
      </c>
      <c r="AT62">
        <f t="shared" si="28"/>
        <v>1</v>
      </c>
      <c r="AU62" s="386">
        <f>IF(AT62=0,"",IF(AND(AT62=1,M62="F",SUMIF(C2:C84,C62,AS2:AS84)&lt;=1),SUMIF(C2:C84,C62,AS2:AS84),IF(AND(AT62=1,M62="F",SUMIF(C2:C84,C62,AS2:AS84)&gt;1),1,"")))</f>
        <v>1</v>
      </c>
      <c r="AV62" s="386" t="str">
        <f>IF(AT62=0,"",IF(AND(AT62=3,M62="F",SUMIF(C2:C84,C62,AS2:AS84)&lt;=1),SUMIF(C2:C84,C62,AS2:AS84),IF(AND(AT62=3,M62="F",SUMIF(C2:C84,C62,AS2:AS84)&gt;1),1,"")))</f>
        <v/>
      </c>
      <c r="AW62" s="386">
        <f>SUMIF(C2:C84,C62,O2:O84)</f>
        <v>2</v>
      </c>
      <c r="AX62" s="386">
        <f>IF(AND(M62="F",AS62&lt;&gt;0),SUMIF(C2:C84,C62,W2:W84),0)</f>
        <v>52020.800000000003</v>
      </c>
      <c r="AY62" s="386">
        <f t="shared" si="29"/>
        <v>52020.800000000003</v>
      </c>
      <c r="AZ62" s="386" t="str">
        <f t="shared" si="30"/>
        <v/>
      </c>
      <c r="BA62" s="386">
        <f t="shared" si="31"/>
        <v>0</v>
      </c>
      <c r="BB62" s="386">
        <f t="shared" si="44"/>
        <v>11650</v>
      </c>
      <c r="BC62" s="386">
        <f t="shared" si="45"/>
        <v>0</v>
      </c>
      <c r="BD62" s="386">
        <f t="shared" si="46"/>
        <v>3225.2896000000001</v>
      </c>
      <c r="BE62" s="386">
        <f t="shared" si="47"/>
        <v>754.30160000000012</v>
      </c>
      <c r="BF62" s="386">
        <f t="shared" si="48"/>
        <v>6211.2835200000009</v>
      </c>
      <c r="BG62" s="386">
        <f t="shared" si="49"/>
        <v>375.06996800000002</v>
      </c>
      <c r="BH62" s="386">
        <f t="shared" si="50"/>
        <v>254.90192000000002</v>
      </c>
      <c r="BI62" s="386">
        <f t="shared" si="51"/>
        <v>287.93512800000002</v>
      </c>
      <c r="BJ62" s="386">
        <f t="shared" si="52"/>
        <v>228.89152000000001</v>
      </c>
      <c r="BK62" s="386">
        <f t="shared" si="53"/>
        <v>0</v>
      </c>
      <c r="BL62" s="386">
        <f t="shared" si="32"/>
        <v>11337.673256</v>
      </c>
      <c r="BM62" s="386">
        <f t="shared" si="33"/>
        <v>0</v>
      </c>
      <c r="BN62" s="386">
        <f t="shared" si="54"/>
        <v>11650</v>
      </c>
      <c r="BO62" s="386">
        <f t="shared" si="55"/>
        <v>0</v>
      </c>
      <c r="BP62" s="386">
        <f t="shared" si="56"/>
        <v>3225.2896000000001</v>
      </c>
      <c r="BQ62" s="386">
        <f t="shared" si="57"/>
        <v>754.30160000000012</v>
      </c>
      <c r="BR62" s="386">
        <f t="shared" si="58"/>
        <v>6211.2835200000009</v>
      </c>
      <c r="BS62" s="386">
        <f t="shared" si="59"/>
        <v>375.06996800000002</v>
      </c>
      <c r="BT62" s="386">
        <f t="shared" si="60"/>
        <v>0</v>
      </c>
      <c r="BU62" s="386">
        <f t="shared" si="61"/>
        <v>287.93512800000002</v>
      </c>
      <c r="BV62" s="386">
        <f t="shared" si="62"/>
        <v>234.09360000000001</v>
      </c>
      <c r="BW62" s="386">
        <f t="shared" si="63"/>
        <v>0</v>
      </c>
      <c r="BX62" s="386">
        <f t="shared" si="34"/>
        <v>11087.973416000001</v>
      </c>
      <c r="BY62" s="386">
        <f t="shared" si="35"/>
        <v>0</v>
      </c>
      <c r="BZ62" s="386">
        <f t="shared" si="36"/>
        <v>0</v>
      </c>
      <c r="CA62" s="386">
        <f t="shared" si="37"/>
        <v>0</v>
      </c>
      <c r="CB62" s="386">
        <f t="shared" si="38"/>
        <v>0</v>
      </c>
      <c r="CC62" s="386">
        <f t="shared" si="64"/>
        <v>0</v>
      </c>
      <c r="CD62" s="386">
        <f t="shared" si="65"/>
        <v>0</v>
      </c>
      <c r="CE62" s="386">
        <f t="shared" si="66"/>
        <v>0</v>
      </c>
      <c r="CF62" s="386">
        <f t="shared" si="67"/>
        <v>-254.90192000000002</v>
      </c>
      <c r="CG62" s="386">
        <f t="shared" si="68"/>
        <v>0</v>
      </c>
      <c r="CH62" s="386">
        <f t="shared" si="69"/>
        <v>5.2020799999999685</v>
      </c>
      <c r="CI62" s="386">
        <f t="shared" si="70"/>
        <v>0</v>
      </c>
      <c r="CJ62" s="386">
        <f t="shared" si="39"/>
        <v>-249.69984000000005</v>
      </c>
      <c r="CK62" s="386" t="str">
        <f t="shared" si="40"/>
        <v/>
      </c>
      <c r="CL62" s="386" t="str">
        <f t="shared" si="41"/>
        <v/>
      </c>
      <c r="CM62" s="386" t="str">
        <f t="shared" si="42"/>
        <v/>
      </c>
      <c r="CN62" s="386" t="str">
        <f t="shared" si="43"/>
        <v>0348-00</v>
      </c>
    </row>
    <row r="63" spans="1:92" ht="15.75" thickBot="1" x14ac:dyDescent="0.3">
      <c r="A63" s="376" t="s">
        <v>161</v>
      </c>
      <c r="B63" s="376" t="s">
        <v>162</v>
      </c>
      <c r="C63" s="376" t="s">
        <v>356</v>
      </c>
      <c r="D63" s="376" t="s">
        <v>206</v>
      </c>
      <c r="E63" s="376" t="s">
        <v>417</v>
      </c>
      <c r="F63" s="377" t="s">
        <v>166</v>
      </c>
      <c r="G63" s="376" t="s">
        <v>167</v>
      </c>
      <c r="H63" s="378"/>
      <c r="I63" s="378"/>
      <c r="J63" s="376" t="s">
        <v>168</v>
      </c>
      <c r="K63" s="376" t="s">
        <v>207</v>
      </c>
      <c r="L63" s="376" t="s">
        <v>195</v>
      </c>
      <c r="M63" s="376" t="s">
        <v>171</v>
      </c>
      <c r="N63" s="376" t="s">
        <v>172</v>
      </c>
      <c r="O63" s="379">
        <v>1</v>
      </c>
      <c r="P63" s="384">
        <v>0</v>
      </c>
      <c r="Q63" s="384">
        <v>0</v>
      </c>
      <c r="R63" s="380">
        <v>80</v>
      </c>
      <c r="S63" s="384">
        <v>0</v>
      </c>
      <c r="T63" s="380">
        <v>5301.6</v>
      </c>
      <c r="U63" s="380">
        <v>0</v>
      </c>
      <c r="V63" s="380">
        <v>2093.36</v>
      </c>
      <c r="W63" s="380">
        <v>0</v>
      </c>
      <c r="X63" s="380">
        <v>0</v>
      </c>
      <c r="Y63" s="380">
        <v>0</v>
      </c>
      <c r="Z63" s="380">
        <v>0</v>
      </c>
      <c r="AA63" s="376" t="s">
        <v>357</v>
      </c>
      <c r="AB63" s="376" t="s">
        <v>358</v>
      </c>
      <c r="AC63" s="376" t="s">
        <v>359</v>
      </c>
      <c r="AD63" s="376" t="s">
        <v>360</v>
      </c>
      <c r="AE63" s="376" t="s">
        <v>207</v>
      </c>
      <c r="AF63" s="376" t="s">
        <v>200</v>
      </c>
      <c r="AG63" s="376" t="s">
        <v>178</v>
      </c>
      <c r="AH63" s="381">
        <v>22.48</v>
      </c>
      <c r="AI63" s="379">
        <v>11627</v>
      </c>
      <c r="AJ63" s="376" t="s">
        <v>179</v>
      </c>
      <c r="AK63" s="376" t="s">
        <v>180</v>
      </c>
      <c r="AL63" s="376" t="s">
        <v>181</v>
      </c>
      <c r="AM63" s="376" t="s">
        <v>182</v>
      </c>
      <c r="AN63" s="376" t="s">
        <v>68</v>
      </c>
      <c r="AO63" s="379">
        <v>80</v>
      </c>
      <c r="AP63" s="384">
        <v>1</v>
      </c>
      <c r="AQ63" s="384">
        <v>0</v>
      </c>
      <c r="AR63" s="382" t="s">
        <v>183</v>
      </c>
      <c r="AS63" s="386">
        <f t="shared" si="27"/>
        <v>0</v>
      </c>
      <c r="AT63">
        <f t="shared" si="28"/>
        <v>0</v>
      </c>
      <c r="AU63" s="386" t="str">
        <f>IF(AT63=0,"",IF(AND(AT63=1,M63="F",SUMIF(C2:C84,C63,AS2:AS84)&lt;=1),SUMIF(C2:C84,C63,AS2:AS84),IF(AND(AT63=1,M63="F",SUMIF(C2:C84,C63,AS2:AS84)&gt;1),1,"")))</f>
        <v/>
      </c>
      <c r="AV63" s="386" t="str">
        <f>IF(AT63=0,"",IF(AND(AT63=3,M63="F",SUMIF(C2:C84,C63,AS2:AS84)&lt;=1),SUMIF(C2:C84,C63,AS2:AS84),IF(AND(AT63=3,M63="F",SUMIF(C2:C84,C63,AS2:AS84)&gt;1),1,"")))</f>
        <v/>
      </c>
      <c r="AW63" s="386">
        <f>SUMIF(C2:C84,C63,O2:O84)</f>
        <v>2</v>
      </c>
      <c r="AX63" s="386">
        <f>IF(AND(M63="F",AS63&lt;&gt;0),SUMIF(C2:C84,C63,W2:W84),0)</f>
        <v>0</v>
      </c>
      <c r="AY63" s="386" t="str">
        <f t="shared" si="29"/>
        <v/>
      </c>
      <c r="AZ63" s="386" t="str">
        <f t="shared" si="30"/>
        <v/>
      </c>
      <c r="BA63" s="386">
        <f t="shared" si="31"/>
        <v>0</v>
      </c>
      <c r="BB63" s="386">
        <f t="shared" si="44"/>
        <v>0</v>
      </c>
      <c r="BC63" s="386">
        <f t="shared" si="45"/>
        <v>0</v>
      </c>
      <c r="BD63" s="386">
        <f t="shared" si="46"/>
        <v>0</v>
      </c>
      <c r="BE63" s="386">
        <f t="shared" si="47"/>
        <v>0</v>
      </c>
      <c r="BF63" s="386">
        <f t="shared" si="48"/>
        <v>0</v>
      </c>
      <c r="BG63" s="386">
        <f t="shared" si="49"/>
        <v>0</v>
      </c>
      <c r="BH63" s="386">
        <f t="shared" si="50"/>
        <v>0</v>
      </c>
      <c r="BI63" s="386">
        <f t="shared" si="51"/>
        <v>0</v>
      </c>
      <c r="BJ63" s="386">
        <f t="shared" si="52"/>
        <v>0</v>
      </c>
      <c r="BK63" s="386">
        <f t="shared" si="53"/>
        <v>0</v>
      </c>
      <c r="BL63" s="386">
        <f t="shared" si="32"/>
        <v>0</v>
      </c>
      <c r="BM63" s="386">
        <f t="shared" si="33"/>
        <v>0</v>
      </c>
      <c r="BN63" s="386">
        <f t="shared" si="54"/>
        <v>0</v>
      </c>
      <c r="BO63" s="386">
        <f t="shared" si="55"/>
        <v>0</v>
      </c>
      <c r="BP63" s="386">
        <f t="shared" si="56"/>
        <v>0</v>
      </c>
      <c r="BQ63" s="386">
        <f t="shared" si="57"/>
        <v>0</v>
      </c>
      <c r="BR63" s="386">
        <f t="shared" si="58"/>
        <v>0</v>
      </c>
      <c r="BS63" s="386">
        <f t="shared" si="59"/>
        <v>0</v>
      </c>
      <c r="BT63" s="386">
        <f t="shared" si="60"/>
        <v>0</v>
      </c>
      <c r="BU63" s="386">
        <f t="shared" si="61"/>
        <v>0</v>
      </c>
      <c r="BV63" s="386">
        <f t="shared" si="62"/>
        <v>0</v>
      </c>
      <c r="BW63" s="386">
        <f t="shared" si="63"/>
        <v>0</v>
      </c>
      <c r="BX63" s="386">
        <f t="shared" si="34"/>
        <v>0</v>
      </c>
      <c r="BY63" s="386">
        <f t="shared" si="35"/>
        <v>0</v>
      </c>
      <c r="BZ63" s="386">
        <f t="shared" si="36"/>
        <v>0</v>
      </c>
      <c r="CA63" s="386">
        <f t="shared" si="37"/>
        <v>0</v>
      </c>
      <c r="CB63" s="386">
        <f t="shared" si="38"/>
        <v>0</v>
      </c>
      <c r="CC63" s="386">
        <f t="shared" si="64"/>
        <v>0</v>
      </c>
      <c r="CD63" s="386">
        <f t="shared" si="65"/>
        <v>0</v>
      </c>
      <c r="CE63" s="386">
        <f t="shared" si="66"/>
        <v>0</v>
      </c>
      <c r="CF63" s="386">
        <f t="shared" si="67"/>
        <v>0</v>
      </c>
      <c r="CG63" s="386">
        <f t="shared" si="68"/>
        <v>0</v>
      </c>
      <c r="CH63" s="386">
        <f t="shared" si="69"/>
        <v>0</v>
      </c>
      <c r="CI63" s="386">
        <f t="shared" si="70"/>
        <v>0</v>
      </c>
      <c r="CJ63" s="386">
        <f t="shared" si="39"/>
        <v>0</v>
      </c>
      <c r="CK63" s="386" t="str">
        <f t="shared" si="40"/>
        <v/>
      </c>
      <c r="CL63" s="386" t="str">
        <f t="shared" si="41"/>
        <v/>
      </c>
      <c r="CM63" s="386" t="str">
        <f t="shared" si="42"/>
        <v/>
      </c>
      <c r="CN63" s="386" t="str">
        <f t="shared" si="43"/>
        <v>0348-00</v>
      </c>
    </row>
    <row r="64" spans="1:92" ht="15.75" thickBot="1" x14ac:dyDescent="0.3">
      <c r="A64" s="376" t="s">
        <v>161</v>
      </c>
      <c r="B64" s="376" t="s">
        <v>162</v>
      </c>
      <c r="C64" s="376" t="s">
        <v>328</v>
      </c>
      <c r="D64" s="376" t="s">
        <v>206</v>
      </c>
      <c r="E64" s="376" t="s">
        <v>417</v>
      </c>
      <c r="F64" s="377" t="s">
        <v>166</v>
      </c>
      <c r="G64" s="376" t="s">
        <v>167</v>
      </c>
      <c r="H64" s="378"/>
      <c r="I64" s="378"/>
      <c r="J64" s="376" t="s">
        <v>168</v>
      </c>
      <c r="K64" s="376" t="s">
        <v>207</v>
      </c>
      <c r="L64" s="376" t="s">
        <v>195</v>
      </c>
      <c r="M64" s="376" t="s">
        <v>171</v>
      </c>
      <c r="N64" s="376" t="s">
        <v>172</v>
      </c>
      <c r="O64" s="379">
        <v>1</v>
      </c>
      <c r="P64" s="384">
        <v>1</v>
      </c>
      <c r="Q64" s="384">
        <v>1</v>
      </c>
      <c r="R64" s="380">
        <v>80</v>
      </c>
      <c r="S64" s="384">
        <v>1</v>
      </c>
      <c r="T64" s="380">
        <v>42970.21</v>
      </c>
      <c r="U64" s="380">
        <v>0</v>
      </c>
      <c r="V64" s="380">
        <v>19672.099999999999</v>
      </c>
      <c r="W64" s="380">
        <v>46404.800000000003</v>
      </c>
      <c r="X64" s="380">
        <v>21763.89</v>
      </c>
      <c r="Y64" s="380">
        <v>46404.800000000003</v>
      </c>
      <c r="Z64" s="380">
        <v>21541.15</v>
      </c>
      <c r="AA64" s="376" t="s">
        <v>329</v>
      </c>
      <c r="AB64" s="376" t="s">
        <v>300</v>
      </c>
      <c r="AC64" s="376" t="s">
        <v>330</v>
      </c>
      <c r="AD64" s="376" t="s">
        <v>331</v>
      </c>
      <c r="AE64" s="376" t="s">
        <v>207</v>
      </c>
      <c r="AF64" s="376" t="s">
        <v>200</v>
      </c>
      <c r="AG64" s="376" t="s">
        <v>178</v>
      </c>
      <c r="AH64" s="381">
        <v>22.31</v>
      </c>
      <c r="AI64" s="381">
        <v>6774.4</v>
      </c>
      <c r="AJ64" s="376" t="s">
        <v>179</v>
      </c>
      <c r="AK64" s="376" t="s">
        <v>180</v>
      </c>
      <c r="AL64" s="376" t="s">
        <v>181</v>
      </c>
      <c r="AM64" s="376" t="s">
        <v>182</v>
      </c>
      <c r="AN64" s="376" t="s">
        <v>68</v>
      </c>
      <c r="AO64" s="379">
        <v>80</v>
      </c>
      <c r="AP64" s="384">
        <v>1</v>
      </c>
      <c r="AQ64" s="384">
        <v>1</v>
      </c>
      <c r="AR64" s="382" t="s">
        <v>183</v>
      </c>
      <c r="AS64" s="386">
        <f t="shared" si="27"/>
        <v>1</v>
      </c>
      <c r="AT64">
        <f t="shared" si="28"/>
        <v>1</v>
      </c>
      <c r="AU64" s="386">
        <f>IF(AT64=0,"",IF(AND(AT64=1,M64="F",SUMIF(C2:C84,C64,AS2:AS84)&lt;=1),SUMIF(C2:C84,C64,AS2:AS84),IF(AND(AT64=1,M64="F",SUMIF(C2:C84,C64,AS2:AS84)&gt;1),1,"")))</f>
        <v>1</v>
      </c>
      <c r="AV64" s="386" t="str">
        <f>IF(AT64=0,"",IF(AND(AT64=3,M64="F",SUMIF(C2:C84,C64,AS2:AS84)&lt;=1),SUMIF(C2:C84,C64,AS2:AS84),IF(AND(AT64=3,M64="F",SUMIF(C2:C84,C64,AS2:AS84)&gt;1),1,"")))</f>
        <v/>
      </c>
      <c r="AW64" s="386">
        <f>SUMIF(C2:C84,C64,O2:O84)</f>
        <v>2</v>
      </c>
      <c r="AX64" s="386">
        <f>IF(AND(M64="F",AS64&lt;&gt;0),SUMIF(C2:C84,C64,W2:W84),0)</f>
        <v>46404.800000000003</v>
      </c>
      <c r="AY64" s="386">
        <f t="shared" si="29"/>
        <v>46404.800000000003</v>
      </c>
      <c r="AZ64" s="386" t="str">
        <f t="shared" si="30"/>
        <v/>
      </c>
      <c r="BA64" s="386">
        <f t="shared" si="31"/>
        <v>0</v>
      </c>
      <c r="BB64" s="386">
        <f t="shared" si="44"/>
        <v>11650</v>
      </c>
      <c r="BC64" s="386">
        <f t="shared" si="45"/>
        <v>0</v>
      </c>
      <c r="BD64" s="386">
        <f t="shared" si="46"/>
        <v>2877.0976000000001</v>
      </c>
      <c r="BE64" s="386">
        <f t="shared" si="47"/>
        <v>672.8696000000001</v>
      </c>
      <c r="BF64" s="386">
        <f t="shared" si="48"/>
        <v>5540.7331200000008</v>
      </c>
      <c r="BG64" s="386">
        <f t="shared" si="49"/>
        <v>334.57860800000003</v>
      </c>
      <c r="BH64" s="386">
        <f t="shared" si="50"/>
        <v>227.38352</v>
      </c>
      <c r="BI64" s="386">
        <f t="shared" si="51"/>
        <v>256.85056800000001</v>
      </c>
      <c r="BJ64" s="386">
        <f t="shared" si="52"/>
        <v>204.18112000000002</v>
      </c>
      <c r="BK64" s="386">
        <f t="shared" si="53"/>
        <v>0</v>
      </c>
      <c r="BL64" s="386">
        <f t="shared" si="32"/>
        <v>10113.694135999998</v>
      </c>
      <c r="BM64" s="386">
        <f t="shared" si="33"/>
        <v>0</v>
      </c>
      <c r="BN64" s="386">
        <f t="shared" si="54"/>
        <v>11650</v>
      </c>
      <c r="BO64" s="386">
        <f t="shared" si="55"/>
        <v>0</v>
      </c>
      <c r="BP64" s="386">
        <f t="shared" si="56"/>
        <v>2877.0976000000001</v>
      </c>
      <c r="BQ64" s="386">
        <f t="shared" si="57"/>
        <v>672.8696000000001</v>
      </c>
      <c r="BR64" s="386">
        <f t="shared" si="58"/>
        <v>5540.7331200000008</v>
      </c>
      <c r="BS64" s="386">
        <f t="shared" si="59"/>
        <v>334.57860800000003</v>
      </c>
      <c r="BT64" s="386">
        <f t="shared" si="60"/>
        <v>0</v>
      </c>
      <c r="BU64" s="386">
        <f t="shared" si="61"/>
        <v>256.85056800000001</v>
      </c>
      <c r="BV64" s="386">
        <f t="shared" si="62"/>
        <v>208.82159999999999</v>
      </c>
      <c r="BW64" s="386">
        <f t="shared" si="63"/>
        <v>0</v>
      </c>
      <c r="BX64" s="386">
        <f t="shared" si="34"/>
        <v>9890.9510959999989</v>
      </c>
      <c r="BY64" s="386">
        <f t="shared" si="35"/>
        <v>0</v>
      </c>
      <c r="BZ64" s="386">
        <f t="shared" si="36"/>
        <v>0</v>
      </c>
      <c r="CA64" s="386">
        <f t="shared" si="37"/>
        <v>0</v>
      </c>
      <c r="CB64" s="386">
        <f t="shared" si="38"/>
        <v>0</v>
      </c>
      <c r="CC64" s="386">
        <f t="shared" si="64"/>
        <v>0</v>
      </c>
      <c r="CD64" s="386">
        <f t="shared" si="65"/>
        <v>0</v>
      </c>
      <c r="CE64" s="386">
        <f t="shared" si="66"/>
        <v>0</v>
      </c>
      <c r="CF64" s="386">
        <f t="shared" si="67"/>
        <v>-227.38352</v>
      </c>
      <c r="CG64" s="386">
        <f t="shared" si="68"/>
        <v>0</v>
      </c>
      <c r="CH64" s="386">
        <f t="shared" si="69"/>
        <v>4.6404799999999726</v>
      </c>
      <c r="CI64" s="386">
        <f t="shared" si="70"/>
        <v>0</v>
      </c>
      <c r="CJ64" s="386">
        <f t="shared" si="39"/>
        <v>-222.74304000000004</v>
      </c>
      <c r="CK64" s="386" t="str">
        <f t="shared" si="40"/>
        <v/>
      </c>
      <c r="CL64" s="386" t="str">
        <f t="shared" si="41"/>
        <v/>
      </c>
      <c r="CM64" s="386" t="str">
        <f t="shared" si="42"/>
        <v/>
      </c>
      <c r="CN64" s="386" t="str">
        <f t="shared" si="43"/>
        <v>0348-00</v>
      </c>
    </row>
    <row r="65" spans="1:92" ht="15.75" thickBot="1" x14ac:dyDescent="0.3">
      <c r="A65" s="376" t="s">
        <v>161</v>
      </c>
      <c r="B65" s="376" t="s">
        <v>162</v>
      </c>
      <c r="C65" s="376" t="s">
        <v>366</v>
      </c>
      <c r="D65" s="376" t="s">
        <v>367</v>
      </c>
      <c r="E65" s="376" t="s">
        <v>417</v>
      </c>
      <c r="F65" s="377" t="s">
        <v>166</v>
      </c>
      <c r="G65" s="376" t="s">
        <v>167</v>
      </c>
      <c r="H65" s="378"/>
      <c r="I65" s="378"/>
      <c r="J65" s="376" t="s">
        <v>168</v>
      </c>
      <c r="K65" s="376" t="s">
        <v>368</v>
      </c>
      <c r="L65" s="376" t="s">
        <v>354</v>
      </c>
      <c r="M65" s="376" t="s">
        <v>171</v>
      </c>
      <c r="N65" s="376" t="s">
        <v>172</v>
      </c>
      <c r="O65" s="379">
        <v>1</v>
      </c>
      <c r="P65" s="384">
        <v>0</v>
      </c>
      <c r="Q65" s="384">
        <v>0</v>
      </c>
      <c r="R65" s="380">
        <v>80</v>
      </c>
      <c r="S65" s="384">
        <v>0</v>
      </c>
      <c r="T65" s="380">
        <v>8153.6</v>
      </c>
      <c r="U65" s="380">
        <v>0</v>
      </c>
      <c r="V65" s="380">
        <v>3651.23</v>
      </c>
      <c r="W65" s="380">
        <v>0</v>
      </c>
      <c r="X65" s="380">
        <v>0</v>
      </c>
      <c r="Y65" s="380">
        <v>0</v>
      </c>
      <c r="Z65" s="380">
        <v>0</v>
      </c>
      <c r="AA65" s="376" t="s">
        <v>369</v>
      </c>
      <c r="AB65" s="376" t="s">
        <v>370</v>
      </c>
      <c r="AC65" s="376" t="s">
        <v>371</v>
      </c>
      <c r="AD65" s="376" t="s">
        <v>372</v>
      </c>
      <c r="AE65" s="376" t="s">
        <v>368</v>
      </c>
      <c r="AF65" s="376" t="s">
        <v>373</v>
      </c>
      <c r="AG65" s="376" t="s">
        <v>178</v>
      </c>
      <c r="AH65" s="381">
        <v>20.57</v>
      </c>
      <c r="AI65" s="381">
        <v>5175.7</v>
      </c>
      <c r="AJ65" s="376" t="s">
        <v>179</v>
      </c>
      <c r="AK65" s="376" t="s">
        <v>180</v>
      </c>
      <c r="AL65" s="376" t="s">
        <v>181</v>
      </c>
      <c r="AM65" s="376" t="s">
        <v>182</v>
      </c>
      <c r="AN65" s="376" t="s">
        <v>68</v>
      </c>
      <c r="AO65" s="379">
        <v>80</v>
      </c>
      <c r="AP65" s="384">
        <v>1</v>
      </c>
      <c r="AQ65" s="384">
        <v>0</v>
      </c>
      <c r="AR65" s="382" t="s">
        <v>183</v>
      </c>
      <c r="AS65" s="386">
        <f t="shared" si="27"/>
        <v>0</v>
      </c>
      <c r="AT65">
        <f t="shared" si="28"/>
        <v>0</v>
      </c>
      <c r="AU65" s="386" t="str">
        <f>IF(AT65=0,"",IF(AND(AT65=1,M65="F",SUMIF(C2:C84,C65,AS2:AS84)&lt;=1),SUMIF(C2:C84,C65,AS2:AS84),IF(AND(AT65=1,M65="F",SUMIF(C2:C84,C65,AS2:AS84)&gt;1),1,"")))</f>
        <v/>
      </c>
      <c r="AV65" s="386" t="str">
        <f>IF(AT65=0,"",IF(AND(AT65=3,M65="F",SUMIF(C2:C84,C65,AS2:AS84)&lt;=1),SUMIF(C2:C84,C65,AS2:AS84),IF(AND(AT65=3,M65="F",SUMIF(C2:C84,C65,AS2:AS84)&gt;1),1,"")))</f>
        <v/>
      </c>
      <c r="AW65" s="386">
        <f>SUMIF(C2:C84,C65,O2:O84)</f>
        <v>2</v>
      </c>
      <c r="AX65" s="386">
        <f>IF(AND(M65="F",AS65&lt;&gt;0),SUMIF(C2:C84,C65,W2:W84),0)</f>
        <v>0</v>
      </c>
      <c r="AY65" s="386" t="str">
        <f t="shared" si="29"/>
        <v/>
      </c>
      <c r="AZ65" s="386" t="str">
        <f t="shared" si="30"/>
        <v/>
      </c>
      <c r="BA65" s="386">
        <f t="shared" si="31"/>
        <v>0</v>
      </c>
      <c r="BB65" s="386">
        <f t="shared" si="44"/>
        <v>0</v>
      </c>
      <c r="BC65" s="386">
        <f t="shared" si="45"/>
        <v>0</v>
      </c>
      <c r="BD65" s="386">
        <f t="shared" si="46"/>
        <v>0</v>
      </c>
      <c r="BE65" s="386">
        <f t="shared" si="47"/>
        <v>0</v>
      </c>
      <c r="BF65" s="386">
        <f t="shared" si="48"/>
        <v>0</v>
      </c>
      <c r="BG65" s="386">
        <f t="shared" si="49"/>
        <v>0</v>
      </c>
      <c r="BH65" s="386">
        <f t="shared" si="50"/>
        <v>0</v>
      </c>
      <c r="BI65" s="386">
        <f t="shared" si="51"/>
        <v>0</v>
      </c>
      <c r="BJ65" s="386">
        <f t="shared" si="52"/>
        <v>0</v>
      </c>
      <c r="BK65" s="386">
        <f t="shared" si="53"/>
        <v>0</v>
      </c>
      <c r="BL65" s="386">
        <f t="shared" si="32"/>
        <v>0</v>
      </c>
      <c r="BM65" s="386">
        <f t="shared" si="33"/>
        <v>0</v>
      </c>
      <c r="BN65" s="386">
        <f t="shared" si="54"/>
        <v>0</v>
      </c>
      <c r="BO65" s="386">
        <f t="shared" si="55"/>
        <v>0</v>
      </c>
      <c r="BP65" s="386">
        <f t="shared" si="56"/>
        <v>0</v>
      </c>
      <c r="BQ65" s="386">
        <f t="shared" si="57"/>
        <v>0</v>
      </c>
      <c r="BR65" s="386">
        <f t="shared" si="58"/>
        <v>0</v>
      </c>
      <c r="BS65" s="386">
        <f t="shared" si="59"/>
        <v>0</v>
      </c>
      <c r="BT65" s="386">
        <f t="shared" si="60"/>
        <v>0</v>
      </c>
      <c r="BU65" s="386">
        <f t="shared" si="61"/>
        <v>0</v>
      </c>
      <c r="BV65" s="386">
        <f t="shared" si="62"/>
        <v>0</v>
      </c>
      <c r="BW65" s="386">
        <f t="shared" si="63"/>
        <v>0</v>
      </c>
      <c r="BX65" s="386">
        <f t="shared" si="34"/>
        <v>0</v>
      </c>
      <c r="BY65" s="386">
        <f t="shared" si="35"/>
        <v>0</v>
      </c>
      <c r="BZ65" s="386">
        <f t="shared" si="36"/>
        <v>0</v>
      </c>
      <c r="CA65" s="386">
        <f t="shared" si="37"/>
        <v>0</v>
      </c>
      <c r="CB65" s="386">
        <f t="shared" si="38"/>
        <v>0</v>
      </c>
      <c r="CC65" s="386">
        <f t="shared" si="64"/>
        <v>0</v>
      </c>
      <c r="CD65" s="386">
        <f t="shared" si="65"/>
        <v>0</v>
      </c>
      <c r="CE65" s="386">
        <f t="shared" si="66"/>
        <v>0</v>
      </c>
      <c r="CF65" s="386">
        <f t="shared" si="67"/>
        <v>0</v>
      </c>
      <c r="CG65" s="386">
        <f t="shared" si="68"/>
        <v>0</v>
      </c>
      <c r="CH65" s="386">
        <f t="shared" si="69"/>
        <v>0</v>
      </c>
      <c r="CI65" s="386">
        <f t="shared" si="70"/>
        <v>0</v>
      </c>
      <c r="CJ65" s="386">
        <f t="shared" si="39"/>
        <v>0</v>
      </c>
      <c r="CK65" s="386" t="str">
        <f t="shared" si="40"/>
        <v/>
      </c>
      <c r="CL65" s="386" t="str">
        <f t="shared" si="41"/>
        <v/>
      </c>
      <c r="CM65" s="386" t="str">
        <f t="shared" si="42"/>
        <v/>
      </c>
      <c r="CN65" s="386" t="str">
        <f t="shared" si="43"/>
        <v>0348-00</v>
      </c>
    </row>
    <row r="66" spans="1:92" ht="15.75" thickBot="1" x14ac:dyDescent="0.3">
      <c r="A66" s="376" t="s">
        <v>161</v>
      </c>
      <c r="B66" s="376" t="s">
        <v>162</v>
      </c>
      <c r="C66" s="376" t="s">
        <v>336</v>
      </c>
      <c r="D66" s="376" t="s">
        <v>258</v>
      </c>
      <c r="E66" s="376" t="s">
        <v>417</v>
      </c>
      <c r="F66" s="377" t="s">
        <v>166</v>
      </c>
      <c r="G66" s="376" t="s">
        <v>167</v>
      </c>
      <c r="H66" s="378"/>
      <c r="I66" s="378"/>
      <c r="J66" s="376" t="s">
        <v>168</v>
      </c>
      <c r="K66" s="376" t="s">
        <v>259</v>
      </c>
      <c r="L66" s="376" t="s">
        <v>226</v>
      </c>
      <c r="M66" s="376" t="s">
        <v>171</v>
      </c>
      <c r="N66" s="376" t="s">
        <v>172</v>
      </c>
      <c r="O66" s="379">
        <v>1</v>
      </c>
      <c r="P66" s="384">
        <v>1</v>
      </c>
      <c r="Q66" s="384">
        <v>1</v>
      </c>
      <c r="R66" s="380">
        <v>80</v>
      </c>
      <c r="S66" s="384">
        <v>1</v>
      </c>
      <c r="T66" s="380">
        <v>34474.49</v>
      </c>
      <c r="U66" s="380">
        <v>0</v>
      </c>
      <c r="V66" s="380">
        <v>21967.59</v>
      </c>
      <c r="W66" s="380">
        <v>61443.199999999997</v>
      </c>
      <c r="X66" s="380">
        <v>25041.51</v>
      </c>
      <c r="Y66" s="380">
        <v>61443.199999999997</v>
      </c>
      <c r="Z66" s="380">
        <v>24746.58</v>
      </c>
      <c r="AA66" s="376" t="s">
        <v>337</v>
      </c>
      <c r="AB66" s="376" t="s">
        <v>338</v>
      </c>
      <c r="AC66" s="376" t="s">
        <v>339</v>
      </c>
      <c r="AD66" s="376" t="s">
        <v>199</v>
      </c>
      <c r="AE66" s="376" t="s">
        <v>259</v>
      </c>
      <c r="AF66" s="376" t="s">
        <v>231</v>
      </c>
      <c r="AG66" s="376" t="s">
        <v>178</v>
      </c>
      <c r="AH66" s="381">
        <v>29.54</v>
      </c>
      <c r="AI66" s="381">
        <v>32271.200000000001</v>
      </c>
      <c r="AJ66" s="376" t="s">
        <v>179</v>
      </c>
      <c r="AK66" s="376" t="s">
        <v>180</v>
      </c>
      <c r="AL66" s="376" t="s">
        <v>181</v>
      </c>
      <c r="AM66" s="376" t="s">
        <v>182</v>
      </c>
      <c r="AN66" s="376" t="s">
        <v>68</v>
      </c>
      <c r="AO66" s="379">
        <v>80</v>
      </c>
      <c r="AP66" s="384">
        <v>1</v>
      </c>
      <c r="AQ66" s="384">
        <v>1</v>
      </c>
      <c r="AR66" s="382" t="s">
        <v>183</v>
      </c>
      <c r="AS66" s="386">
        <f t="shared" si="27"/>
        <v>1</v>
      </c>
      <c r="AT66">
        <f t="shared" si="28"/>
        <v>1</v>
      </c>
      <c r="AU66" s="386">
        <f>IF(AT66=0,"",IF(AND(AT66=1,M66="F",SUMIF(C2:C84,C66,AS2:AS84)&lt;=1),SUMIF(C2:C84,C66,AS2:AS84),IF(AND(AT66=1,M66="F",SUMIF(C2:C84,C66,AS2:AS84)&gt;1),1,"")))</f>
        <v>1</v>
      </c>
      <c r="AV66" s="386" t="str">
        <f>IF(AT66=0,"",IF(AND(AT66=3,M66="F",SUMIF(C2:C84,C66,AS2:AS84)&lt;=1),SUMIF(C2:C84,C66,AS2:AS84),IF(AND(AT66=3,M66="F",SUMIF(C2:C84,C66,AS2:AS84)&gt;1),1,"")))</f>
        <v/>
      </c>
      <c r="AW66" s="386">
        <f>SUMIF(C2:C84,C66,O2:O84)</f>
        <v>2</v>
      </c>
      <c r="AX66" s="386">
        <f>IF(AND(M66="F",AS66&lt;&gt;0),SUMIF(C2:C84,C66,W2:W84),0)</f>
        <v>61443.199999999997</v>
      </c>
      <c r="AY66" s="386">
        <f t="shared" si="29"/>
        <v>61443.199999999997</v>
      </c>
      <c r="AZ66" s="386" t="str">
        <f t="shared" si="30"/>
        <v/>
      </c>
      <c r="BA66" s="386">
        <f t="shared" si="31"/>
        <v>0</v>
      </c>
      <c r="BB66" s="386">
        <f t="shared" ref="BB66:BB84" si="71">IF(AND(AT66=1,AK66="E",AU66&gt;=0.75,AW66=1),Health,IF(AND(AT66=1,AK66="E",AU66&gt;=0.75),Health*P66,IF(AND(AT66=1,AK66="E",AU66&gt;=0.5,AW66=1),PTHealth,IF(AND(AT66=1,AK66="E",AU66&gt;=0.5),PTHealth*P66,0))))</f>
        <v>11650</v>
      </c>
      <c r="BC66" s="386">
        <f t="shared" ref="BC66:BC84" si="72">IF(AND(AT66=3,AK66="E",AV66&gt;=0.75,AW66=1),Health,IF(AND(AT66=3,AK66="E",AV66&gt;=0.75),Health*P66,IF(AND(AT66=3,AK66="E",AV66&gt;=0.5,AW66=1),PTHealth,IF(AND(AT66=3,AK66="E",AV66&gt;=0.5),PTHealth*P66,0))))</f>
        <v>0</v>
      </c>
      <c r="BD66" s="386">
        <f t="shared" ref="BD66:BD84" si="73">IF(AND(AT66&lt;&gt;0,AX66&gt;=MAXSSDI),SSDI*MAXSSDI*P66,IF(AT66&lt;&gt;0,SSDI*W66,0))</f>
        <v>3809.4784</v>
      </c>
      <c r="BE66" s="386">
        <f t="shared" ref="BE66:BE84" si="74">IF(AT66&lt;&gt;0,SSHI*W66,0)</f>
        <v>890.92640000000006</v>
      </c>
      <c r="BF66" s="386">
        <f t="shared" ref="BF66:BF84" si="75">IF(AND(AT66&lt;&gt;0,AN66&lt;&gt;"NE"),VLOOKUP(AN66,Retirement_Rates,3,FALSE)*W66,0)</f>
        <v>7336.31808</v>
      </c>
      <c r="BG66" s="386">
        <f t="shared" ref="BG66:BG84" si="76">IF(AND(AT66&lt;&gt;0,AJ66&lt;&gt;"PF"),Life*W66,0)</f>
        <v>443.005472</v>
      </c>
      <c r="BH66" s="386">
        <f t="shared" ref="BH66:BH84" si="77">IF(AND(AT66&lt;&gt;0,AM66="Y"),UI*W66,0)</f>
        <v>301.07167999999996</v>
      </c>
      <c r="BI66" s="386">
        <f t="shared" ref="BI66:BI84" si="78">IF(AND(AT66&lt;&gt;0,N66&lt;&gt;"NR"),DHR*W66,0)</f>
        <v>340.08811199999997</v>
      </c>
      <c r="BJ66" s="386">
        <f t="shared" ref="BJ66:BJ84" si="79">IF(AT66&lt;&gt;0,WC*W66,0)</f>
        <v>270.35007999999999</v>
      </c>
      <c r="BK66" s="386">
        <f t="shared" ref="BK66:BK84" si="80">IF(OR(AND(AT66&lt;&gt;0,AJ66&lt;&gt;"PF",AN66&lt;&gt;"NE",AG66&lt;&gt;"A"),AND(AL66="E",OR(AT66=1,AT66=3))),Sick*W66,0)</f>
        <v>0</v>
      </c>
      <c r="BL66" s="386">
        <f t="shared" si="32"/>
        <v>13391.238224000001</v>
      </c>
      <c r="BM66" s="386">
        <f t="shared" si="33"/>
        <v>0</v>
      </c>
      <c r="BN66" s="386">
        <f t="shared" ref="BN66:BN84" si="81">IF(AND(AT66=1,AK66="E",AU66&gt;=0.75,AW66=1),HealthBY,IF(AND(AT66=1,AK66="E",AU66&gt;=0.75),HealthBY*P66,IF(AND(AT66=1,AK66="E",AU66&gt;=0.5,AW66=1),PTHealthBY,IF(AND(AT66=1,AK66="E",AU66&gt;=0.5),PTHealthBY*P66,0))))</f>
        <v>11650</v>
      </c>
      <c r="BO66" s="386">
        <f t="shared" ref="BO66:BO84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6">
        <f t="shared" ref="BP66:BP84" si="83">IF(AND(AT66&lt;&gt;0,(AX66+BA66)&gt;=MAXSSDIBY),SSDIBY*MAXSSDIBY*P66,IF(AT66&lt;&gt;0,SSDIBY*W66,0))</f>
        <v>3809.4784</v>
      </c>
      <c r="BQ66" s="386">
        <f t="shared" ref="BQ66:BQ84" si="84">IF(AT66&lt;&gt;0,SSHIBY*W66,0)</f>
        <v>890.92640000000006</v>
      </c>
      <c r="BR66" s="386">
        <f t="shared" ref="BR66:BR84" si="85">IF(AND(AT66&lt;&gt;0,AN66&lt;&gt;"NE"),VLOOKUP(AN66,Retirement_Rates,4,FALSE)*W66,0)</f>
        <v>7336.31808</v>
      </c>
      <c r="BS66" s="386">
        <f t="shared" ref="BS66:BS84" si="86">IF(AND(AT66&lt;&gt;0,AJ66&lt;&gt;"PF"),LifeBY*W66,0)</f>
        <v>443.005472</v>
      </c>
      <c r="BT66" s="386">
        <f t="shared" ref="BT66:BT84" si="87">IF(AND(AT66&lt;&gt;0,AM66="Y"),UIBY*W66,0)</f>
        <v>0</v>
      </c>
      <c r="BU66" s="386">
        <f t="shared" ref="BU66:BU84" si="88">IF(AND(AT66&lt;&gt;0,N66&lt;&gt;"NR"),DHRBY*W66,0)</f>
        <v>340.08811199999997</v>
      </c>
      <c r="BV66" s="386">
        <f t="shared" ref="BV66:BV84" si="89">IF(AT66&lt;&gt;0,WCBY*W66,0)</f>
        <v>276.49439999999998</v>
      </c>
      <c r="BW66" s="386">
        <f t="shared" ref="BW66:BW84" si="90">IF(OR(AND(AT66&lt;&gt;0,AJ66&lt;&gt;"PF",AN66&lt;&gt;"NE",AG66&lt;&gt;"A"),AND(AL66="E",OR(AT66=1,AT66=3))),SickBY*W66,0)</f>
        <v>0</v>
      </c>
      <c r="BX66" s="386">
        <f t="shared" si="34"/>
        <v>13096.310864000001</v>
      </c>
      <c r="BY66" s="386">
        <f t="shared" si="35"/>
        <v>0</v>
      </c>
      <c r="BZ66" s="386">
        <f t="shared" si="36"/>
        <v>0</v>
      </c>
      <c r="CA66" s="386">
        <f t="shared" si="37"/>
        <v>0</v>
      </c>
      <c r="CB66" s="386">
        <f t="shared" si="38"/>
        <v>0</v>
      </c>
      <c r="CC66" s="386">
        <f t="shared" ref="CC66:CC84" si="91">IF(AT66&lt;&gt;0,SSHICHG*Y66,0)</f>
        <v>0</v>
      </c>
      <c r="CD66" s="386">
        <f t="shared" ref="CD66:CD84" si="92">IF(AND(AT66&lt;&gt;0,AN66&lt;&gt;"NE"),VLOOKUP(AN66,Retirement_Rates,5,FALSE)*Y66,0)</f>
        <v>0</v>
      </c>
      <c r="CE66" s="386">
        <f t="shared" ref="CE66:CE84" si="93">IF(AND(AT66&lt;&gt;0,AJ66&lt;&gt;"PF"),LifeCHG*Y66,0)</f>
        <v>0</v>
      </c>
      <c r="CF66" s="386">
        <f t="shared" ref="CF66:CF84" si="94">IF(AND(AT66&lt;&gt;0,AM66="Y"),UICHG*Y66,0)</f>
        <v>-301.07167999999996</v>
      </c>
      <c r="CG66" s="386">
        <f t="shared" ref="CG66:CG84" si="95">IF(AND(AT66&lt;&gt;0,N66&lt;&gt;"NR"),DHRCHG*Y66,0)</f>
        <v>0</v>
      </c>
      <c r="CH66" s="386">
        <f t="shared" ref="CH66:CH84" si="96">IF(AT66&lt;&gt;0,WCCHG*Y66,0)</f>
        <v>6.1443199999999623</v>
      </c>
      <c r="CI66" s="386">
        <f t="shared" ref="CI66:CI84" si="97">IF(OR(AND(AT66&lt;&gt;0,AJ66&lt;&gt;"PF",AN66&lt;&gt;"NE",AG66&lt;&gt;"A"),AND(AL66="E",OR(AT66=1,AT66=3))),SickCHG*Y66,0)</f>
        <v>0</v>
      </c>
      <c r="CJ66" s="386">
        <f t="shared" si="39"/>
        <v>-294.92736000000002</v>
      </c>
      <c r="CK66" s="386" t="str">
        <f t="shared" si="40"/>
        <v/>
      </c>
      <c r="CL66" s="386" t="str">
        <f t="shared" si="41"/>
        <v/>
      </c>
      <c r="CM66" s="386" t="str">
        <f t="shared" si="42"/>
        <v/>
      </c>
      <c r="CN66" s="386" t="str">
        <f t="shared" si="43"/>
        <v>0348-00</v>
      </c>
    </row>
    <row r="67" spans="1:92" ht="15.75" thickBot="1" x14ac:dyDescent="0.3">
      <c r="A67" s="376" t="s">
        <v>161</v>
      </c>
      <c r="B67" s="376" t="s">
        <v>162</v>
      </c>
      <c r="C67" s="376" t="s">
        <v>378</v>
      </c>
      <c r="D67" s="376" t="s">
        <v>379</v>
      </c>
      <c r="E67" s="376" t="s">
        <v>417</v>
      </c>
      <c r="F67" s="377" t="s">
        <v>166</v>
      </c>
      <c r="G67" s="376" t="s">
        <v>167</v>
      </c>
      <c r="H67" s="378"/>
      <c r="I67" s="378"/>
      <c r="J67" s="376" t="s">
        <v>168</v>
      </c>
      <c r="K67" s="376" t="s">
        <v>380</v>
      </c>
      <c r="L67" s="376" t="s">
        <v>178</v>
      </c>
      <c r="M67" s="376" t="s">
        <v>171</v>
      </c>
      <c r="N67" s="376" t="s">
        <v>172</v>
      </c>
      <c r="O67" s="379">
        <v>1</v>
      </c>
      <c r="P67" s="384">
        <v>1</v>
      </c>
      <c r="Q67" s="384">
        <v>1</v>
      </c>
      <c r="R67" s="380">
        <v>80</v>
      </c>
      <c r="S67" s="384">
        <v>1</v>
      </c>
      <c r="T67" s="380">
        <v>38640.01</v>
      </c>
      <c r="U67" s="380">
        <v>0</v>
      </c>
      <c r="V67" s="380">
        <v>18818.509999999998</v>
      </c>
      <c r="W67" s="380">
        <v>43160</v>
      </c>
      <c r="X67" s="380">
        <v>21056.7</v>
      </c>
      <c r="Y67" s="380">
        <v>43160</v>
      </c>
      <c r="Z67" s="380">
        <v>20849.54</v>
      </c>
      <c r="AA67" s="376" t="s">
        <v>381</v>
      </c>
      <c r="AB67" s="376" t="s">
        <v>382</v>
      </c>
      <c r="AC67" s="376" t="s">
        <v>383</v>
      </c>
      <c r="AD67" s="376" t="s">
        <v>384</v>
      </c>
      <c r="AE67" s="376" t="s">
        <v>380</v>
      </c>
      <c r="AF67" s="376" t="s">
        <v>347</v>
      </c>
      <c r="AG67" s="376" t="s">
        <v>178</v>
      </c>
      <c r="AH67" s="381">
        <v>20.75</v>
      </c>
      <c r="AI67" s="381">
        <v>19836.099999999999</v>
      </c>
      <c r="AJ67" s="376" t="s">
        <v>179</v>
      </c>
      <c r="AK67" s="376" t="s">
        <v>180</v>
      </c>
      <c r="AL67" s="376" t="s">
        <v>181</v>
      </c>
      <c r="AM67" s="376" t="s">
        <v>182</v>
      </c>
      <c r="AN67" s="376" t="s">
        <v>68</v>
      </c>
      <c r="AO67" s="379">
        <v>80</v>
      </c>
      <c r="AP67" s="384">
        <v>1</v>
      </c>
      <c r="AQ67" s="384">
        <v>1</v>
      </c>
      <c r="AR67" s="382" t="s">
        <v>183</v>
      </c>
      <c r="AS67" s="386">
        <f t="shared" ref="AS67:AS84" si="98">IF(((AO67/80)*AP67*P67)&gt;1,AQ67,((AO67/80)*AP67*P67))</f>
        <v>1</v>
      </c>
      <c r="AT67">
        <f t="shared" ref="AT67:AT84" si="99">IF(AND(M67="F",N67&lt;&gt;"NG",AS67&lt;&gt;0,AND(AR67&lt;&gt;6,AR67&lt;&gt;36,AR67&lt;&gt;56),AG67&lt;&gt;"A",OR(AG67="H",AJ67="FS")),1,IF(AND(M67="F",N67&lt;&gt;"NG",AS67&lt;&gt;0,AG67="A"),3,0))</f>
        <v>1</v>
      </c>
      <c r="AU67" s="386">
        <f>IF(AT67=0,"",IF(AND(AT67=1,M67="F",SUMIF(C2:C84,C67,AS2:AS84)&lt;=1),SUMIF(C2:C84,C67,AS2:AS84),IF(AND(AT67=1,M67="F",SUMIF(C2:C84,C67,AS2:AS84)&gt;1),1,"")))</f>
        <v>1</v>
      </c>
      <c r="AV67" s="386" t="str">
        <f>IF(AT67=0,"",IF(AND(AT67=3,M67="F",SUMIF(C2:C84,C67,AS2:AS84)&lt;=1),SUMIF(C2:C84,C67,AS2:AS84),IF(AND(AT67=3,M67="F",SUMIF(C2:C84,C67,AS2:AS84)&gt;1),1,"")))</f>
        <v/>
      </c>
      <c r="AW67" s="386">
        <f>SUMIF(C2:C84,C67,O2:O84)</f>
        <v>2</v>
      </c>
      <c r="AX67" s="386">
        <f>IF(AND(M67="F",AS67&lt;&gt;0),SUMIF(C2:C84,C67,W2:W84),0)</f>
        <v>43160</v>
      </c>
      <c r="AY67" s="386">
        <f t="shared" ref="AY67:AY84" si="100">IF(AT67=1,W67,"")</f>
        <v>43160</v>
      </c>
      <c r="AZ67" s="386" t="str">
        <f t="shared" ref="AZ67:AZ84" si="101">IF(AT67=3,W67,"")</f>
        <v/>
      </c>
      <c r="BA67" s="386">
        <f t="shared" ref="BA67:BA84" si="102">IF(AT67=1,Y67-W67,0)</f>
        <v>0</v>
      </c>
      <c r="BB67" s="386">
        <f t="shared" si="71"/>
        <v>11650</v>
      </c>
      <c r="BC67" s="386">
        <f t="shared" si="72"/>
        <v>0</v>
      </c>
      <c r="BD67" s="386">
        <f t="shared" si="73"/>
        <v>2675.92</v>
      </c>
      <c r="BE67" s="386">
        <f t="shared" si="74"/>
        <v>625.82000000000005</v>
      </c>
      <c r="BF67" s="386">
        <f t="shared" si="75"/>
        <v>5153.3040000000001</v>
      </c>
      <c r="BG67" s="386">
        <f t="shared" si="76"/>
        <v>311.18360000000001</v>
      </c>
      <c r="BH67" s="386">
        <f t="shared" si="77"/>
        <v>211.48399999999998</v>
      </c>
      <c r="BI67" s="386">
        <f t="shared" si="78"/>
        <v>238.89060000000001</v>
      </c>
      <c r="BJ67" s="386">
        <f t="shared" si="79"/>
        <v>189.90400000000002</v>
      </c>
      <c r="BK67" s="386">
        <f t="shared" si="80"/>
        <v>0</v>
      </c>
      <c r="BL67" s="386">
        <f t="shared" ref="BL67:BL84" si="103">IF(AT67=1,SUM(BD67:BK67),0)</f>
        <v>9406.5062000000016</v>
      </c>
      <c r="BM67" s="386">
        <f t="shared" ref="BM67:BM84" si="104">IF(AT67=3,SUM(BD67:BK67),0)</f>
        <v>0</v>
      </c>
      <c r="BN67" s="386">
        <f t="shared" si="81"/>
        <v>11650</v>
      </c>
      <c r="BO67" s="386">
        <f t="shared" si="82"/>
        <v>0</v>
      </c>
      <c r="BP67" s="386">
        <f t="shared" si="83"/>
        <v>2675.92</v>
      </c>
      <c r="BQ67" s="386">
        <f t="shared" si="84"/>
        <v>625.82000000000005</v>
      </c>
      <c r="BR67" s="386">
        <f t="shared" si="85"/>
        <v>5153.3040000000001</v>
      </c>
      <c r="BS67" s="386">
        <f t="shared" si="86"/>
        <v>311.18360000000001</v>
      </c>
      <c r="BT67" s="386">
        <f t="shared" si="87"/>
        <v>0</v>
      </c>
      <c r="BU67" s="386">
        <f t="shared" si="88"/>
        <v>238.89060000000001</v>
      </c>
      <c r="BV67" s="386">
        <f t="shared" si="89"/>
        <v>194.22</v>
      </c>
      <c r="BW67" s="386">
        <f t="shared" si="90"/>
        <v>0</v>
      </c>
      <c r="BX67" s="386">
        <f t="shared" ref="BX67:BX84" si="105">IF(AT67=1,SUM(BP67:BW67),0)</f>
        <v>9199.3382000000001</v>
      </c>
      <c r="BY67" s="386">
        <f t="shared" ref="BY67:BY84" si="106">IF(AT67=3,SUM(BP67:BW67),0)</f>
        <v>0</v>
      </c>
      <c r="BZ67" s="386">
        <f t="shared" ref="BZ67:BZ84" si="107">IF(AT67=1,BN67-BB67,0)</f>
        <v>0</v>
      </c>
      <c r="CA67" s="386">
        <f t="shared" ref="CA67:CA84" si="108">IF(AT67=3,BO67-BC67,0)</f>
        <v>0</v>
      </c>
      <c r="CB67" s="386">
        <f t="shared" ref="CB67:CB84" si="109">BP67-BD67</f>
        <v>0</v>
      </c>
      <c r="CC67" s="386">
        <f t="shared" si="91"/>
        <v>0</v>
      </c>
      <c r="CD67" s="386">
        <f t="shared" si="92"/>
        <v>0</v>
      </c>
      <c r="CE67" s="386">
        <f t="shared" si="93"/>
        <v>0</v>
      </c>
      <c r="CF67" s="386">
        <f t="shared" si="94"/>
        <v>-211.48399999999998</v>
      </c>
      <c r="CG67" s="386">
        <f t="shared" si="95"/>
        <v>0</v>
      </c>
      <c r="CH67" s="386">
        <f t="shared" si="96"/>
        <v>4.3159999999999741</v>
      </c>
      <c r="CI67" s="386">
        <f t="shared" si="97"/>
        <v>0</v>
      </c>
      <c r="CJ67" s="386">
        <f t="shared" ref="CJ67:CJ84" si="110">IF(AT67=1,SUM(CB67:CI67),0)</f>
        <v>-207.16800000000001</v>
      </c>
      <c r="CK67" s="386" t="str">
        <f t="shared" ref="CK67:CK84" si="111">IF(AT67=3,SUM(CB67:CI67),"")</f>
        <v/>
      </c>
      <c r="CL67" s="386" t="str">
        <f t="shared" ref="CL67:CL84" si="112">IF(OR(N67="NG",AG67="D"),(T67+U67),"")</f>
        <v/>
      </c>
      <c r="CM67" s="386" t="str">
        <f t="shared" ref="CM67:CM84" si="113">IF(OR(N67="NG",AG67="D"),V67,"")</f>
        <v/>
      </c>
      <c r="CN67" s="386" t="str">
        <f t="shared" ref="CN67:CN84" si="114">E67 &amp; "-" &amp; F67</f>
        <v>0348-00</v>
      </c>
    </row>
    <row r="68" spans="1:92" ht="15.75" thickBot="1" x14ac:dyDescent="0.3">
      <c r="A68" s="376" t="s">
        <v>161</v>
      </c>
      <c r="B68" s="376" t="s">
        <v>162</v>
      </c>
      <c r="C68" s="376" t="s">
        <v>349</v>
      </c>
      <c r="D68" s="376" t="s">
        <v>350</v>
      </c>
      <c r="E68" s="376" t="s">
        <v>417</v>
      </c>
      <c r="F68" s="377" t="s">
        <v>166</v>
      </c>
      <c r="G68" s="376" t="s">
        <v>167</v>
      </c>
      <c r="H68" s="378"/>
      <c r="I68" s="378"/>
      <c r="J68" s="376" t="s">
        <v>168</v>
      </c>
      <c r="K68" s="376" t="s">
        <v>351</v>
      </c>
      <c r="L68" s="376" t="s">
        <v>176</v>
      </c>
      <c r="M68" s="376" t="s">
        <v>171</v>
      </c>
      <c r="N68" s="376" t="s">
        <v>172</v>
      </c>
      <c r="O68" s="379">
        <v>1</v>
      </c>
      <c r="P68" s="384">
        <v>0</v>
      </c>
      <c r="Q68" s="384">
        <v>0</v>
      </c>
      <c r="R68" s="380">
        <v>80</v>
      </c>
      <c r="S68" s="384">
        <v>0</v>
      </c>
      <c r="T68" s="380">
        <v>27820.92</v>
      </c>
      <c r="U68" s="380">
        <v>0</v>
      </c>
      <c r="V68" s="380">
        <v>9022.19</v>
      </c>
      <c r="W68" s="380">
        <v>0</v>
      </c>
      <c r="X68" s="380">
        <v>0</v>
      </c>
      <c r="Y68" s="380">
        <v>0</v>
      </c>
      <c r="Z68" s="380">
        <v>0</v>
      </c>
      <c r="AA68" s="376" t="s">
        <v>352</v>
      </c>
      <c r="AB68" s="376" t="s">
        <v>353</v>
      </c>
      <c r="AC68" s="376" t="s">
        <v>320</v>
      </c>
      <c r="AD68" s="376" t="s">
        <v>354</v>
      </c>
      <c r="AE68" s="376" t="s">
        <v>351</v>
      </c>
      <c r="AF68" s="376" t="s">
        <v>355</v>
      </c>
      <c r="AG68" s="376" t="s">
        <v>178</v>
      </c>
      <c r="AH68" s="381">
        <v>31.82</v>
      </c>
      <c r="AI68" s="381">
        <v>38923.800000000003</v>
      </c>
      <c r="AJ68" s="376" t="s">
        <v>179</v>
      </c>
      <c r="AK68" s="376" t="s">
        <v>180</v>
      </c>
      <c r="AL68" s="376" t="s">
        <v>181</v>
      </c>
      <c r="AM68" s="376" t="s">
        <v>182</v>
      </c>
      <c r="AN68" s="376" t="s">
        <v>68</v>
      </c>
      <c r="AO68" s="379">
        <v>80</v>
      </c>
      <c r="AP68" s="384">
        <v>1</v>
      </c>
      <c r="AQ68" s="384">
        <v>0</v>
      </c>
      <c r="AR68" s="382" t="s">
        <v>183</v>
      </c>
      <c r="AS68" s="386">
        <f t="shared" si="98"/>
        <v>0</v>
      </c>
      <c r="AT68">
        <f t="shared" si="99"/>
        <v>0</v>
      </c>
      <c r="AU68" s="386" t="str">
        <f>IF(AT68=0,"",IF(AND(AT68=1,M68="F",SUMIF(C2:C84,C68,AS2:AS84)&lt;=1),SUMIF(C2:C84,C68,AS2:AS84),IF(AND(AT68=1,M68="F",SUMIF(C2:C84,C68,AS2:AS84)&gt;1),1,"")))</f>
        <v/>
      </c>
      <c r="AV68" s="386" t="str">
        <f>IF(AT68=0,"",IF(AND(AT68=3,M68="F",SUMIF(C2:C84,C68,AS2:AS84)&lt;=1),SUMIF(C2:C84,C68,AS2:AS84),IF(AND(AT68=3,M68="F",SUMIF(C2:C84,C68,AS2:AS84)&gt;1),1,"")))</f>
        <v/>
      </c>
      <c r="AW68" s="386">
        <f>SUMIF(C2:C84,C68,O2:O84)</f>
        <v>2</v>
      </c>
      <c r="AX68" s="386">
        <f>IF(AND(M68="F",AS68&lt;&gt;0),SUMIF(C2:C84,C68,W2:W84),0)</f>
        <v>0</v>
      </c>
      <c r="AY68" s="386" t="str">
        <f t="shared" si="100"/>
        <v/>
      </c>
      <c r="AZ68" s="386" t="str">
        <f t="shared" si="101"/>
        <v/>
      </c>
      <c r="BA68" s="386">
        <f t="shared" si="102"/>
        <v>0</v>
      </c>
      <c r="BB68" s="386">
        <f t="shared" si="71"/>
        <v>0</v>
      </c>
      <c r="BC68" s="386">
        <f t="shared" si="72"/>
        <v>0</v>
      </c>
      <c r="BD68" s="386">
        <f t="shared" si="73"/>
        <v>0</v>
      </c>
      <c r="BE68" s="386">
        <f t="shared" si="74"/>
        <v>0</v>
      </c>
      <c r="BF68" s="386">
        <f t="shared" si="75"/>
        <v>0</v>
      </c>
      <c r="BG68" s="386">
        <f t="shared" si="76"/>
        <v>0</v>
      </c>
      <c r="BH68" s="386">
        <f t="shared" si="77"/>
        <v>0</v>
      </c>
      <c r="BI68" s="386">
        <f t="shared" si="78"/>
        <v>0</v>
      </c>
      <c r="BJ68" s="386">
        <f t="shared" si="79"/>
        <v>0</v>
      </c>
      <c r="BK68" s="386">
        <f t="shared" si="80"/>
        <v>0</v>
      </c>
      <c r="BL68" s="386">
        <f t="shared" si="103"/>
        <v>0</v>
      </c>
      <c r="BM68" s="386">
        <f t="shared" si="104"/>
        <v>0</v>
      </c>
      <c r="BN68" s="386">
        <f t="shared" si="81"/>
        <v>0</v>
      </c>
      <c r="BO68" s="386">
        <f t="shared" si="82"/>
        <v>0</v>
      </c>
      <c r="BP68" s="386">
        <f t="shared" si="83"/>
        <v>0</v>
      </c>
      <c r="BQ68" s="386">
        <f t="shared" si="84"/>
        <v>0</v>
      </c>
      <c r="BR68" s="386">
        <f t="shared" si="85"/>
        <v>0</v>
      </c>
      <c r="BS68" s="386">
        <f t="shared" si="86"/>
        <v>0</v>
      </c>
      <c r="BT68" s="386">
        <f t="shared" si="87"/>
        <v>0</v>
      </c>
      <c r="BU68" s="386">
        <f t="shared" si="88"/>
        <v>0</v>
      </c>
      <c r="BV68" s="386">
        <f t="shared" si="89"/>
        <v>0</v>
      </c>
      <c r="BW68" s="386">
        <f t="shared" si="90"/>
        <v>0</v>
      </c>
      <c r="BX68" s="386">
        <f t="shared" si="105"/>
        <v>0</v>
      </c>
      <c r="BY68" s="386">
        <f t="shared" si="106"/>
        <v>0</v>
      </c>
      <c r="BZ68" s="386">
        <f t="shared" si="107"/>
        <v>0</v>
      </c>
      <c r="CA68" s="386">
        <f t="shared" si="108"/>
        <v>0</v>
      </c>
      <c r="CB68" s="386">
        <f t="shared" si="109"/>
        <v>0</v>
      </c>
      <c r="CC68" s="386">
        <f t="shared" si="91"/>
        <v>0</v>
      </c>
      <c r="CD68" s="386">
        <f t="shared" si="92"/>
        <v>0</v>
      </c>
      <c r="CE68" s="386">
        <f t="shared" si="93"/>
        <v>0</v>
      </c>
      <c r="CF68" s="386">
        <f t="shared" si="94"/>
        <v>0</v>
      </c>
      <c r="CG68" s="386">
        <f t="shared" si="95"/>
        <v>0</v>
      </c>
      <c r="CH68" s="386">
        <f t="shared" si="96"/>
        <v>0</v>
      </c>
      <c r="CI68" s="386">
        <f t="shared" si="97"/>
        <v>0</v>
      </c>
      <c r="CJ68" s="386">
        <f t="shared" si="110"/>
        <v>0</v>
      </c>
      <c r="CK68" s="386" t="str">
        <f t="shared" si="111"/>
        <v/>
      </c>
      <c r="CL68" s="386" t="str">
        <f t="shared" si="112"/>
        <v/>
      </c>
      <c r="CM68" s="386" t="str">
        <f t="shared" si="113"/>
        <v/>
      </c>
      <c r="CN68" s="386" t="str">
        <f t="shared" si="114"/>
        <v>0348-00</v>
      </c>
    </row>
    <row r="69" spans="1:92" ht="15.75" thickBot="1" x14ac:dyDescent="0.3">
      <c r="A69" s="376" t="s">
        <v>161</v>
      </c>
      <c r="B69" s="376" t="s">
        <v>162</v>
      </c>
      <c r="C69" s="376" t="s">
        <v>390</v>
      </c>
      <c r="D69" s="376" t="s">
        <v>391</v>
      </c>
      <c r="E69" s="376" t="s">
        <v>417</v>
      </c>
      <c r="F69" s="377" t="s">
        <v>166</v>
      </c>
      <c r="G69" s="376" t="s">
        <v>167</v>
      </c>
      <c r="H69" s="378"/>
      <c r="I69" s="378"/>
      <c r="J69" s="376" t="s">
        <v>168</v>
      </c>
      <c r="K69" s="376" t="s">
        <v>392</v>
      </c>
      <c r="L69" s="376" t="s">
        <v>181</v>
      </c>
      <c r="M69" s="376" t="s">
        <v>171</v>
      </c>
      <c r="N69" s="376" t="s">
        <v>172</v>
      </c>
      <c r="O69" s="379">
        <v>1</v>
      </c>
      <c r="P69" s="384">
        <v>1</v>
      </c>
      <c r="Q69" s="384">
        <v>1</v>
      </c>
      <c r="R69" s="380">
        <v>80</v>
      </c>
      <c r="S69" s="384">
        <v>1</v>
      </c>
      <c r="T69" s="380">
        <v>71132.800000000003</v>
      </c>
      <c r="U69" s="380">
        <v>0</v>
      </c>
      <c r="V69" s="380">
        <v>25526.33</v>
      </c>
      <c r="W69" s="380">
        <v>79955.199999999997</v>
      </c>
      <c r="X69" s="380">
        <v>29076.22</v>
      </c>
      <c r="Y69" s="380">
        <v>79955.199999999997</v>
      </c>
      <c r="Z69" s="380">
        <v>28692.43</v>
      </c>
      <c r="AA69" s="376" t="s">
        <v>393</v>
      </c>
      <c r="AB69" s="376" t="s">
        <v>394</v>
      </c>
      <c r="AC69" s="376" t="s">
        <v>273</v>
      </c>
      <c r="AD69" s="376" t="s">
        <v>211</v>
      </c>
      <c r="AE69" s="376" t="s">
        <v>392</v>
      </c>
      <c r="AF69" s="376" t="s">
        <v>395</v>
      </c>
      <c r="AG69" s="376" t="s">
        <v>178</v>
      </c>
      <c r="AH69" s="381">
        <v>38.44</v>
      </c>
      <c r="AI69" s="379">
        <v>30603</v>
      </c>
      <c r="AJ69" s="376" t="s">
        <v>179</v>
      </c>
      <c r="AK69" s="376" t="s">
        <v>180</v>
      </c>
      <c r="AL69" s="376" t="s">
        <v>181</v>
      </c>
      <c r="AM69" s="376" t="s">
        <v>182</v>
      </c>
      <c r="AN69" s="376" t="s">
        <v>68</v>
      </c>
      <c r="AO69" s="379">
        <v>80</v>
      </c>
      <c r="AP69" s="384">
        <v>1</v>
      </c>
      <c r="AQ69" s="384">
        <v>1</v>
      </c>
      <c r="AR69" s="382" t="s">
        <v>183</v>
      </c>
      <c r="AS69" s="386">
        <f t="shared" si="98"/>
        <v>1</v>
      </c>
      <c r="AT69">
        <f t="shared" si="99"/>
        <v>1</v>
      </c>
      <c r="AU69" s="386">
        <f>IF(AT69=0,"",IF(AND(AT69=1,M69="F",SUMIF(C2:C84,C69,AS2:AS84)&lt;=1),SUMIF(C2:C84,C69,AS2:AS84),IF(AND(AT69=1,M69="F",SUMIF(C2:C84,C69,AS2:AS84)&gt;1),1,"")))</f>
        <v>1</v>
      </c>
      <c r="AV69" s="386" t="str">
        <f>IF(AT69=0,"",IF(AND(AT69=3,M69="F",SUMIF(C2:C84,C69,AS2:AS84)&lt;=1),SUMIF(C2:C84,C69,AS2:AS84),IF(AND(AT69=3,M69="F",SUMIF(C2:C84,C69,AS2:AS84)&gt;1),1,"")))</f>
        <v/>
      </c>
      <c r="AW69" s="386">
        <f>SUMIF(C2:C84,C69,O2:O84)</f>
        <v>2</v>
      </c>
      <c r="AX69" s="386">
        <f>IF(AND(M69="F",AS69&lt;&gt;0),SUMIF(C2:C84,C69,W2:W84),0)</f>
        <v>79955.199999999997</v>
      </c>
      <c r="AY69" s="386">
        <f t="shared" si="100"/>
        <v>79955.199999999997</v>
      </c>
      <c r="AZ69" s="386" t="str">
        <f t="shared" si="101"/>
        <v/>
      </c>
      <c r="BA69" s="386">
        <f t="shared" si="102"/>
        <v>0</v>
      </c>
      <c r="BB69" s="386">
        <f t="shared" si="71"/>
        <v>11650</v>
      </c>
      <c r="BC69" s="386">
        <f t="shared" si="72"/>
        <v>0</v>
      </c>
      <c r="BD69" s="386">
        <f t="shared" si="73"/>
        <v>4957.2223999999997</v>
      </c>
      <c r="BE69" s="386">
        <f t="shared" si="74"/>
        <v>1159.3504</v>
      </c>
      <c r="BF69" s="386">
        <f t="shared" si="75"/>
        <v>9546.6508800000011</v>
      </c>
      <c r="BG69" s="386">
        <f t="shared" si="76"/>
        <v>576.476992</v>
      </c>
      <c r="BH69" s="386">
        <f t="shared" si="77"/>
        <v>391.78047999999995</v>
      </c>
      <c r="BI69" s="386">
        <f t="shared" si="78"/>
        <v>442.552032</v>
      </c>
      <c r="BJ69" s="386">
        <f t="shared" si="79"/>
        <v>351.80288000000002</v>
      </c>
      <c r="BK69" s="386">
        <f t="shared" si="80"/>
        <v>0</v>
      </c>
      <c r="BL69" s="386">
        <f t="shared" si="103"/>
        <v>17425.836063999999</v>
      </c>
      <c r="BM69" s="386">
        <f t="shared" si="104"/>
        <v>0</v>
      </c>
      <c r="BN69" s="386">
        <f t="shared" si="81"/>
        <v>11650</v>
      </c>
      <c r="BO69" s="386">
        <f t="shared" si="82"/>
        <v>0</v>
      </c>
      <c r="BP69" s="386">
        <f t="shared" si="83"/>
        <v>4957.2223999999997</v>
      </c>
      <c r="BQ69" s="386">
        <f t="shared" si="84"/>
        <v>1159.3504</v>
      </c>
      <c r="BR69" s="386">
        <f t="shared" si="85"/>
        <v>9546.6508800000011</v>
      </c>
      <c r="BS69" s="386">
        <f t="shared" si="86"/>
        <v>576.476992</v>
      </c>
      <c r="BT69" s="386">
        <f t="shared" si="87"/>
        <v>0</v>
      </c>
      <c r="BU69" s="386">
        <f t="shared" si="88"/>
        <v>442.552032</v>
      </c>
      <c r="BV69" s="386">
        <f t="shared" si="89"/>
        <v>359.79839999999996</v>
      </c>
      <c r="BW69" s="386">
        <f t="shared" si="90"/>
        <v>0</v>
      </c>
      <c r="BX69" s="386">
        <f t="shared" si="105"/>
        <v>17042.051104000002</v>
      </c>
      <c r="BY69" s="386">
        <f t="shared" si="106"/>
        <v>0</v>
      </c>
      <c r="BZ69" s="386">
        <f t="shared" si="107"/>
        <v>0</v>
      </c>
      <c r="CA69" s="386">
        <f t="shared" si="108"/>
        <v>0</v>
      </c>
      <c r="CB69" s="386">
        <f t="shared" si="109"/>
        <v>0</v>
      </c>
      <c r="CC69" s="386">
        <f t="shared" si="91"/>
        <v>0</v>
      </c>
      <c r="CD69" s="386">
        <f t="shared" si="92"/>
        <v>0</v>
      </c>
      <c r="CE69" s="386">
        <f t="shared" si="93"/>
        <v>0</v>
      </c>
      <c r="CF69" s="386">
        <f t="shared" si="94"/>
        <v>-391.78047999999995</v>
      </c>
      <c r="CG69" s="386">
        <f t="shared" si="95"/>
        <v>0</v>
      </c>
      <c r="CH69" s="386">
        <f t="shared" si="96"/>
        <v>7.9955199999999511</v>
      </c>
      <c r="CI69" s="386">
        <f t="shared" si="97"/>
        <v>0</v>
      </c>
      <c r="CJ69" s="386">
        <f t="shared" si="110"/>
        <v>-383.78496000000001</v>
      </c>
      <c r="CK69" s="386" t="str">
        <f t="shared" si="111"/>
        <v/>
      </c>
      <c r="CL69" s="386" t="str">
        <f t="shared" si="112"/>
        <v/>
      </c>
      <c r="CM69" s="386" t="str">
        <f t="shared" si="113"/>
        <v/>
      </c>
      <c r="CN69" s="386" t="str">
        <f t="shared" si="114"/>
        <v>0348-00</v>
      </c>
    </row>
    <row r="70" spans="1:92" ht="15.75" thickBot="1" x14ac:dyDescent="0.3">
      <c r="A70" s="376" t="s">
        <v>161</v>
      </c>
      <c r="B70" s="376" t="s">
        <v>162</v>
      </c>
      <c r="C70" s="376" t="s">
        <v>361</v>
      </c>
      <c r="D70" s="376" t="s">
        <v>206</v>
      </c>
      <c r="E70" s="376" t="s">
        <v>417</v>
      </c>
      <c r="F70" s="377" t="s">
        <v>166</v>
      </c>
      <c r="G70" s="376" t="s">
        <v>167</v>
      </c>
      <c r="H70" s="378"/>
      <c r="I70" s="378"/>
      <c r="J70" s="376" t="s">
        <v>168</v>
      </c>
      <c r="K70" s="376" t="s">
        <v>207</v>
      </c>
      <c r="L70" s="376" t="s">
        <v>195</v>
      </c>
      <c r="M70" s="376" t="s">
        <v>171</v>
      </c>
      <c r="N70" s="376" t="s">
        <v>172</v>
      </c>
      <c r="O70" s="379">
        <v>1</v>
      </c>
      <c r="P70" s="384">
        <v>0</v>
      </c>
      <c r="Q70" s="384">
        <v>0</v>
      </c>
      <c r="R70" s="380">
        <v>80</v>
      </c>
      <c r="S70" s="384">
        <v>0</v>
      </c>
      <c r="T70" s="380">
        <v>15803.92</v>
      </c>
      <c r="U70" s="380">
        <v>0</v>
      </c>
      <c r="V70" s="380">
        <v>7666.15</v>
      </c>
      <c r="W70" s="380">
        <v>0</v>
      </c>
      <c r="X70" s="380">
        <v>0</v>
      </c>
      <c r="Y70" s="380">
        <v>0</v>
      </c>
      <c r="Z70" s="380">
        <v>0</v>
      </c>
      <c r="AA70" s="376" t="s">
        <v>362</v>
      </c>
      <c r="AB70" s="376" t="s">
        <v>363</v>
      </c>
      <c r="AC70" s="376" t="s">
        <v>364</v>
      </c>
      <c r="AD70" s="376" t="s">
        <v>365</v>
      </c>
      <c r="AE70" s="376" t="s">
        <v>207</v>
      </c>
      <c r="AF70" s="376" t="s">
        <v>200</v>
      </c>
      <c r="AG70" s="376" t="s">
        <v>178</v>
      </c>
      <c r="AH70" s="381">
        <v>20.91</v>
      </c>
      <c r="AI70" s="381">
        <v>11327.5</v>
      </c>
      <c r="AJ70" s="376" t="s">
        <v>179</v>
      </c>
      <c r="AK70" s="376" t="s">
        <v>180</v>
      </c>
      <c r="AL70" s="376" t="s">
        <v>181</v>
      </c>
      <c r="AM70" s="376" t="s">
        <v>182</v>
      </c>
      <c r="AN70" s="376" t="s">
        <v>68</v>
      </c>
      <c r="AO70" s="379">
        <v>80</v>
      </c>
      <c r="AP70" s="384">
        <v>1</v>
      </c>
      <c r="AQ70" s="384">
        <v>0</v>
      </c>
      <c r="AR70" s="382" t="s">
        <v>183</v>
      </c>
      <c r="AS70" s="386">
        <f t="shared" si="98"/>
        <v>0</v>
      </c>
      <c r="AT70">
        <f t="shared" si="99"/>
        <v>0</v>
      </c>
      <c r="AU70" s="386" t="str">
        <f>IF(AT70=0,"",IF(AND(AT70=1,M70="F",SUMIF(C2:C84,C70,AS2:AS84)&lt;=1),SUMIF(C2:C84,C70,AS2:AS84),IF(AND(AT70=1,M70="F",SUMIF(C2:C84,C70,AS2:AS84)&gt;1),1,"")))</f>
        <v/>
      </c>
      <c r="AV70" s="386" t="str">
        <f>IF(AT70=0,"",IF(AND(AT70=3,M70="F",SUMIF(C2:C84,C70,AS2:AS84)&lt;=1),SUMIF(C2:C84,C70,AS2:AS84),IF(AND(AT70=3,M70="F",SUMIF(C2:C84,C70,AS2:AS84)&gt;1),1,"")))</f>
        <v/>
      </c>
      <c r="AW70" s="386">
        <f>SUMIF(C2:C84,C70,O2:O84)</f>
        <v>2</v>
      </c>
      <c r="AX70" s="386">
        <f>IF(AND(M70="F",AS70&lt;&gt;0),SUMIF(C2:C84,C70,W2:W84),0)</f>
        <v>0</v>
      </c>
      <c r="AY70" s="386" t="str">
        <f t="shared" si="100"/>
        <v/>
      </c>
      <c r="AZ70" s="386" t="str">
        <f t="shared" si="101"/>
        <v/>
      </c>
      <c r="BA70" s="386">
        <f t="shared" si="102"/>
        <v>0</v>
      </c>
      <c r="BB70" s="386">
        <f t="shared" si="71"/>
        <v>0</v>
      </c>
      <c r="BC70" s="386">
        <f t="shared" si="72"/>
        <v>0</v>
      </c>
      <c r="BD70" s="386">
        <f t="shared" si="73"/>
        <v>0</v>
      </c>
      <c r="BE70" s="386">
        <f t="shared" si="74"/>
        <v>0</v>
      </c>
      <c r="BF70" s="386">
        <f t="shared" si="75"/>
        <v>0</v>
      </c>
      <c r="BG70" s="386">
        <f t="shared" si="76"/>
        <v>0</v>
      </c>
      <c r="BH70" s="386">
        <f t="shared" si="77"/>
        <v>0</v>
      </c>
      <c r="BI70" s="386">
        <f t="shared" si="78"/>
        <v>0</v>
      </c>
      <c r="BJ70" s="386">
        <f t="shared" si="79"/>
        <v>0</v>
      </c>
      <c r="BK70" s="386">
        <f t="shared" si="80"/>
        <v>0</v>
      </c>
      <c r="BL70" s="386">
        <f t="shared" si="103"/>
        <v>0</v>
      </c>
      <c r="BM70" s="386">
        <f t="shared" si="104"/>
        <v>0</v>
      </c>
      <c r="BN70" s="386">
        <f t="shared" si="81"/>
        <v>0</v>
      </c>
      <c r="BO70" s="386">
        <f t="shared" si="82"/>
        <v>0</v>
      </c>
      <c r="BP70" s="386">
        <f t="shared" si="83"/>
        <v>0</v>
      </c>
      <c r="BQ70" s="386">
        <f t="shared" si="84"/>
        <v>0</v>
      </c>
      <c r="BR70" s="386">
        <f t="shared" si="85"/>
        <v>0</v>
      </c>
      <c r="BS70" s="386">
        <f t="shared" si="86"/>
        <v>0</v>
      </c>
      <c r="BT70" s="386">
        <f t="shared" si="87"/>
        <v>0</v>
      </c>
      <c r="BU70" s="386">
        <f t="shared" si="88"/>
        <v>0</v>
      </c>
      <c r="BV70" s="386">
        <f t="shared" si="89"/>
        <v>0</v>
      </c>
      <c r="BW70" s="386">
        <f t="shared" si="90"/>
        <v>0</v>
      </c>
      <c r="BX70" s="386">
        <f t="shared" si="105"/>
        <v>0</v>
      </c>
      <c r="BY70" s="386">
        <f t="shared" si="106"/>
        <v>0</v>
      </c>
      <c r="BZ70" s="386">
        <f t="shared" si="107"/>
        <v>0</v>
      </c>
      <c r="CA70" s="386">
        <f t="shared" si="108"/>
        <v>0</v>
      </c>
      <c r="CB70" s="386">
        <f t="shared" si="109"/>
        <v>0</v>
      </c>
      <c r="CC70" s="386">
        <f t="shared" si="91"/>
        <v>0</v>
      </c>
      <c r="CD70" s="386">
        <f t="shared" si="92"/>
        <v>0</v>
      </c>
      <c r="CE70" s="386">
        <f t="shared" si="93"/>
        <v>0</v>
      </c>
      <c r="CF70" s="386">
        <f t="shared" si="94"/>
        <v>0</v>
      </c>
      <c r="CG70" s="386">
        <f t="shared" si="95"/>
        <v>0</v>
      </c>
      <c r="CH70" s="386">
        <f t="shared" si="96"/>
        <v>0</v>
      </c>
      <c r="CI70" s="386">
        <f t="shared" si="97"/>
        <v>0</v>
      </c>
      <c r="CJ70" s="386">
        <f t="shared" si="110"/>
        <v>0</v>
      </c>
      <c r="CK70" s="386" t="str">
        <f t="shared" si="111"/>
        <v/>
      </c>
      <c r="CL70" s="386" t="str">
        <f t="shared" si="112"/>
        <v/>
      </c>
      <c r="CM70" s="386" t="str">
        <f t="shared" si="113"/>
        <v/>
      </c>
      <c r="CN70" s="386" t="str">
        <f t="shared" si="114"/>
        <v>0348-00</v>
      </c>
    </row>
    <row r="71" spans="1:92" ht="15.75" thickBot="1" x14ac:dyDescent="0.3">
      <c r="A71" s="376" t="s">
        <v>161</v>
      </c>
      <c r="B71" s="376" t="s">
        <v>162</v>
      </c>
      <c r="C71" s="376" t="s">
        <v>400</v>
      </c>
      <c r="D71" s="376" t="s">
        <v>401</v>
      </c>
      <c r="E71" s="376" t="s">
        <v>417</v>
      </c>
      <c r="F71" s="377" t="s">
        <v>166</v>
      </c>
      <c r="G71" s="376" t="s">
        <v>167</v>
      </c>
      <c r="H71" s="378"/>
      <c r="I71" s="378"/>
      <c r="J71" s="376" t="s">
        <v>168</v>
      </c>
      <c r="K71" s="376" t="s">
        <v>402</v>
      </c>
      <c r="L71" s="376" t="s">
        <v>176</v>
      </c>
      <c r="M71" s="376" t="s">
        <v>171</v>
      </c>
      <c r="N71" s="376" t="s">
        <v>172</v>
      </c>
      <c r="O71" s="379">
        <v>1</v>
      </c>
      <c r="P71" s="384">
        <v>1</v>
      </c>
      <c r="Q71" s="384">
        <v>1</v>
      </c>
      <c r="R71" s="380">
        <v>80</v>
      </c>
      <c r="S71" s="384">
        <v>1</v>
      </c>
      <c r="T71" s="380">
        <v>85219.23</v>
      </c>
      <c r="U71" s="380">
        <v>0</v>
      </c>
      <c r="V71" s="380">
        <v>28451.06</v>
      </c>
      <c r="W71" s="380">
        <v>93932.800000000003</v>
      </c>
      <c r="X71" s="380">
        <v>32122.62</v>
      </c>
      <c r="Y71" s="380">
        <v>93932.800000000003</v>
      </c>
      <c r="Z71" s="380">
        <v>31671.74</v>
      </c>
      <c r="AA71" s="376" t="s">
        <v>403</v>
      </c>
      <c r="AB71" s="376" t="s">
        <v>404</v>
      </c>
      <c r="AC71" s="376" t="s">
        <v>405</v>
      </c>
      <c r="AD71" s="376" t="s">
        <v>389</v>
      </c>
      <c r="AE71" s="376" t="s">
        <v>402</v>
      </c>
      <c r="AF71" s="376" t="s">
        <v>355</v>
      </c>
      <c r="AG71" s="376" t="s">
        <v>178</v>
      </c>
      <c r="AH71" s="381">
        <v>45.16</v>
      </c>
      <c r="AI71" s="381">
        <v>64810.5</v>
      </c>
      <c r="AJ71" s="376" t="s">
        <v>179</v>
      </c>
      <c r="AK71" s="376" t="s">
        <v>180</v>
      </c>
      <c r="AL71" s="376" t="s">
        <v>181</v>
      </c>
      <c r="AM71" s="376" t="s">
        <v>182</v>
      </c>
      <c r="AN71" s="376" t="s">
        <v>68</v>
      </c>
      <c r="AO71" s="379">
        <v>80</v>
      </c>
      <c r="AP71" s="384">
        <v>1</v>
      </c>
      <c r="AQ71" s="384">
        <v>1</v>
      </c>
      <c r="AR71" s="382" t="s">
        <v>183</v>
      </c>
      <c r="AS71" s="386">
        <f t="shared" si="98"/>
        <v>1</v>
      </c>
      <c r="AT71">
        <f t="shared" si="99"/>
        <v>1</v>
      </c>
      <c r="AU71" s="386">
        <f>IF(AT71=0,"",IF(AND(AT71=1,M71="F",SUMIF(C2:C84,C71,AS2:AS84)&lt;=1),SUMIF(C2:C84,C71,AS2:AS84),IF(AND(AT71=1,M71="F",SUMIF(C2:C84,C71,AS2:AS84)&gt;1),1,"")))</f>
        <v>1</v>
      </c>
      <c r="AV71" s="386" t="str">
        <f>IF(AT71=0,"",IF(AND(AT71=3,M71="F",SUMIF(C2:C84,C71,AS2:AS84)&lt;=1),SUMIF(C2:C84,C71,AS2:AS84),IF(AND(AT71=3,M71="F",SUMIF(C2:C84,C71,AS2:AS84)&gt;1),1,"")))</f>
        <v/>
      </c>
      <c r="AW71" s="386">
        <f>SUMIF(C2:C84,C71,O2:O84)</f>
        <v>2</v>
      </c>
      <c r="AX71" s="386">
        <f>IF(AND(M71="F",AS71&lt;&gt;0),SUMIF(C2:C84,C71,W2:W84),0)</f>
        <v>93932.800000000003</v>
      </c>
      <c r="AY71" s="386">
        <f t="shared" si="100"/>
        <v>93932.800000000003</v>
      </c>
      <c r="AZ71" s="386" t="str">
        <f t="shared" si="101"/>
        <v/>
      </c>
      <c r="BA71" s="386">
        <f t="shared" si="102"/>
        <v>0</v>
      </c>
      <c r="BB71" s="386">
        <f t="shared" si="71"/>
        <v>11650</v>
      </c>
      <c r="BC71" s="386">
        <f t="shared" si="72"/>
        <v>0</v>
      </c>
      <c r="BD71" s="386">
        <f t="shared" si="73"/>
        <v>5823.8335999999999</v>
      </c>
      <c r="BE71" s="386">
        <f t="shared" si="74"/>
        <v>1362.0256000000002</v>
      </c>
      <c r="BF71" s="386">
        <f t="shared" si="75"/>
        <v>11215.57632</v>
      </c>
      <c r="BG71" s="386">
        <f t="shared" si="76"/>
        <v>677.25548800000001</v>
      </c>
      <c r="BH71" s="386">
        <f t="shared" si="77"/>
        <v>460.27071999999998</v>
      </c>
      <c r="BI71" s="386">
        <f t="shared" si="78"/>
        <v>519.918048</v>
      </c>
      <c r="BJ71" s="386">
        <f t="shared" si="79"/>
        <v>413.30432000000002</v>
      </c>
      <c r="BK71" s="386">
        <f t="shared" si="80"/>
        <v>0</v>
      </c>
      <c r="BL71" s="386">
        <f t="shared" si="103"/>
        <v>20472.184095999997</v>
      </c>
      <c r="BM71" s="386">
        <f t="shared" si="104"/>
        <v>0</v>
      </c>
      <c r="BN71" s="386">
        <f t="shared" si="81"/>
        <v>11650</v>
      </c>
      <c r="BO71" s="386">
        <f t="shared" si="82"/>
        <v>0</v>
      </c>
      <c r="BP71" s="386">
        <f t="shared" si="83"/>
        <v>5823.8335999999999</v>
      </c>
      <c r="BQ71" s="386">
        <f t="shared" si="84"/>
        <v>1362.0256000000002</v>
      </c>
      <c r="BR71" s="386">
        <f t="shared" si="85"/>
        <v>11215.57632</v>
      </c>
      <c r="BS71" s="386">
        <f t="shared" si="86"/>
        <v>677.25548800000001</v>
      </c>
      <c r="BT71" s="386">
        <f t="shared" si="87"/>
        <v>0</v>
      </c>
      <c r="BU71" s="386">
        <f t="shared" si="88"/>
        <v>519.918048</v>
      </c>
      <c r="BV71" s="386">
        <f t="shared" si="89"/>
        <v>422.69759999999997</v>
      </c>
      <c r="BW71" s="386">
        <f t="shared" si="90"/>
        <v>0</v>
      </c>
      <c r="BX71" s="386">
        <f t="shared" si="105"/>
        <v>20021.306655999997</v>
      </c>
      <c r="BY71" s="386">
        <f t="shared" si="106"/>
        <v>0</v>
      </c>
      <c r="BZ71" s="386">
        <f t="shared" si="107"/>
        <v>0</v>
      </c>
      <c r="CA71" s="386">
        <f t="shared" si="108"/>
        <v>0</v>
      </c>
      <c r="CB71" s="386">
        <f t="shared" si="109"/>
        <v>0</v>
      </c>
      <c r="CC71" s="386">
        <f t="shared" si="91"/>
        <v>0</v>
      </c>
      <c r="CD71" s="386">
        <f t="shared" si="92"/>
        <v>0</v>
      </c>
      <c r="CE71" s="386">
        <f t="shared" si="93"/>
        <v>0</v>
      </c>
      <c r="CF71" s="386">
        <f t="shared" si="94"/>
        <v>-460.27071999999998</v>
      </c>
      <c r="CG71" s="386">
        <f t="shared" si="95"/>
        <v>0</v>
      </c>
      <c r="CH71" s="386">
        <f t="shared" si="96"/>
        <v>9.3932799999999439</v>
      </c>
      <c r="CI71" s="386">
        <f t="shared" si="97"/>
        <v>0</v>
      </c>
      <c r="CJ71" s="386">
        <f t="shared" si="110"/>
        <v>-450.87744000000004</v>
      </c>
      <c r="CK71" s="386" t="str">
        <f t="shared" si="111"/>
        <v/>
      </c>
      <c r="CL71" s="386" t="str">
        <f t="shared" si="112"/>
        <v/>
      </c>
      <c r="CM71" s="386" t="str">
        <f t="shared" si="113"/>
        <v/>
      </c>
      <c r="CN71" s="386" t="str">
        <f t="shared" si="114"/>
        <v>0348-00</v>
      </c>
    </row>
    <row r="72" spans="1:92" ht="15.75" thickBot="1" x14ac:dyDescent="0.3">
      <c r="A72" s="376" t="s">
        <v>161</v>
      </c>
      <c r="B72" s="376" t="s">
        <v>162</v>
      </c>
      <c r="C72" s="376" t="s">
        <v>374</v>
      </c>
      <c r="D72" s="376" t="s">
        <v>206</v>
      </c>
      <c r="E72" s="376" t="s">
        <v>417</v>
      </c>
      <c r="F72" s="377" t="s">
        <v>166</v>
      </c>
      <c r="G72" s="376" t="s">
        <v>167</v>
      </c>
      <c r="H72" s="378"/>
      <c r="I72" s="378"/>
      <c r="J72" s="376" t="s">
        <v>168</v>
      </c>
      <c r="K72" s="376" t="s">
        <v>207</v>
      </c>
      <c r="L72" s="376" t="s">
        <v>195</v>
      </c>
      <c r="M72" s="376" t="s">
        <v>171</v>
      </c>
      <c r="N72" s="376" t="s">
        <v>172</v>
      </c>
      <c r="O72" s="379">
        <v>1</v>
      </c>
      <c r="P72" s="384">
        <v>1</v>
      </c>
      <c r="Q72" s="384">
        <v>1</v>
      </c>
      <c r="R72" s="380">
        <v>80</v>
      </c>
      <c r="S72" s="384">
        <v>1</v>
      </c>
      <c r="T72" s="380">
        <v>37731.22</v>
      </c>
      <c r="U72" s="380">
        <v>0</v>
      </c>
      <c r="V72" s="380">
        <v>18768.18</v>
      </c>
      <c r="W72" s="380">
        <v>43180.800000000003</v>
      </c>
      <c r="X72" s="380">
        <v>21061.22</v>
      </c>
      <c r="Y72" s="380">
        <v>43180.800000000003</v>
      </c>
      <c r="Z72" s="380">
        <v>20853.96</v>
      </c>
      <c r="AA72" s="376" t="s">
        <v>375</v>
      </c>
      <c r="AB72" s="376" t="s">
        <v>376</v>
      </c>
      <c r="AC72" s="376" t="s">
        <v>377</v>
      </c>
      <c r="AD72" s="376" t="s">
        <v>199</v>
      </c>
      <c r="AE72" s="376" t="s">
        <v>207</v>
      </c>
      <c r="AF72" s="376" t="s">
        <v>200</v>
      </c>
      <c r="AG72" s="376" t="s">
        <v>178</v>
      </c>
      <c r="AH72" s="381">
        <v>20.76</v>
      </c>
      <c r="AI72" s="381">
        <v>2639.5</v>
      </c>
      <c r="AJ72" s="376" t="s">
        <v>179</v>
      </c>
      <c r="AK72" s="376" t="s">
        <v>180</v>
      </c>
      <c r="AL72" s="376" t="s">
        <v>181</v>
      </c>
      <c r="AM72" s="376" t="s">
        <v>182</v>
      </c>
      <c r="AN72" s="376" t="s">
        <v>68</v>
      </c>
      <c r="AO72" s="379">
        <v>80</v>
      </c>
      <c r="AP72" s="384">
        <v>1</v>
      </c>
      <c r="AQ72" s="384">
        <v>1</v>
      </c>
      <c r="AR72" s="382" t="s">
        <v>183</v>
      </c>
      <c r="AS72" s="386">
        <f t="shared" si="98"/>
        <v>1</v>
      </c>
      <c r="AT72">
        <f t="shared" si="99"/>
        <v>1</v>
      </c>
      <c r="AU72" s="386">
        <f>IF(AT72=0,"",IF(AND(AT72=1,M72="F",SUMIF(C2:C84,C72,AS2:AS84)&lt;=1),SUMIF(C2:C84,C72,AS2:AS84),IF(AND(AT72=1,M72="F",SUMIF(C2:C84,C72,AS2:AS84)&gt;1),1,"")))</f>
        <v>1</v>
      </c>
      <c r="AV72" s="386" t="str">
        <f>IF(AT72=0,"",IF(AND(AT72=3,M72="F",SUMIF(C2:C84,C72,AS2:AS84)&lt;=1),SUMIF(C2:C84,C72,AS2:AS84),IF(AND(AT72=3,M72="F",SUMIF(C2:C84,C72,AS2:AS84)&gt;1),1,"")))</f>
        <v/>
      </c>
      <c r="AW72" s="386">
        <f>SUMIF(C2:C84,C72,O2:O84)</f>
        <v>2</v>
      </c>
      <c r="AX72" s="386">
        <f>IF(AND(M72="F",AS72&lt;&gt;0),SUMIF(C2:C84,C72,W2:W84),0)</f>
        <v>43180.800000000003</v>
      </c>
      <c r="AY72" s="386">
        <f t="shared" si="100"/>
        <v>43180.800000000003</v>
      </c>
      <c r="AZ72" s="386" t="str">
        <f t="shared" si="101"/>
        <v/>
      </c>
      <c r="BA72" s="386">
        <f t="shared" si="102"/>
        <v>0</v>
      </c>
      <c r="BB72" s="386">
        <f t="shared" si="71"/>
        <v>11650</v>
      </c>
      <c r="BC72" s="386">
        <f t="shared" si="72"/>
        <v>0</v>
      </c>
      <c r="BD72" s="386">
        <f t="shared" si="73"/>
        <v>2677.2096000000001</v>
      </c>
      <c r="BE72" s="386">
        <f t="shared" si="74"/>
        <v>626.12160000000006</v>
      </c>
      <c r="BF72" s="386">
        <f t="shared" si="75"/>
        <v>5155.7875200000008</v>
      </c>
      <c r="BG72" s="386">
        <f t="shared" si="76"/>
        <v>311.33356800000001</v>
      </c>
      <c r="BH72" s="386">
        <f t="shared" si="77"/>
        <v>211.58592000000002</v>
      </c>
      <c r="BI72" s="386">
        <f t="shared" si="78"/>
        <v>239.005728</v>
      </c>
      <c r="BJ72" s="386">
        <f t="shared" si="79"/>
        <v>189.99552000000003</v>
      </c>
      <c r="BK72" s="386">
        <f t="shared" si="80"/>
        <v>0</v>
      </c>
      <c r="BL72" s="386">
        <f t="shared" si="103"/>
        <v>9411.0394560000004</v>
      </c>
      <c r="BM72" s="386">
        <f t="shared" si="104"/>
        <v>0</v>
      </c>
      <c r="BN72" s="386">
        <f t="shared" si="81"/>
        <v>11650</v>
      </c>
      <c r="BO72" s="386">
        <f t="shared" si="82"/>
        <v>0</v>
      </c>
      <c r="BP72" s="386">
        <f t="shared" si="83"/>
        <v>2677.2096000000001</v>
      </c>
      <c r="BQ72" s="386">
        <f t="shared" si="84"/>
        <v>626.12160000000006</v>
      </c>
      <c r="BR72" s="386">
        <f t="shared" si="85"/>
        <v>5155.7875200000008</v>
      </c>
      <c r="BS72" s="386">
        <f t="shared" si="86"/>
        <v>311.33356800000001</v>
      </c>
      <c r="BT72" s="386">
        <f t="shared" si="87"/>
        <v>0</v>
      </c>
      <c r="BU72" s="386">
        <f t="shared" si="88"/>
        <v>239.005728</v>
      </c>
      <c r="BV72" s="386">
        <f t="shared" si="89"/>
        <v>194.31360000000001</v>
      </c>
      <c r="BW72" s="386">
        <f t="shared" si="90"/>
        <v>0</v>
      </c>
      <c r="BX72" s="386">
        <f t="shared" si="105"/>
        <v>9203.771616</v>
      </c>
      <c r="BY72" s="386">
        <f t="shared" si="106"/>
        <v>0</v>
      </c>
      <c r="BZ72" s="386">
        <f t="shared" si="107"/>
        <v>0</v>
      </c>
      <c r="CA72" s="386">
        <f t="shared" si="108"/>
        <v>0</v>
      </c>
      <c r="CB72" s="386">
        <f t="shared" si="109"/>
        <v>0</v>
      </c>
      <c r="CC72" s="386">
        <f t="shared" si="91"/>
        <v>0</v>
      </c>
      <c r="CD72" s="386">
        <f t="shared" si="92"/>
        <v>0</v>
      </c>
      <c r="CE72" s="386">
        <f t="shared" si="93"/>
        <v>0</v>
      </c>
      <c r="CF72" s="386">
        <f t="shared" si="94"/>
        <v>-211.58592000000002</v>
      </c>
      <c r="CG72" s="386">
        <f t="shared" si="95"/>
        <v>0</v>
      </c>
      <c r="CH72" s="386">
        <f t="shared" si="96"/>
        <v>4.3180799999999744</v>
      </c>
      <c r="CI72" s="386">
        <f t="shared" si="97"/>
        <v>0</v>
      </c>
      <c r="CJ72" s="386">
        <f t="shared" si="110"/>
        <v>-207.26784000000004</v>
      </c>
      <c r="CK72" s="386" t="str">
        <f t="shared" si="111"/>
        <v/>
      </c>
      <c r="CL72" s="386" t="str">
        <f t="shared" si="112"/>
        <v/>
      </c>
      <c r="CM72" s="386" t="str">
        <f t="shared" si="113"/>
        <v/>
      </c>
      <c r="CN72" s="386" t="str">
        <f t="shared" si="114"/>
        <v>0348-00</v>
      </c>
    </row>
    <row r="73" spans="1:92" ht="15.75" thickBot="1" x14ac:dyDescent="0.3">
      <c r="A73" s="376" t="s">
        <v>161</v>
      </c>
      <c r="B73" s="376" t="s">
        <v>162</v>
      </c>
      <c r="C73" s="376" t="s">
        <v>165</v>
      </c>
      <c r="D73" s="376" t="s">
        <v>411</v>
      </c>
      <c r="E73" s="376" t="s">
        <v>417</v>
      </c>
      <c r="F73" s="377" t="s">
        <v>166</v>
      </c>
      <c r="G73" s="376" t="s">
        <v>167</v>
      </c>
      <c r="H73" s="378"/>
      <c r="I73" s="378"/>
      <c r="J73" s="376" t="s">
        <v>168</v>
      </c>
      <c r="K73" s="376" t="s">
        <v>412</v>
      </c>
      <c r="L73" s="376" t="s">
        <v>166</v>
      </c>
      <c r="M73" s="376" t="s">
        <v>171</v>
      </c>
      <c r="N73" s="376" t="s">
        <v>413</v>
      </c>
      <c r="O73" s="379">
        <v>1</v>
      </c>
      <c r="P73" s="384">
        <v>1</v>
      </c>
      <c r="Q73" s="384">
        <v>1</v>
      </c>
      <c r="R73" s="380">
        <v>80</v>
      </c>
      <c r="S73" s="384">
        <v>1</v>
      </c>
      <c r="T73" s="380">
        <v>57456</v>
      </c>
      <c r="U73" s="380">
        <v>0</v>
      </c>
      <c r="V73" s="380">
        <v>29124.83</v>
      </c>
      <c r="W73" s="380">
        <v>104811.2</v>
      </c>
      <c r="X73" s="380">
        <v>33399.339999999997</v>
      </c>
      <c r="Y73" s="380">
        <v>104811.2</v>
      </c>
      <c r="Z73" s="380">
        <v>33409.83</v>
      </c>
      <c r="AA73" s="376" t="s">
        <v>414</v>
      </c>
      <c r="AB73" s="376" t="s">
        <v>415</v>
      </c>
      <c r="AC73" s="376" t="s">
        <v>282</v>
      </c>
      <c r="AD73" s="376" t="s">
        <v>354</v>
      </c>
      <c r="AE73" s="376" t="s">
        <v>412</v>
      </c>
      <c r="AF73" s="376" t="s">
        <v>416</v>
      </c>
      <c r="AG73" s="376" t="s">
        <v>178</v>
      </c>
      <c r="AH73" s="381">
        <v>50.39</v>
      </c>
      <c r="AI73" s="381">
        <v>21866.400000000001</v>
      </c>
      <c r="AJ73" s="376" t="s">
        <v>179</v>
      </c>
      <c r="AK73" s="376" t="s">
        <v>180</v>
      </c>
      <c r="AL73" s="376" t="s">
        <v>181</v>
      </c>
      <c r="AM73" s="376" t="s">
        <v>181</v>
      </c>
      <c r="AN73" s="376" t="s">
        <v>68</v>
      </c>
      <c r="AO73" s="379">
        <v>80</v>
      </c>
      <c r="AP73" s="384">
        <v>1</v>
      </c>
      <c r="AQ73" s="384">
        <v>1</v>
      </c>
      <c r="AR73" s="382" t="s">
        <v>183</v>
      </c>
      <c r="AS73" s="386">
        <f t="shared" si="98"/>
        <v>1</v>
      </c>
      <c r="AT73">
        <f t="shared" si="99"/>
        <v>1</v>
      </c>
      <c r="AU73" s="386">
        <f>IF(AT73=0,"",IF(AND(AT73=1,M73="F",SUMIF(C2:C84,C73,AS2:AS84)&lt;=1),SUMIF(C2:C84,C73,AS2:AS84),IF(AND(AT73=1,M73="F",SUMIF(C2:C84,C73,AS2:AS84)&gt;1),1,"")))</f>
        <v>1</v>
      </c>
      <c r="AV73" s="386" t="str">
        <f>IF(AT73=0,"",IF(AND(AT73=3,M73="F",SUMIF(C2:C84,C73,AS2:AS84)&lt;=1),SUMIF(C2:C84,C73,AS2:AS84),IF(AND(AT73=3,M73="F",SUMIF(C2:C84,C73,AS2:AS84)&gt;1),1,"")))</f>
        <v/>
      </c>
      <c r="AW73" s="386">
        <f>SUMIF(C2:C84,C73,O2:O84)</f>
        <v>2</v>
      </c>
      <c r="AX73" s="386">
        <f>IF(AND(M73="F",AS73&lt;&gt;0),SUMIF(C2:C84,C73,W2:W84),0)</f>
        <v>104811.2</v>
      </c>
      <c r="AY73" s="386">
        <f t="shared" si="100"/>
        <v>104811.2</v>
      </c>
      <c r="AZ73" s="386" t="str">
        <f t="shared" si="101"/>
        <v/>
      </c>
      <c r="BA73" s="386">
        <f t="shared" si="102"/>
        <v>0</v>
      </c>
      <c r="BB73" s="386">
        <f t="shared" si="71"/>
        <v>11650</v>
      </c>
      <c r="BC73" s="386">
        <f t="shared" si="72"/>
        <v>0</v>
      </c>
      <c r="BD73" s="386">
        <f t="shared" si="73"/>
        <v>6498.2943999999998</v>
      </c>
      <c r="BE73" s="386">
        <f t="shared" si="74"/>
        <v>1519.7624000000001</v>
      </c>
      <c r="BF73" s="386">
        <f t="shared" si="75"/>
        <v>12514.457280000001</v>
      </c>
      <c r="BG73" s="386">
        <f t="shared" si="76"/>
        <v>755.68875200000002</v>
      </c>
      <c r="BH73" s="386">
        <f t="shared" si="77"/>
        <v>0</v>
      </c>
      <c r="BI73" s="386">
        <f t="shared" si="78"/>
        <v>0</v>
      </c>
      <c r="BJ73" s="386">
        <f t="shared" si="79"/>
        <v>461.16928000000001</v>
      </c>
      <c r="BK73" s="386">
        <f t="shared" si="80"/>
        <v>0</v>
      </c>
      <c r="BL73" s="386">
        <f t="shared" si="103"/>
        <v>21749.372112000001</v>
      </c>
      <c r="BM73" s="386">
        <f t="shared" si="104"/>
        <v>0</v>
      </c>
      <c r="BN73" s="386">
        <f t="shared" si="81"/>
        <v>11650</v>
      </c>
      <c r="BO73" s="386">
        <f t="shared" si="82"/>
        <v>0</v>
      </c>
      <c r="BP73" s="386">
        <f t="shared" si="83"/>
        <v>6498.2943999999998</v>
      </c>
      <c r="BQ73" s="386">
        <f t="shared" si="84"/>
        <v>1519.7624000000001</v>
      </c>
      <c r="BR73" s="386">
        <f t="shared" si="85"/>
        <v>12514.457280000001</v>
      </c>
      <c r="BS73" s="386">
        <f t="shared" si="86"/>
        <v>755.68875200000002</v>
      </c>
      <c r="BT73" s="386">
        <f t="shared" si="87"/>
        <v>0</v>
      </c>
      <c r="BU73" s="386">
        <f t="shared" si="88"/>
        <v>0</v>
      </c>
      <c r="BV73" s="386">
        <f t="shared" si="89"/>
        <v>471.65039999999993</v>
      </c>
      <c r="BW73" s="386">
        <f t="shared" si="90"/>
        <v>0</v>
      </c>
      <c r="BX73" s="386">
        <f t="shared" si="105"/>
        <v>21759.853232000001</v>
      </c>
      <c r="BY73" s="386">
        <f t="shared" si="106"/>
        <v>0</v>
      </c>
      <c r="BZ73" s="386">
        <f t="shared" si="107"/>
        <v>0</v>
      </c>
      <c r="CA73" s="386">
        <f t="shared" si="108"/>
        <v>0</v>
      </c>
      <c r="CB73" s="386">
        <f t="shared" si="109"/>
        <v>0</v>
      </c>
      <c r="CC73" s="386">
        <f t="shared" si="91"/>
        <v>0</v>
      </c>
      <c r="CD73" s="386">
        <f t="shared" si="92"/>
        <v>0</v>
      </c>
      <c r="CE73" s="386">
        <f t="shared" si="93"/>
        <v>0</v>
      </c>
      <c r="CF73" s="386">
        <f t="shared" si="94"/>
        <v>0</v>
      </c>
      <c r="CG73" s="386">
        <f t="shared" si="95"/>
        <v>0</v>
      </c>
      <c r="CH73" s="386">
        <f t="shared" si="96"/>
        <v>10.481119999999937</v>
      </c>
      <c r="CI73" s="386">
        <f t="shared" si="97"/>
        <v>0</v>
      </c>
      <c r="CJ73" s="386">
        <f t="shared" si="110"/>
        <v>10.481119999999937</v>
      </c>
      <c r="CK73" s="386" t="str">
        <f t="shared" si="111"/>
        <v/>
      </c>
      <c r="CL73" s="386" t="str">
        <f t="shared" si="112"/>
        <v/>
      </c>
      <c r="CM73" s="386" t="str">
        <f t="shared" si="113"/>
        <v/>
      </c>
      <c r="CN73" s="386" t="str">
        <f t="shared" si="114"/>
        <v>0348-00</v>
      </c>
    </row>
    <row r="74" spans="1:92" ht="15.75" thickBot="1" x14ac:dyDescent="0.3">
      <c r="A74" s="376" t="s">
        <v>161</v>
      </c>
      <c r="B74" s="376" t="s">
        <v>162</v>
      </c>
      <c r="C74" s="376" t="s">
        <v>385</v>
      </c>
      <c r="D74" s="376" t="s">
        <v>206</v>
      </c>
      <c r="E74" s="376" t="s">
        <v>417</v>
      </c>
      <c r="F74" s="377" t="s">
        <v>166</v>
      </c>
      <c r="G74" s="376" t="s">
        <v>167</v>
      </c>
      <c r="H74" s="378"/>
      <c r="I74" s="378"/>
      <c r="J74" s="376" t="s">
        <v>168</v>
      </c>
      <c r="K74" s="376" t="s">
        <v>207</v>
      </c>
      <c r="L74" s="376" t="s">
        <v>195</v>
      </c>
      <c r="M74" s="376" t="s">
        <v>171</v>
      </c>
      <c r="N74" s="376" t="s">
        <v>172</v>
      </c>
      <c r="O74" s="379">
        <v>1</v>
      </c>
      <c r="P74" s="384">
        <v>0</v>
      </c>
      <c r="Q74" s="384">
        <v>0</v>
      </c>
      <c r="R74" s="380">
        <v>80</v>
      </c>
      <c r="S74" s="384">
        <v>0</v>
      </c>
      <c r="T74" s="380">
        <v>11558.48</v>
      </c>
      <c r="U74" s="380">
        <v>0</v>
      </c>
      <c r="V74" s="380">
        <v>5386.84</v>
      </c>
      <c r="W74" s="380">
        <v>0</v>
      </c>
      <c r="X74" s="380">
        <v>0</v>
      </c>
      <c r="Y74" s="380">
        <v>0</v>
      </c>
      <c r="Z74" s="380">
        <v>0</v>
      </c>
      <c r="AA74" s="376" t="s">
        <v>386</v>
      </c>
      <c r="AB74" s="376" t="s">
        <v>387</v>
      </c>
      <c r="AC74" s="376" t="s">
        <v>388</v>
      </c>
      <c r="AD74" s="376" t="s">
        <v>389</v>
      </c>
      <c r="AE74" s="376" t="s">
        <v>207</v>
      </c>
      <c r="AF74" s="376" t="s">
        <v>200</v>
      </c>
      <c r="AG74" s="376" t="s">
        <v>178</v>
      </c>
      <c r="AH74" s="381">
        <v>20.91</v>
      </c>
      <c r="AI74" s="379">
        <v>3364</v>
      </c>
      <c r="AJ74" s="376" t="s">
        <v>179</v>
      </c>
      <c r="AK74" s="376" t="s">
        <v>180</v>
      </c>
      <c r="AL74" s="376" t="s">
        <v>181</v>
      </c>
      <c r="AM74" s="376" t="s">
        <v>182</v>
      </c>
      <c r="AN74" s="376" t="s">
        <v>68</v>
      </c>
      <c r="AO74" s="379">
        <v>80</v>
      </c>
      <c r="AP74" s="384">
        <v>1</v>
      </c>
      <c r="AQ74" s="384">
        <v>0</v>
      </c>
      <c r="AR74" s="382" t="s">
        <v>183</v>
      </c>
      <c r="AS74" s="386">
        <f t="shared" si="98"/>
        <v>0</v>
      </c>
      <c r="AT74">
        <f t="shared" si="99"/>
        <v>0</v>
      </c>
      <c r="AU74" s="386" t="str">
        <f>IF(AT74=0,"",IF(AND(AT74=1,M74="F",SUMIF(C2:C84,C74,AS2:AS84)&lt;=1),SUMIF(C2:C84,C74,AS2:AS84),IF(AND(AT74=1,M74="F",SUMIF(C2:C84,C74,AS2:AS84)&gt;1),1,"")))</f>
        <v/>
      </c>
      <c r="AV74" s="386" t="str">
        <f>IF(AT74=0,"",IF(AND(AT74=3,M74="F",SUMIF(C2:C84,C74,AS2:AS84)&lt;=1),SUMIF(C2:C84,C74,AS2:AS84),IF(AND(AT74=3,M74="F",SUMIF(C2:C84,C74,AS2:AS84)&gt;1),1,"")))</f>
        <v/>
      </c>
      <c r="AW74" s="386">
        <f>SUMIF(C2:C84,C74,O2:O84)</f>
        <v>2</v>
      </c>
      <c r="AX74" s="386">
        <f>IF(AND(M74="F",AS74&lt;&gt;0),SUMIF(C2:C84,C74,W2:W84),0)</f>
        <v>0</v>
      </c>
      <c r="AY74" s="386" t="str">
        <f t="shared" si="100"/>
        <v/>
      </c>
      <c r="AZ74" s="386" t="str">
        <f t="shared" si="101"/>
        <v/>
      </c>
      <c r="BA74" s="386">
        <f t="shared" si="102"/>
        <v>0</v>
      </c>
      <c r="BB74" s="386">
        <f t="shared" si="71"/>
        <v>0</v>
      </c>
      <c r="BC74" s="386">
        <f t="shared" si="72"/>
        <v>0</v>
      </c>
      <c r="BD74" s="386">
        <f t="shared" si="73"/>
        <v>0</v>
      </c>
      <c r="BE74" s="386">
        <f t="shared" si="74"/>
        <v>0</v>
      </c>
      <c r="BF74" s="386">
        <f t="shared" si="75"/>
        <v>0</v>
      </c>
      <c r="BG74" s="386">
        <f t="shared" si="76"/>
        <v>0</v>
      </c>
      <c r="BH74" s="386">
        <f t="shared" si="77"/>
        <v>0</v>
      </c>
      <c r="BI74" s="386">
        <f t="shared" si="78"/>
        <v>0</v>
      </c>
      <c r="BJ74" s="386">
        <f t="shared" si="79"/>
        <v>0</v>
      </c>
      <c r="BK74" s="386">
        <f t="shared" si="80"/>
        <v>0</v>
      </c>
      <c r="BL74" s="386">
        <f t="shared" si="103"/>
        <v>0</v>
      </c>
      <c r="BM74" s="386">
        <f t="shared" si="104"/>
        <v>0</v>
      </c>
      <c r="BN74" s="386">
        <f t="shared" si="81"/>
        <v>0</v>
      </c>
      <c r="BO74" s="386">
        <f t="shared" si="82"/>
        <v>0</v>
      </c>
      <c r="BP74" s="386">
        <f t="shared" si="83"/>
        <v>0</v>
      </c>
      <c r="BQ74" s="386">
        <f t="shared" si="84"/>
        <v>0</v>
      </c>
      <c r="BR74" s="386">
        <f t="shared" si="85"/>
        <v>0</v>
      </c>
      <c r="BS74" s="386">
        <f t="shared" si="86"/>
        <v>0</v>
      </c>
      <c r="BT74" s="386">
        <f t="shared" si="87"/>
        <v>0</v>
      </c>
      <c r="BU74" s="386">
        <f t="shared" si="88"/>
        <v>0</v>
      </c>
      <c r="BV74" s="386">
        <f t="shared" si="89"/>
        <v>0</v>
      </c>
      <c r="BW74" s="386">
        <f t="shared" si="90"/>
        <v>0</v>
      </c>
      <c r="BX74" s="386">
        <f t="shared" si="105"/>
        <v>0</v>
      </c>
      <c r="BY74" s="386">
        <f t="shared" si="106"/>
        <v>0</v>
      </c>
      <c r="BZ74" s="386">
        <f t="shared" si="107"/>
        <v>0</v>
      </c>
      <c r="CA74" s="386">
        <f t="shared" si="108"/>
        <v>0</v>
      </c>
      <c r="CB74" s="386">
        <f t="shared" si="109"/>
        <v>0</v>
      </c>
      <c r="CC74" s="386">
        <f t="shared" si="91"/>
        <v>0</v>
      </c>
      <c r="CD74" s="386">
        <f t="shared" si="92"/>
        <v>0</v>
      </c>
      <c r="CE74" s="386">
        <f t="shared" si="93"/>
        <v>0</v>
      </c>
      <c r="CF74" s="386">
        <f t="shared" si="94"/>
        <v>0</v>
      </c>
      <c r="CG74" s="386">
        <f t="shared" si="95"/>
        <v>0</v>
      </c>
      <c r="CH74" s="386">
        <f t="shared" si="96"/>
        <v>0</v>
      </c>
      <c r="CI74" s="386">
        <f t="shared" si="97"/>
        <v>0</v>
      </c>
      <c r="CJ74" s="386">
        <f t="shared" si="110"/>
        <v>0</v>
      </c>
      <c r="CK74" s="386" t="str">
        <f t="shared" si="111"/>
        <v/>
      </c>
      <c r="CL74" s="386" t="str">
        <f t="shared" si="112"/>
        <v/>
      </c>
      <c r="CM74" s="386" t="str">
        <f t="shared" si="113"/>
        <v/>
      </c>
      <c r="CN74" s="386" t="str">
        <f t="shared" si="114"/>
        <v>0348-00</v>
      </c>
    </row>
    <row r="75" spans="1:92" ht="15.75" thickBot="1" x14ac:dyDescent="0.3">
      <c r="A75" s="376" t="s">
        <v>161</v>
      </c>
      <c r="B75" s="376" t="s">
        <v>162</v>
      </c>
      <c r="C75" s="376" t="s">
        <v>396</v>
      </c>
      <c r="D75" s="376" t="s">
        <v>206</v>
      </c>
      <c r="E75" s="376" t="s">
        <v>417</v>
      </c>
      <c r="F75" s="377" t="s">
        <v>166</v>
      </c>
      <c r="G75" s="376" t="s">
        <v>167</v>
      </c>
      <c r="H75" s="378"/>
      <c r="I75" s="378"/>
      <c r="J75" s="376" t="s">
        <v>168</v>
      </c>
      <c r="K75" s="376" t="s">
        <v>207</v>
      </c>
      <c r="L75" s="376" t="s">
        <v>195</v>
      </c>
      <c r="M75" s="376" t="s">
        <v>171</v>
      </c>
      <c r="N75" s="376" t="s">
        <v>172</v>
      </c>
      <c r="O75" s="379">
        <v>1</v>
      </c>
      <c r="P75" s="384">
        <v>0</v>
      </c>
      <c r="Q75" s="384">
        <v>0</v>
      </c>
      <c r="R75" s="380">
        <v>80</v>
      </c>
      <c r="S75" s="384">
        <v>0</v>
      </c>
      <c r="T75" s="380">
        <v>13343.63</v>
      </c>
      <c r="U75" s="380">
        <v>0</v>
      </c>
      <c r="V75" s="380">
        <v>7212.07</v>
      </c>
      <c r="W75" s="380">
        <v>0</v>
      </c>
      <c r="X75" s="380">
        <v>0</v>
      </c>
      <c r="Y75" s="380">
        <v>0</v>
      </c>
      <c r="Z75" s="380">
        <v>0</v>
      </c>
      <c r="AA75" s="376" t="s">
        <v>397</v>
      </c>
      <c r="AB75" s="376" t="s">
        <v>398</v>
      </c>
      <c r="AC75" s="376" t="s">
        <v>399</v>
      </c>
      <c r="AD75" s="376" t="s">
        <v>302</v>
      </c>
      <c r="AE75" s="376" t="s">
        <v>207</v>
      </c>
      <c r="AF75" s="376" t="s">
        <v>200</v>
      </c>
      <c r="AG75" s="376" t="s">
        <v>178</v>
      </c>
      <c r="AH75" s="381">
        <v>19.82</v>
      </c>
      <c r="AI75" s="379">
        <v>515</v>
      </c>
      <c r="AJ75" s="376" t="s">
        <v>179</v>
      </c>
      <c r="AK75" s="376" t="s">
        <v>180</v>
      </c>
      <c r="AL75" s="376" t="s">
        <v>181</v>
      </c>
      <c r="AM75" s="376" t="s">
        <v>182</v>
      </c>
      <c r="AN75" s="376" t="s">
        <v>68</v>
      </c>
      <c r="AO75" s="379">
        <v>80</v>
      </c>
      <c r="AP75" s="384">
        <v>1</v>
      </c>
      <c r="AQ75" s="384">
        <v>0</v>
      </c>
      <c r="AR75" s="382" t="s">
        <v>183</v>
      </c>
      <c r="AS75" s="386">
        <f t="shared" si="98"/>
        <v>0</v>
      </c>
      <c r="AT75">
        <f t="shared" si="99"/>
        <v>0</v>
      </c>
      <c r="AU75" s="386" t="str">
        <f>IF(AT75=0,"",IF(AND(AT75=1,M75="F",SUMIF(C2:C84,C75,AS2:AS84)&lt;=1),SUMIF(C2:C84,C75,AS2:AS84),IF(AND(AT75=1,M75="F",SUMIF(C2:C84,C75,AS2:AS84)&gt;1),1,"")))</f>
        <v/>
      </c>
      <c r="AV75" s="386" t="str">
        <f>IF(AT75=0,"",IF(AND(AT75=3,M75="F",SUMIF(C2:C84,C75,AS2:AS84)&lt;=1),SUMIF(C2:C84,C75,AS2:AS84),IF(AND(AT75=3,M75="F",SUMIF(C2:C84,C75,AS2:AS84)&gt;1),1,"")))</f>
        <v/>
      </c>
      <c r="AW75" s="386">
        <f>SUMIF(C2:C84,C75,O2:O84)</f>
        <v>2</v>
      </c>
      <c r="AX75" s="386">
        <f>IF(AND(M75="F",AS75&lt;&gt;0),SUMIF(C2:C84,C75,W2:W84),0)</f>
        <v>0</v>
      </c>
      <c r="AY75" s="386" t="str">
        <f t="shared" si="100"/>
        <v/>
      </c>
      <c r="AZ75" s="386" t="str">
        <f t="shared" si="101"/>
        <v/>
      </c>
      <c r="BA75" s="386">
        <f t="shared" si="102"/>
        <v>0</v>
      </c>
      <c r="BB75" s="386">
        <f t="shared" si="71"/>
        <v>0</v>
      </c>
      <c r="BC75" s="386">
        <f t="shared" si="72"/>
        <v>0</v>
      </c>
      <c r="BD75" s="386">
        <f t="shared" si="73"/>
        <v>0</v>
      </c>
      <c r="BE75" s="386">
        <f t="shared" si="74"/>
        <v>0</v>
      </c>
      <c r="BF75" s="386">
        <f t="shared" si="75"/>
        <v>0</v>
      </c>
      <c r="BG75" s="386">
        <f t="shared" si="76"/>
        <v>0</v>
      </c>
      <c r="BH75" s="386">
        <f t="shared" si="77"/>
        <v>0</v>
      </c>
      <c r="BI75" s="386">
        <f t="shared" si="78"/>
        <v>0</v>
      </c>
      <c r="BJ75" s="386">
        <f t="shared" si="79"/>
        <v>0</v>
      </c>
      <c r="BK75" s="386">
        <f t="shared" si="80"/>
        <v>0</v>
      </c>
      <c r="BL75" s="386">
        <f t="shared" si="103"/>
        <v>0</v>
      </c>
      <c r="BM75" s="386">
        <f t="shared" si="104"/>
        <v>0</v>
      </c>
      <c r="BN75" s="386">
        <f t="shared" si="81"/>
        <v>0</v>
      </c>
      <c r="BO75" s="386">
        <f t="shared" si="82"/>
        <v>0</v>
      </c>
      <c r="BP75" s="386">
        <f t="shared" si="83"/>
        <v>0</v>
      </c>
      <c r="BQ75" s="386">
        <f t="shared" si="84"/>
        <v>0</v>
      </c>
      <c r="BR75" s="386">
        <f t="shared" si="85"/>
        <v>0</v>
      </c>
      <c r="BS75" s="386">
        <f t="shared" si="86"/>
        <v>0</v>
      </c>
      <c r="BT75" s="386">
        <f t="shared" si="87"/>
        <v>0</v>
      </c>
      <c r="BU75" s="386">
        <f t="shared" si="88"/>
        <v>0</v>
      </c>
      <c r="BV75" s="386">
        <f t="shared" si="89"/>
        <v>0</v>
      </c>
      <c r="BW75" s="386">
        <f t="shared" si="90"/>
        <v>0</v>
      </c>
      <c r="BX75" s="386">
        <f t="shared" si="105"/>
        <v>0</v>
      </c>
      <c r="BY75" s="386">
        <f t="shared" si="106"/>
        <v>0</v>
      </c>
      <c r="BZ75" s="386">
        <f t="shared" si="107"/>
        <v>0</v>
      </c>
      <c r="CA75" s="386">
        <f t="shared" si="108"/>
        <v>0</v>
      </c>
      <c r="CB75" s="386">
        <f t="shared" si="109"/>
        <v>0</v>
      </c>
      <c r="CC75" s="386">
        <f t="shared" si="91"/>
        <v>0</v>
      </c>
      <c r="CD75" s="386">
        <f t="shared" si="92"/>
        <v>0</v>
      </c>
      <c r="CE75" s="386">
        <f t="shared" si="93"/>
        <v>0</v>
      </c>
      <c r="CF75" s="386">
        <f t="shared" si="94"/>
        <v>0</v>
      </c>
      <c r="CG75" s="386">
        <f t="shared" si="95"/>
        <v>0</v>
      </c>
      <c r="CH75" s="386">
        <f t="shared" si="96"/>
        <v>0</v>
      </c>
      <c r="CI75" s="386">
        <f t="shared" si="97"/>
        <v>0</v>
      </c>
      <c r="CJ75" s="386">
        <f t="shared" si="110"/>
        <v>0</v>
      </c>
      <c r="CK75" s="386" t="str">
        <f t="shared" si="111"/>
        <v/>
      </c>
      <c r="CL75" s="386" t="str">
        <f t="shared" si="112"/>
        <v/>
      </c>
      <c r="CM75" s="386" t="str">
        <f t="shared" si="113"/>
        <v/>
      </c>
      <c r="CN75" s="386" t="str">
        <f t="shared" si="114"/>
        <v>0348-00</v>
      </c>
    </row>
    <row r="76" spans="1:92" ht="15.75" thickBot="1" x14ac:dyDescent="0.3">
      <c r="A76" s="376" t="s">
        <v>161</v>
      </c>
      <c r="B76" s="376" t="s">
        <v>162</v>
      </c>
      <c r="C76" s="376" t="s">
        <v>406</v>
      </c>
      <c r="D76" s="376" t="s">
        <v>379</v>
      </c>
      <c r="E76" s="376" t="s">
        <v>417</v>
      </c>
      <c r="F76" s="377" t="s">
        <v>166</v>
      </c>
      <c r="G76" s="376" t="s">
        <v>167</v>
      </c>
      <c r="H76" s="378"/>
      <c r="I76" s="378"/>
      <c r="J76" s="376" t="s">
        <v>168</v>
      </c>
      <c r="K76" s="376" t="s">
        <v>407</v>
      </c>
      <c r="L76" s="376" t="s">
        <v>187</v>
      </c>
      <c r="M76" s="376" t="s">
        <v>171</v>
      </c>
      <c r="N76" s="376" t="s">
        <v>172</v>
      </c>
      <c r="O76" s="379">
        <v>1</v>
      </c>
      <c r="P76" s="384">
        <v>1</v>
      </c>
      <c r="Q76" s="384">
        <v>1</v>
      </c>
      <c r="R76" s="380">
        <v>80</v>
      </c>
      <c r="S76" s="384">
        <v>1</v>
      </c>
      <c r="T76" s="380">
        <v>40860.080000000002</v>
      </c>
      <c r="U76" s="380">
        <v>0</v>
      </c>
      <c r="V76" s="380">
        <v>18949.080000000002</v>
      </c>
      <c r="W76" s="380">
        <v>45843.199999999997</v>
      </c>
      <c r="X76" s="380">
        <v>21641.49</v>
      </c>
      <c r="Y76" s="380">
        <v>45843.199999999997</v>
      </c>
      <c r="Z76" s="380">
        <v>21421.439999999999</v>
      </c>
      <c r="AA76" s="376" t="s">
        <v>408</v>
      </c>
      <c r="AB76" s="376" t="s">
        <v>409</v>
      </c>
      <c r="AC76" s="376" t="s">
        <v>410</v>
      </c>
      <c r="AD76" s="376" t="s">
        <v>199</v>
      </c>
      <c r="AE76" s="376" t="s">
        <v>407</v>
      </c>
      <c r="AF76" s="376" t="s">
        <v>192</v>
      </c>
      <c r="AG76" s="376" t="s">
        <v>178</v>
      </c>
      <c r="AH76" s="381">
        <v>22.04</v>
      </c>
      <c r="AI76" s="381">
        <v>55658.5</v>
      </c>
      <c r="AJ76" s="376" t="s">
        <v>179</v>
      </c>
      <c r="AK76" s="376" t="s">
        <v>180</v>
      </c>
      <c r="AL76" s="376" t="s">
        <v>181</v>
      </c>
      <c r="AM76" s="376" t="s">
        <v>182</v>
      </c>
      <c r="AN76" s="376" t="s">
        <v>68</v>
      </c>
      <c r="AO76" s="379">
        <v>80</v>
      </c>
      <c r="AP76" s="384">
        <v>1</v>
      </c>
      <c r="AQ76" s="384">
        <v>1</v>
      </c>
      <c r="AR76" s="382" t="s">
        <v>183</v>
      </c>
      <c r="AS76" s="386">
        <f t="shared" si="98"/>
        <v>1</v>
      </c>
      <c r="AT76">
        <f t="shared" si="99"/>
        <v>1</v>
      </c>
      <c r="AU76" s="386">
        <f>IF(AT76=0,"",IF(AND(AT76=1,M76="F",SUMIF(C2:C84,C76,AS2:AS84)&lt;=1),SUMIF(C2:C84,C76,AS2:AS84),IF(AND(AT76=1,M76="F",SUMIF(C2:C84,C76,AS2:AS84)&gt;1),1,"")))</f>
        <v>1</v>
      </c>
      <c r="AV76" s="386" t="str">
        <f>IF(AT76=0,"",IF(AND(AT76=3,M76="F",SUMIF(C2:C84,C76,AS2:AS84)&lt;=1),SUMIF(C2:C84,C76,AS2:AS84),IF(AND(AT76=3,M76="F",SUMIF(C2:C84,C76,AS2:AS84)&gt;1),1,"")))</f>
        <v/>
      </c>
      <c r="AW76" s="386">
        <f>SUMIF(C2:C84,C76,O2:O84)</f>
        <v>2</v>
      </c>
      <c r="AX76" s="386">
        <f>IF(AND(M76="F",AS76&lt;&gt;0),SUMIF(C2:C84,C76,W2:W84),0)</f>
        <v>45843.199999999997</v>
      </c>
      <c r="AY76" s="386">
        <f t="shared" si="100"/>
        <v>45843.199999999997</v>
      </c>
      <c r="AZ76" s="386" t="str">
        <f t="shared" si="101"/>
        <v/>
      </c>
      <c r="BA76" s="386">
        <f t="shared" si="102"/>
        <v>0</v>
      </c>
      <c r="BB76" s="386">
        <f t="shared" si="71"/>
        <v>11650</v>
      </c>
      <c r="BC76" s="386">
        <f t="shared" si="72"/>
        <v>0</v>
      </c>
      <c r="BD76" s="386">
        <f t="shared" si="73"/>
        <v>2842.2783999999997</v>
      </c>
      <c r="BE76" s="386">
        <f t="shared" si="74"/>
        <v>664.72640000000001</v>
      </c>
      <c r="BF76" s="386">
        <f t="shared" si="75"/>
        <v>5473.6780799999997</v>
      </c>
      <c r="BG76" s="386">
        <f t="shared" si="76"/>
        <v>330.529472</v>
      </c>
      <c r="BH76" s="386">
        <f t="shared" si="77"/>
        <v>224.63167999999999</v>
      </c>
      <c r="BI76" s="386">
        <f t="shared" si="78"/>
        <v>253.74211199999999</v>
      </c>
      <c r="BJ76" s="386">
        <f t="shared" si="79"/>
        <v>201.71008</v>
      </c>
      <c r="BK76" s="386">
        <f t="shared" si="80"/>
        <v>0</v>
      </c>
      <c r="BL76" s="386">
        <f t="shared" si="103"/>
        <v>9991.2962240000015</v>
      </c>
      <c r="BM76" s="386">
        <f t="shared" si="104"/>
        <v>0</v>
      </c>
      <c r="BN76" s="386">
        <f t="shared" si="81"/>
        <v>11650</v>
      </c>
      <c r="BO76" s="386">
        <f t="shared" si="82"/>
        <v>0</v>
      </c>
      <c r="BP76" s="386">
        <f t="shared" si="83"/>
        <v>2842.2783999999997</v>
      </c>
      <c r="BQ76" s="386">
        <f t="shared" si="84"/>
        <v>664.72640000000001</v>
      </c>
      <c r="BR76" s="386">
        <f t="shared" si="85"/>
        <v>5473.6780799999997</v>
      </c>
      <c r="BS76" s="386">
        <f t="shared" si="86"/>
        <v>330.529472</v>
      </c>
      <c r="BT76" s="386">
        <f t="shared" si="87"/>
        <v>0</v>
      </c>
      <c r="BU76" s="386">
        <f t="shared" si="88"/>
        <v>253.74211199999999</v>
      </c>
      <c r="BV76" s="386">
        <f t="shared" si="89"/>
        <v>206.29439999999997</v>
      </c>
      <c r="BW76" s="386">
        <f t="shared" si="90"/>
        <v>0</v>
      </c>
      <c r="BX76" s="386">
        <f t="shared" si="105"/>
        <v>9771.248864000001</v>
      </c>
      <c r="BY76" s="386">
        <f t="shared" si="106"/>
        <v>0</v>
      </c>
      <c r="BZ76" s="386">
        <f t="shared" si="107"/>
        <v>0</v>
      </c>
      <c r="CA76" s="386">
        <f t="shared" si="108"/>
        <v>0</v>
      </c>
      <c r="CB76" s="386">
        <f t="shared" si="109"/>
        <v>0</v>
      </c>
      <c r="CC76" s="386">
        <f t="shared" si="91"/>
        <v>0</v>
      </c>
      <c r="CD76" s="386">
        <f t="shared" si="92"/>
        <v>0</v>
      </c>
      <c r="CE76" s="386">
        <f t="shared" si="93"/>
        <v>0</v>
      </c>
      <c r="CF76" s="386">
        <f t="shared" si="94"/>
        <v>-224.63167999999999</v>
      </c>
      <c r="CG76" s="386">
        <f t="shared" si="95"/>
        <v>0</v>
      </c>
      <c r="CH76" s="386">
        <f t="shared" si="96"/>
        <v>4.5843199999999715</v>
      </c>
      <c r="CI76" s="386">
        <f t="shared" si="97"/>
        <v>0</v>
      </c>
      <c r="CJ76" s="386">
        <f t="shared" si="110"/>
        <v>-220.04736000000003</v>
      </c>
      <c r="CK76" s="386" t="str">
        <f t="shared" si="111"/>
        <v/>
      </c>
      <c r="CL76" s="386" t="str">
        <f t="shared" si="112"/>
        <v/>
      </c>
      <c r="CM76" s="386" t="str">
        <f t="shared" si="113"/>
        <v/>
      </c>
      <c r="CN76" s="386" t="str">
        <f t="shared" si="114"/>
        <v>0348-00</v>
      </c>
    </row>
    <row r="77" spans="1:92" ht="15.75" thickBot="1" x14ac:dyDescent="0.3">
      <c r="A77" s="376" t="s">
        <v>161</v>
      </c>
      <c r="B77" s="376" t="s">
        <v>162</v>
      </c>
      <c r="C77" s="376" t="s">
        <v>184</v>
      </c>
      <c r="D77" s="376" t="s">
        <v>185</v>
      </c>
      <c r="E77" s="376" t="s">
        <v>417</v>
      </c>
      <c r="F77" s="377" t="s">
        <v>166</v>
      </c>
      <c r="G77" s="376" t="s">
        <v>167</v>
      </c>
      <c r="H77" s="378"/>
      <c r="I77" s="378"/>
      <c r="J77" s="376" t="s">
        <v>168</v>
      </c>
      <c r="K77" s="376" t="s">
        <v>186</v>
      </c>
      <c r="L77" s="376" t="s">
        <v>187</v>
      </c>
      <c r="M77" s="376" t="s">
        <v>171</v>
      </c>
      <c r="N77" s="376" t="s">
        <v>172</v>
      </c>
      <c r="O77" s="379">
        <v>1</v>
      </c>
      <c r="P77" s="384">
        <v>1</v>
      </c>
      <c r="Q77" s="384">
        <v>1</v>
      </c>
      <c r="R77" s="380">
        <v>80</v>
      </c>
      <c r="S77" s="384">
        <v>1</v>
      </c>
      <c r="T77" s="380">
        <v>32550.400000000001</v>
      </c>
      <c r="U77" s="380">
        <v>0</v>
      </c>
      <c r="V77" s="380">
        <v>17548.3</v>
      </c>
      <c r="W77" s="380">
        <v>36857.599999999999</v>
      </c>
      <c r="X77" s="380">
        <v>19683.09</v>
      </c>
      <c r="Y77" s="380">
        <v>36857.599999999999</v>
      </c>
      <c r="Z77" s="380">
        <v>19506.169999999998</v>
      </c>
      <c r="AA77" s="376" t="s">
        <v>188</v>
      </c>
      <c r="AB77" s="376" t="s">
        <v>189</v>
      </c>
      <c r="AC77" s="376" t="s">
        <v>190</v>
      </c>
      <c r="AD77" s="376" t="s">
        <v>191</v>
      </c>
      <c r="AE77" s="376" t="s">
        <v>186</v>
      </c>
      <c r="AF77" s="376" t="s">
        <v>192</v>
      </c>
      <c r="AG77" s="376" t="s">
        <v>178</v>
      </c>
      <c r="AH77" s="381">
        <v>17.72</v>
      </c>
      <c r="AI77" s="379">
        <v>4956</v>
      </c>
      <c r="AJ77" s="376" t="s">
        <v>179</v>
      </c>
      <c r="AK77" s="376" t="s">
        <v>180</v>
      </c>
      <c r="AL77" s="376" t="s">
        <v>181</v>
      </c>
      <c r="AM77" s="376" t="s">
        <v>182</v>
      </c>
      <c r="AN77" s="376" t="s">
        <v>68</v>
      </c>
      <c r="AO77" s="379">
        <v>80</v>
      </c>
      <c r="AP77" s="384">
        <v>1</v>
      </c>
      <c r="AQ77" s="384">
        <v>1</v>
      </c>
      <c r="AR77" s="382" t="s">
        <v>183</v>
      </c>
      <c r="AS77" s="386">
        <f t="shared" si="98"/>
        <v>1</v>
      </c>
      <c r="AT77">
        <f t="shared" si="99"/>
        <v>1</v>
      </c>
      <c r="AU77" s="386">
        <f>IF(AT77=0,"",IF(AND(AT77=1,M77="F",SUMIF(C2:C84,C77,AS2:AS84)&lt;=1),SUMIF(C2:C84,C77,AS2:AS84),IF(AND(AT77=1,M77="F",SUMIF(C2:C84,C77,AS2:AS84)&gt;1),1,"")))</f>
        <v>1</v>
      </c>
      <c r="AV77" s="386" t="str">
        <f>IF(AT77=0,"",IF(AND(AT77=3,M77="F",SUMIF(C2:C84,C77,AS2:AS84)&lt;=1),SUMIF(C2:C84,C77,AS2:AS84),IF(AND(AT77=3,M77="F",SUMIF(C2:C84,C77,AS2:AS84)&gt;1),1,"")))</f>
        <v/>
      </c>
      <c r="AW77" s="386">
        <f>SUMIF(C2:C84,C77,O2:O84)</f>
        <v>2</v>
      </c>
      <c r="AX77" s="386">
        <f>IF(AND(M77="F",AS77&lt;&gt;0),SUMIF(C2:C84,C77,W2:W84),0)</f>
        <v>36857.599999999999</v>
      </c>
      <c r="AY77" s="386">
        <f t="shared" si="100"/>
        <v>36857.599999999999</v>
      </c>
      <c r="AZ77" s="386" t="str">
        <f t="shared" si="101"/>
        <v/>
      </c>
      <c r="BA77" s="386">
        <f t="shared" si="102"/>
        <v>0</v>
      </c>
      <c r="BB77" s="386">
        <f t="shared" si="71"/>
        <v>11650</v>
      </c>
      <c r="BC77" s="386">
        <f t="shared" si="72"/>
        <v>0</v>
      </c>
      <c r="BD77" s="386">
        <f t="shared" si="73"/>
        <v>2285.1711999999998</v>
      </c>
      <c r="BE77" s="386">
        <f t="shared" si="74"/>
        <v>534.43520000000001</v>
      </c>
      <c r="BF77" s="386">
        <f t="shared" si="75"/>
        <v>4400.7974400000003</v>
      </c>
      <c r="BG77" s="386">
        <f t="shared" si="76"/>
        <v>265.74329599999999</v>
      </c>
      <c r="BH77" s="386">
        <f t="shared" si="77"/>
        <v>180.60223999999999</v>
      </c>
      <c r="BI77" s="386">
        <f t="shared" si="78"/>
        <v>204.00681599999999</v>
      </c>
      <c r="BJ77" s="386">
        <f t="shared" si="79"/>
        <v>162.17344</v>
      </c>
      <c r="BK77" s="386">
        <f t="shared" si="80"/>
        <v>0</v>
      </c>
      <c r="BL77" s="386">
        <f t="shared" si="103"/>
        <v>8032.9296319999994</v>
      </c>
      <c r="BM77" s="386">
        <f t="shared" si="104"/>
        <v>0</v>
      </c>
      <c r="BN77" s="386">
        <f t="shared" si="81"/>
        <v>11650</v>
      </c>
      <c r="BO77" s="386">
        <f t="shared" si="82"/>
        <v>0</v>
      </c>
      <c r="BP77" s="386">
        <f t="shared" si="83"/>
        <v>2285.1711999999998</v>
      </c>
      <c r="BQ77" s="386">
        <f t="shared" si="84"/>
        <v>534.43520000000001</v>
      </c>
      <c r="BR77" s="386">
        <f t="shared" si="85"/>
        <v>4400.7974400000003</v>
      </c>
      <c r="BS77" s="386">
        <f t="shared" si="86"/>
        <v>265.74329599999999</v>
      </c>
      <c r="BT77" s="386">
        <f t="shared" si="87"/>
        <v>0</v>
      </c>
      <c r="BU77" s="386">
        <f t="shared" si="88"/>
        <v>204.00681599999999</v>
      </c>
      <c r="BV77" s="386">
        <f t="shared" si="89"/>
        <v>165.85919999999999</v>
      </c>
      <c r="BW77" s="386">
        <f t="shared" si="90"/>
        <v>0</v>
      </c>
      <c r="BX77" s="386">
        <f t="shared" si="105"/>
        <v>7856.0131519999995</v>
      </c>
      <c r="BY77" s="386">
        <f t="shared" si="106"/>
        <v>0</v>
      </c>
      <c r="BZ77" s="386">
        <f t="shared" si="107"/>
        <v>0</v>
      </c>
      <c r="CA77" s="386">
        <f t="shared" si="108"/>
        <v>0</v>
      </c>
      <c r="CB77" s="386">
        <f t="shared" si="109"/>
        <v>0</v>
      </c>
      <c r="CC77" s="386">
        <f t="shared" si="91"/>
        <v>0</v>
      </c>
      <c r="CD77" s="386">
        <f t="shared" si="92"/>
        <v>0</v>
      </c>
      <c r="CE77" s="386">
        <f t="shared" si="93"/>
        <v>0</v>
      </c>
      <c r="CF77" s="386">
        <f t="shared" si="94"/>
        <v>-180.60223999999999</v>
      </c>
      <c r="CG77" s="386">
        <f t="shared" si="95"/>
        <v>0</v>
      </c>
      <c r="CH77" s="386">
        <f t="shared" si="96"/>
        <v>3.6857599999999775</v>
      </c>
      <c r="CI77" s="386">
        <f t="shared" si="97"/>
        <v>0</v>
      </c>
      <c r="CJ77" s="386">
        <f t="shared" si="110"/>
        <v>-176.91648000000001</v>
      </c>
      <c r="CK77" s="386" t="str">
        <f t="shared" si="111"/>
        <v/>
      </c>
      <c r="CL77" s="386" t="str">
        <f t="shared" si="112"/>
        <v/>
      </c>
      <c r="CM77" s="386" t="str">
        <f t="shared" si="113"/>
        <v/>
      </c>
      <c r="CN77" s="386" t="str">
        <f t="shared" si="114"/>
        <v>0348-00</v>
      </c>
    </row>
    <row r="78" spans="1:92" ht="15.75" thickBot="1" x14ac:dyDescent="0.3">
      <c r="A78" s="376" t="s">
        <v>161</v>
      </c>
      <c r="B78" s="376" t="s">
        <v>162</v>
      </c>
      <c r="C78" s="376" t="s">
        <v>193</v>
      </c>
      <c r="D78" s="376" t="s">
        <v>185</v>
      </c>
      <c r="E78" s="376" t="s">
        <v>417</v>
      </c>
      <c r="F78" s="377" t="s">
        <v>166</v>
      </c>
      <c r="G78" s="376" t="s">
        <v>167</v>
      </c>
      <c r="H78" s="378"/>
      <c r="I78" s="378"/>
      <c r="J78" s="376" t="s">
        <v>168</v>
      </c>
      <c r="K78" s="376" t="s">
        <v>194</v>
      </c>
      <c r="L78" s="376" t="s">
        <v>195</v>
      </c>
      <c r="M78" s="376" t="s">
        <v>171</v>
      </c>
      <c r="N78" s="376" t="s">
        <v>172</v>
      </c>
      <c r="O78" s="379">
        <v>1</v>
      </c>
      <c r="P78" s="384">
        <v>1</v>
      </c>
      <c r="Q78" s="384">
        <v>1</v>
      </c>
      <c r="R78" s="380">
        <v>80</v>
      </c>
      <c r="S78" s="384">
        <v>1</v>
      </c>
      <c r="T78" s="380">
        <v>52048</v>
      </c>
      <c r="U78" s="380">
        <v>0</v>
      </c>
      <c r="V78" s="380">
        <v>21450.85</v>
      </c>
      <c r="W78" s="380">
        <v>56576</v>
      </c>
      <c r="X78" s="380">
        <v>23980.720000000001</v>
      </c>
      <c r="Y78" s="380">
        <v>56576</v>
      </c>
      <c r="Z78" s="380">
        <v>23709.16</v>
      </c>
      <c r="AA78" s="376" t="s">
        <v>196</v>
      </c>
      <c r="AB78" s="376" t="s">
        <v>197</v>
      </c>
      <c r="AC78" s="376" t="s">
        <v>198</v>
      </c>
      <c r="AD78" s="376" t="s">
        <v>199</v>
      </c>
      <c r="AE78" s="376" t="s">
        <v>194</v>
      </c>
      <c r="AF78" s="376" t="s">
        <v>200</v>
      </c>
      <c r="AG78" s="376" t="s">
        <v>178</v>
      </c>
      <c r="AH78" s="381">
        <v>27.2</v>
      </c>
      <c r="AI78" s="381">
        <v>12472.7</v>
      </c>
      <c r="AJ78" s="376" t="s">
        <v>179</v>
      </c>
      <c r="AK78" s="376" t="s">
        <v>180</v>
      </c>
      <c r="AL78" s="376" t="s">
        <v>181</v>
      </c>
      <c r="AM78" s="376" t="s">
        <v>182</v>
      </c>
      <c r="AN78" s="376" t="s">
        <v>68</v>
      </c>
      <c r="AO78" s="379">
        <v>80</v>
      </c>
      <c r="AP78" s="384">
        <v>1</v>
      </c>
      <c r="AQ78" s="384">
        <v>1</v>
      </c>
      <c r="AR78" s="382" t="s">
        <v>183</v>
      </c>
      <c r="AS78" s="386">
        <f t="shared" si="98"/>
        <v>1</v>
      </c>
      <c r="AT78">
        <f t="shared" si="99"/>
        <v>1</v>
      </c>
      <c r="AU78" s="386">
        <f>IF(AT78=0,"",IF(AND(AT78=1,M78="F",SUMIF(C2:C84,C78,AS2:AS84)&lt;=1),SUMIF(C2:C84,C78,AS2:AS84),IF(AND(AT78=1,M78="F",SUMIF(C2:C84,C78,AS2:AS84)&gt;1),1,"")))</f>
        <v>1</v>
      </c>
      <c r="AV78" s="386" t="str">
        <f>IF(AT78=0,"",IF(AND(AT78=3,M78="F",SUMIF(C2:C84,C78,AS2:AS84)&lt;=1),SUMIF(C2:C84,C78,AS2:AS84),IF(AND(AT78=3,M78="F",SUMIF(C2:C84,C78,AS2:AS84)&gt;1),1,"")))</f>
        <v/>
      </c>
      <c r="AW78" s="386">
        <f>SUMIF(C2:C84,C78,O2:O84)</f>
        <v>2</v>
      </c>
      <c r="AX78" s="386">
        <f>IF(AND(M78="F",AS78&lt;&gt;0),SUMIF(C2:C84,C78,W2:W84),0)</f>
        <v>56576</v>
      </c>
      <c r="AY78" s="386">
        <f t="shared" si="100"/>
        <v>56576</v>
      </c>
      <c r="AZ78" s="386" t="str">
        <f t="shared" si="101"/>
        <v/>
      </c>
      <c r="BA78" s="386">
        <f t="shared" si="102"/>
        <v>0</v>
      </c>
      <c r="BB78" s="386">
        <f t="shared" si="71"/>
        <v>11650</v>
      </c>
      <c r="BC78" s="386">
        <f t="shared" si="72"/>
        <v>0</v>
      </c>
      <c r="BD78" s="386">
        <f t="shared" si="73"/>
        <v>3507.712</v>
      </c>
      <c r="BE78" s="386">
        <f t="shared" si="74"/>
        <v>820.35200000000009</v>
      </c>
      <c r="BF78" s="386">
        <f t="shared" si="75"/>
        <v>6755.1744000000008</v>
      </c>
      <c r="BG78" s="386">
        <f t="shared" si="76"/>
        <v>407.91296</v>
      </c>
      <c r="BH78" s="386">
        <f t="shared" si="77"/>
        <v>277.22239999999999</v>
      </c>
      <c r="BI78" s="386">
        <f t="shared" si="78"/>
        <v>313.14816000000002</v>
      </c>
      <c r="BJ78" s="386">
        <f t="shared" si="79"/>
        <v>248.93440000000001</v>
      </c>
      <c r="BK78" s="386">
        <f t="shared" si="80"/>
        <v>0</v>
      </c>
      <c r="BL78" s="386">
        <f t="shared" si="103"/>
        <v>12330.456320000003</v>
      </c>
      <c r="BM78" s="386">
        <f t="shared" si="104"/>
        <v>0</v>
      </c>
      <c r="BN78" s="386">
        <f t="shared" si="81"/>
        <v>11650</v>
      </c>
      <c r="BO78" s="386">
        <f t="shared" si="82"/>
        <v>0</v>
      </c>
      <c r="BP78" s="386">
        <f t="shared" si="83"/>
        <v>3507.712</v>
      </c>
      <c r="BQ78" s="386">
        <f t="shared" si="84"/>
        <v>820.35200000000009</v>
      </c>
      <c r="BR78" s="386">
        <f t="shared" si="85"/>
        <v>6755.1744000000008</v>
      </c>
      <c r="BS78" s="386">
        <f t="shared" si="86"/>
        <v>407.91296</v>
      </c>
      <c r="BT78" s="386">
        <f t="shared" si="87"/>
        <v>0</v>
      </c>
      <c r="BU78" s="386">
        <f t="shared" si="88"/>
        <v>313.14816000000002</v>
      </c>
      <c r="BV78" s="386">
        <f t="shared" si="89"/>
        <v>254.59199999999998</v>
      </c>
      <c r="BW78" s="386">
        <f t="shared" si="90"/>
        <v>0</v>
      </c>
      <c r="BX78" s="386">
        <f t="shared" si="105"/>
        <v>12058.891520000003</v>
      </c>
      <c r="BY78" s="386">
        <f t="shared" si="106"/>
        <v>0</v>
      </c>
      <c r="BZ78" s="386">
        <f t="shared" si="107"/>
        <v>0</v>
      </c>
      <c r="CA78" s="386">
        <f t="shared" si="108"/>
        <v>0</v>
      </c>
      <c r="CB78" s="386">
        <f t="shared" si="109"/>
        <v>0</v>
      </c>
      <c r="CC78" s="386">
        <f t="shared" si="91"/>
        <v>0</v>
      </c>
      <c r="CD78" s="386">
        <f t="shared" si="92"/>
        <v>0</v>
      </c>
      <c r="CE78" s="386">
        <f t="shared" si="93"/>
        <v>0</v>
      </c>
      <c r="CF78" s="386">
        <f t="shared" si="94"/>
        <v>-277.22239999999999</v>
      </c>
      <c r="CG78" s="386">
        <f t="shared" si="95"/>
        <v>0</v>
      </c>
      <c r="CH78" s="386">
        <f t="shared" si="96"/>
        <v>5.6575999999999658</v>
      </c>
      <c r="CI78" s="386">
        <f t="shared" si="97"/>
        <v>0</v>
      </c>
      <c r="CJ78" s="386">
        <f t="shared" si="110"/>
        <v>-271.56480000000005</v>
      </c>
      <c r="CK78" s="386" t="str">
        <f t="shared" si="111"/>
        <v/>
      </c>
      <c r="CL78" s="386" t="str">
        <f t="shared" si="112"/>
        <v/>
      </c>
      <c r="CM78" s="386" t="str">
        <f t="shared" si="113"/>
        <v/>
      </c>
      <c r="CN78" s="386" t="str">
        <f t="shared" si="114"/>
        <v>0348-00</v>
      </c>
    </row>
    <row r="79" spans="1:92" ht="15.75" thickBot="1" x14ac:dyDescent="0.3">
      <c r="A79" s="376" t="s">
        <v>161</v>
      </c>
      <c r="B79" s="376" t="s">
        <v>162</v>
      </c>
      <c r="C79" s="376" t="s">
        <v>205</v>
      </c>
      <c r="D79" s="376" t="s">
        <v>206</v>
      </c>
      <c r="E79" s="376" t="s">
        <v>417</v>
      </c>
      <c r="F79" s="377" t="s">
        <v>166</v>
      </c>
      <c r="G79" s="376" t="s">
        <v>167</v>
      </c>
      <c r="H79" s="378"/>
      <c r="I79" s="378"/>
      <c r="J79" s="376" t="s">
        <v>168</v>
      </c>
      <c r="K79" s="376" t="s">
        <v>207</v>
      </c>
      <c r="L79" s="376" t="s">
        <v>195</v>
      </c>
      <c r="M79" s="376" t="s">
        <v>171</v>
      </c>
      <c r="N79" s="376" t="s">
        <v>172</v>
      </c>
      <c r="O79" s="379">
        <v>1</v>
      </c>
      <c r="P79" s="384">
        <v>0</v>
      </c>
      <c r="Q79" s="384">
        <v>0</v>
      </c>
      <c r="R79" s="380">
        <v>80</v>
      </c>
      <c r="S79" s="384">
        <v>0</v>
      </c>
      <c r="T79" s="380">
        <v>14550.79</v>
      </c>
      <c r="U79" s="380">
        <v>0</v>
      </c>
      <c r="V79" s="380">
        <v>6665.33</v>
      </c>
      <c r="W79" s="380">
        <v>0</v>
      </c>
      <c r="X79" s="380">
        <v>0</v>
      </c>
      <c r="Y79" s="380">
        <v>0</v>
      </c>
      <c r="Z79" s="380">
        <v>0</v>
      </c>
      <c r="AA79" s="376" t="s">
        <v>208</v>
      </c>
      <c r="AB79" s="376" t="s">
        <v>209</v>
      </c>
      <c r="AC79" s="376" t="s">
        <v>210</v>
      </c>
      <c r="AD79" s="376" t="s">
        <v>211</v>
      </c>
      <c r="AE79" s="376" t="s">
        <v>207</v>
      </c>
      <c r="AF79" s="376" t="s">
        <v>200</v>
      </c>
      <c r="AG79" s="376" t="s">
        <v>178</v>
      </c>
      <c r="AH79" s="381">
        <v>22.29</v>
      </c>
      <c r="AI79" s="379">
        <v>33576</v>
      </c>
      <c r="AJ79" s="376" t="s">
        <v>179</v>
      </c>
      <c r="AK79" s="376" t="s">
        <v>180</v>
      </c>
      <c r="AL79" s="376" t="s">
        <v>181</v>
      </c>
      <c r="AM79" s="376" t="s">
        <v>182</v>
      </c>
      <c r="AN79" s="376" t="s">
        <v>68</v>
      </c>
      <c r="AO79" s="379">
        <v>80</v>
      </c>
      <c r="AP79" s="384">
        <v>1</v>
      </c>
      <c r="AQ79" s="384">
        <v>0</v>
      </c>
      <c r="AR79" s="382" t="s">
        <v>183</v>
      </c>
      <c r="AS79" s="386">
        <f t="shared" si="98"/>
        <v>0</v>
      </c>
      <c r="AT79">
        <f t="shared" si="99"/>
        <v>0</v>
      </c>
      <c r="AU79" s="386" t="str">
        <f>IF(AT79=0,"",IF(AND(AT79=1,M79="F",SUMIF(C2:C84,C79,AS2:AS84)&lt;=1),SUMIF(C2:C84,C79,AS2:AS84),IF(AND(AT79=1,M79="F",SUMIF(C2:C84,C79,AS2:AS84)&gt;1),1,"")))</f>
        <v/>
      </c>
      <c r="AV79" s="386" t="str">
        <f>IF(AT79=0,"",IF(AND(AT79=3,M79="F",SUMIF(C2:C84,C79,AS2:AS84)&lt;=1),SUMIF(C2:C84,C79,AS2:AS84),IF(AND(AT79=3,M79="F",SUMIF(C2:C84,C79,AS2:AS84)&gt;1),1,"")))</f>
        <v/>
      </c>
      <c r="AW79" s="386">
        <f>SUMIF(C2:C84,C79,O2:O84)</f>
        <v>2</v>
      </c>
      <c r="AX79" s="386">
        <f>IF(AND(M79="F",AS79&lt;&gt;0),SUMIF(C2:C84,C79,W2:W84),0)</f>
        <v>0</v>
      </c>
      <c r="AY79" s="386" t="str">
        <f t="shared" si="100"/>
        <v/>
      </c>
      <c r="AZ79" s="386" t="str">
        <f t="shared" si="101"/>
        <v/>
      </c>
      <c r="BA79" s="386">
        <f t="shared" si="102"/>
        <v>0</v>
      </c>
      <c r="BB79" s="386">
        <f t="shared" si="71"/>
        <v>0</v>
      </c>
      <c r="BC79" s="386">
        <f t="shared" si="72"/>
        <v>0</v>
      </c>
      <c r="BD79" s="386">
        <f t="shared" si="73"/>
        <v>0</v>
      </c>
      <c r="BE79" s="386">
        <f t="shared" si="74"/>
        <v>0</v>
      </c>
      <c r="BF79" s="386">
        <f t="shared" si="75"/>
        <v>0</v>
      </c>
      <c r="BG79" s="386">
        <f t="shared" si="76"/>
        <v>0</v>
      </c>
      <c r="BH79" s="386">
        <f t="shared" si="77"/>
        <v>0</v>
      </c>
      <c r="BI79" s="386">
        <f t="shared" si="78"/>
        <v>0</v>
      </c>
      <c r="BJ79" s="386">
        <f t="shared" si="79"/>
        <v>0</v>
      </c>
      <c r="BK79" s="386">
        <f t="shared" si="80"/>
        <v>0</v>
      </c>
      <c r="BL79" s="386">
        <f t="shared" si="103"/>
        <v>0</v>
      </c>
      <c r="BM79" s="386">
        <f t="shared" si="104"/>
        <v>0</v>
      </c>
      <c r="BN79" s="386">
        <f t="shared" si="81"/>
        <v>0</v>
      </c>
      <c r="BO79" s="386">
        <f t="shared" si="82"/>
        <v>0</v>
      </c>
      <c r="BP79" s="386">
        <f t="shared" si="83"/>
        <v>0</v>
      </c>
      <c r="BQ79" s="386">
        <f t="shared" si="84"/>
        <v>0</v>
      </c>
      <c r="BR79" s="386">
        <f t="shared" si="85"/>
        <v>0</v>
      </c>
      <c r="BS79" s="386">
        <f t="shared" si="86"/>
        <v>0</v>
      </c>
      <c r="BT79" s="386">
        <f t="shared" si="87"/>
        <v>0</v>
      </c>
      <c r="BU79" s="386">
        <f t="shared" si="88"/>
        <v>0</v>
      </c>
      <c r="BV79" s="386">
        <f t="shared" si="89"/>
        <v>0</v>
      </c>
      <c r="BW79" s="386">
        <f t="shared" si="90"/>
        <v>0</v>
      </c>
      <c r="BX79" s="386">
        <f t="shared" si="105"/>
        <v>0</v>
      </c>
      <c r="BY79" s="386">
        <f t="shared" si="106"/>
        <v>0</v>
      </c>
      <c r="BZ79" s="386">
        <f t="shared" si="107"/>
        <v>0</v>
      </c>
      <c r="CA79" s="386">
        <f t="shared" si="108"/>
        <v>0</v>
      </c>
      <c r="CB79" s="386">
        <f t="shared" si="109"/>
        <v>0</v>
      </c>
      <c r="CC79" s="386">
        <f t="shared" si="91"/>
        <v>0</v>
      </c>
      <c r="CD79" s="386">
        <f t="shared" si="92"/>
        <v>0</v>
      </c>
      <c r="CE79" s="386">
        <f t="shared" si="93"/>
        <v>0</v>
      </c>
      <c r="CF79" s="386">
        <f t="shared" si="94"/>
        <v>0</v>
      </c>
      <c r="CG79" s="386">
        <f t="shared" si="95"/>
        <v>0</v>
      </c>
      <c r="CH79" s="386">
        <f t="shared" si="96"/>
        <v>0</v>
      </c>
      <c r="CI79" s="386">
        <f t="shared" si="97"/>
        <v>0</v>
      </c>
      <c r="CJ79" s="386">
        <f t="shared" si="110"/>
        <v>0</v>
      </c>
      <c r="CK79" s="386" t="str">
        <f t="shared" si="111"/>
        <v/>
      </c>
      <c r="CL79" s="386" t="str">
        <f t="shared" si="112"/>
        <v/>
      </c>
      <c r="CM79" s="386" t="str">
        <f t="shared" si="113"/>
        <v/>
      </c>
      <c r="CN79" s="386" t="str">
        <f t="shared" si="114"/>
        <v>0348-00</v>
      </c>
    </row>
    <row r="80" spans="1:92" ht="15.75" thickBot="1" x14ac:dyDescent="0.3">
      <c r="A80" s="376" t="s">
        <v>161</v>
      </c>
      <c r="B80" s="376" t="s">
        <v>162</v>
      </c>
      <c r="C80" s="376" t="s">
        <v>212</v>
      </c>
      <c r="D80" s="376" t="s">
        <v>206</v>
      </c>
      <c r="E80" s="376" t="s">
        <v>417</v>
      </c>
      <c r="F80" s="377" t="s">
        <v>166</v>
      </c>
      <c r="G80" s="376" t="s">
        <v>167</v>
      </c>
      <c r="H80" s="378"/>
      <c r="I80" s="378"/>
      <c r="J80" s="376" t="s">
        <v>168</v>
      </c>
      <c r="K80" s="376" t="s">
        <v>207</v>
      </c>
      <c r="L80" s="376" t="s">
        <v>195</v>
      </c>
      <c r="M80" s="376" t="s">
        <v>171</v>
      </c>
      <c r="N80" s="376" t="s">
        <v>172</v>
      </c>
      <c r="O80" s="379">
        <v>1</v>
      </c>
      <c r="P80" s="384">
        <v>0</v>
      </c>
      <c r="Q80" s="384">
        <v>0</v>
      </c>
      <c r="R80" s="380">
        <v>80</v>
      </c>
      <c r="S80" s="384">
        <v>0</v>
      </c>
      <c r="T80" s="380">
        <v>20172.68</v>
      </c>
      <c r="U80" s="380">
        <v>0</v>
      </c>
      <c r="V80" s="380">
        <v>8296.42</v>
      </c>
      <c r="W80" s="380">
        <v>0</v>
      </c>
      <c r="X80" s="380">
        <v>0</v>
      </c>
      <c r="Y80" s="380">
        <v>0</v>
      </c>
      <c r="Z80" s="380">
        <v>0</v>
      </c>
      <c r="AA80" s="376" t="s">
        <v>213</v>
      </c>
      <c r="AB80" s="376" t="s">
        <v>214</v>
      </c>
      <c r="AC80" s="376" t="s">
        <v>215</v>
      </c>
      <c r="AD80" s="376" t="s">
        <v>216</v>
      </c>
      <c r="AE80" s="376" t="s">
        <v>207</v>
      </c>
      <c r="AF80" s="376" t="s">
        <v>200</v>
      </c>
      <c r="AG80" s="376" t="s">
        <v>178</v>
      </c>
      <c r="AH80" s="381">
        <v>24.77</v>
      </c>
      <c r="AI80" s="381">
        <v>29437.9</v>
      </c>
      <c r="AJ80" s="376" t="s">
        <v>179</v>
      </c>
      <c r="AK80" s="376" t="s">
        <v>180</v>
      </c>
      <c r="AL80" s="376" t="s">
        <v>181</v>
      </c>
      <c r="AM80" s="376" t="s">
        <v>182</v>
      </c>
      <c r="AN80" s="376" t="s">
        <v>68</v>
      </c>
      <c r="AO80" s="379">
        <v>80</v>
      </c>
      <c r="AP80" s="384">
        <v>1</v>
      </c>
      <c r="AQ80" s="384">
        <v>0</v>
      </c>
      <c r="AR80" s="382" t="s">
        <v>183</v>
      </c>
      <c r="AS80" s="386">
        <f t="shared" si="98"/>
        <v>0</v>
      </c>
      <c r="AT80">
        <f t="shared" si="99"/>
        <v>0</v>
      </c>
      <c r="AU80" s="386" t="str">
        <f>IF(AT80=0,"",IF(AND(AT80=1,M80="F",SUMIF(C2:C84,C80,AS2:AS84)&lt;=1),SUMIF(C2:C84,C80,AS2:AS84),IF(AND(AT80=1,M80="F",SUMIF(C2:C84,C80,AS2:AS84)&gt;1),1,"")))</f>
        <v/>
      </c>
      <c r="AV80" s="386" t="str">
        <f>IF(AT80=0,"",IF(AND(AT80=3,M80="F",SUMIF(C2:C84,C80,AS2:AS84)&lt;=1),SUMIF(C2:C84,C80,AS2:AS84),IF(AND(AT80=3,M80="F",SUMIF(C2:C84,C80,AS2:AS84)&gt;1),1,"")))</f>
        <v/>
      </c>
      <c r="AW80" s="386">
        <f>SUMIF(C2:C84,C80,O2:O84)</f>
        <v>2</v>
      </c>
      <c r="AX80" s="386">
        <f>IF(AND(M80="F",AS80&lt;&gt;0),SUMIF(C2:C84,C80,W2:W84),0)</f>
        <v>0</v>
      </c>
      <c r="AY80" s="386" t="str">
        <f t="shared" si="100"/>
        <v/>
      </c>
      <c r="AZ80" s="386" t="str">
        <f t="shared" si="101"/>
        <v/>
      </c>
      <c r="BA80" s="386">
        <f t="shared" si="102"/>
        <v>0</v>
      </c>
      <c r="BB80" s="386">
        <f t="shared" si="71"/>
        <v>0</v>
      </c>
      <c r="BC80" s="386">
        <f t="shared" si="72"/>
        <v>0</v>
      </c>
      <c r="BD80" s="386">
        <f t="shared" si="73"/>
        <v>0</v>
      </c>
      <c r="BE80" s="386">
        <f t="shared" si="74"/>
        <v>0</v>
      </c>
      <c r="BF80" s="386">
        <f t="shared" si="75"/>
        <v>0</v>
      </c>
      <c r="BG80" s="386">
        <f t="shared" si="76"/>
        <v>0</v>
      </c>
      <c r="BH80" s="386">
        <f t="shared" si="77"/>
        <v>0</v>
      </c>
      <c r="BI80" s="386">
        <f t="shared" si="78"/>
        <v>0</v>
      </c>
      <c r="BJ80" s="386">
        <f t="shared" si="79"/>
        <v>0</v>
      </c>
      <c r="BK80" s="386">
        <f t="shared" si="80"/>
        <v>0</v>
      </c>
      <c r="BL80" s="386">
        <f t="shared" si="103"/>
        <v>0</v>
      </c>
      <c r="BM80" s="386">
        <f t="shared" si="104"/>
        <v>0</v>
      </c>
      <c r="BN80" s="386">
        <f t="shared" si="81"/>
        <v>0</v>
      </c>
      <c r="BO80" s="386">
        <f t="shared" si="82"/>
        <v>0</v>
      </c>
      <c r="BP80" s="386">
        <f t="shared" si="83"/>
        <v>0</v>
      </c>
      <c r="BQ80" s="386">
        <f t="shared" si="84"/>
        <v>0</v>
      </c>
      <c r="BR80" s="386">
        <f t="shared" si="85"/>
        <v>0</v>
      </c>
      <c r="BS80" s="386">
        <f t="shared" si="86"/>
        <v>0</v>
      </c>
      <c r="BT80" s="386">
        <f t="shared" si="87"/>
        <v>0</v>
      </c>
      <c r="BU80" s="386">
        <f t="shared" si="88"/>
        <v>0</v>
      </c>
      <c r="BV80" s="386">
        <f t="shared" si="89"/>
        <v>0</v>
      </c>
      <c r="BW80" s="386">
        <f t="shared" si="90"/>
        <v>0</v>
      </c>
      <c r="BX80" s="386">
        <f t="shared" si="105"/>
        <v>0</v>
      </c>
      <c r="BY80" s="386">
        <f t="shared" si="106"/>
        <v>0</v>
      </c>
      <c r="BZ80" s="386">
        <f t="shared" si="107"/>
        <v>0</v>
      </c>
      <c r="CA80" s="386">
        <f t="shared" si="108"/>
        <v>0</v>
      </c>
      <c r="CB80" s="386">
        <f t="shared" si="109"/>
        <v>0</v>
      </c>
      <c r="CC80" s="386">
        <f t="shared" si="91"/>
        <v>0</v>
      </c>
      <c r="CD80" s="386">
        <f t="shared" si="92"/>
        <v>0</v>
      </c>
      <c r="CE80" s="386">
        <f t="shared" si="93"/>
        <v>0</v>
      </c>
      <c r="CF80" s="386">
        <f t="shared" si="94"/>
        <v>0</v>
      </c>
      <c r="CG80" s="386">
        <f t="shared" si="95"/>
        <v>0</v>
      </c>
      <c r="CH80" s="386">
        <f t="shared" si="96"/>
        <v>0</v>
      </c>
      <c r="CI80" s="386">
        <f t="shared" si="97"/>
        <v>0</v>
      </c>
      <c r="CJ80" s="386">
        <f t="shared" si="110"/>
        <v>0</v>
      </c>
      <c r="CK80" s="386" t="str">
        <f t="shared" si="111"/>
        <v/>
      </c>
      <c r="CL80" s="386" t="str">
        <f t="shared" si="112"/>
        <v/>
      </c>
      <c r="CM80" s="386" t="str">
        <f t="shared" si="113"/>
        <v/>
      </c>
      <c r="CN80" s="386" t="str">
        <f t="shared" si="114"/>
        <v>0348-00</v>
      </c>
    </row>
    <row r="81" spans="1:92" ht="15.75" thickBot="1" x14ac:dyDescent="0.3">
      <c r="A81" s="376" t="s">
        <v>161</v>
      </c>
      <c r="B81" s="376" t="s">
        <v>162</v>
      </c>
      <c r="C81" s="376" t="s">
        <v>217</v>
      </c>
      <c r="D81" s="376" t="s">
        <v>206</v>
      </c>
      <c r="E81" s="376" t="s">
        <v>417</v>
      </c>
      <c r="F81" s="377" t="s">
        <v>166</v>
      </c>
      <c r="G81" s="376" t="s">
        <v>167</v>
      </c>
      <c r="H81" s="378"/>
      <c r="I81" s="378"/>
      <c r="J81" s="376" t="s">
        <v>218</v>
      </c>
      <c r="K81" s="376" t="s">
        <v>207</v>
      </c>
      <c r="L81" s="376" t="s">
        <v>195</v>
      </c>
      <c r="M81" s="376" t="s">
        <v>171</v>
      </c>
      <c r="N81" s="376" t="s">
        <v>172</v>
      </c>
      <c r="O81" s="379">
        <v>1</v>
      </c>
      <c r="P81" s="384">
        <v>0.5</v>
      </c>
      <c r="Q81" s="384">
        <v>0.5</v>
      </c>
      <c r="R81" s="380">
        <v>80</v>
      </c>
      <c r="S81" s="384">
        <v>0.5</v>
      </c>
      <c r="T81" s="380">
        <v>22248.86</v>
      </c>
      <c r="U81" s="380">
        <v>0</v>
      </c>
      <c r="V81" s="380">
        <v>10190.51</v>
      </c>
      <c r="W81" s="380">
        <v>23223.200000000001</v>
      </c>
      <c r="X81" s="380">
        <v>10886.48</v>
      </c>
      <c r="Y81" s="380">
        <v>23223.200000000001</v>
      </c>
      <c r="Z81" s="380">
        <v>10775.01</v>
      </c>
      <c r="AA81" s="376" t="s">
        <v>219</v>
      </c>
      <c r="AB81" s="376" t="s">
        <v>220</v>
      </c>
      <c r="AC81" s="376" t="s">
        <v>221</v>
      </c>
      <c r="AD81" s="376" t="s">
        <v>222</v>
      </c>
      <c r="AE81" s="376" t="s">
        <v>207</v>
      </c>
      <c r="AF81" s="376" t="s">
        <v>200</v>
      </c>
      <c r="AG81" s="376" t="s">
        <v>178</v>
      </c>
      <c r="AH81" s="381">
        <v>22.33</v>
      </c>
      <c r="AI81" s="379">
        <v>18210</v>
      </c>
      <c r="AJ81" s="376" t="s">
        <v>179</v>
      </c>
      <c r="AK81" s="376" t="s">
        <v>180</v>
      </c>
      <c r="AL81" s="376" t="s">
        <v>181</v>
      </c>
      <c r="AM81" s="376" t="s">
        <v>182</v>
      </c>
      <c r="AN81" s="376" t="s">
        <v>68</v>
      </c>
      <c r="AO81" s="379">
        <v>80</v>
      </c>
      <c r="AP81" s="384">
        <v>1</v>
      </c>
      <c r="AQ81" s="384">
        <v>0.5</v>
      </c>
      <c r="AR81" s="382" t="s">
        <v>183</v>
      </c>
      <c r="AS81" s="386">
        <f t="shared" si="98"/>
        <v>0.5</v>
      </c>
      <c r="AT81">
        <f t="shared" si="99"/>
        <v>1</v>
      </c>
      <c r="AU81" s="386">
        <f>IF(AT81=0,"",IF(AND(AT81=1,M81="F",SUMIF(C2:C84,C81,AS2:AS84)&lt;=1),SUMIF(C2:C84,C81,AS2:AS84),IF(AND(AT81=1,M81="F",SUMIF(C2:C84,C81,AS2:AS84)&gt;1),1,"")))</f>
        <v>1</v>
      </c>
      <c r="AV81" s="386" t="str">
        <f>IF(AT81=0,"",IF(AND(AT81=3,M81="F",SUMIF(C2:C84,C81,AS2:AS84)&lt;=1),SUMIF(C2:C84,C81,AS2:AS84),IF(AND(AT81=3,M81="F",SUMIF(C2:C84,C81,AS2:AS84)&gt;1),1,"")))</f>
        <v/>
      </c>
      <c r="AW81" s="386">
        <f>SUMIF(C2:C84,C81,O2:O84)</f>
        <v>2</v>
      </c>
      <c r="AX81" s="386">
        <f>IF(AND(M81="F",AS81&lt;&gt;0),SUMIF(C2:C84,C81,W2:W84),0)</f>
        <v>46446.400000000001</v>
      </c>
      <c r="AY81" s="386">
        <f t="shared" si="100"/>
        <v>23223.200000000001</v>
      </c>
      <c r="AZ81" s="386" t="str">
        <f t="shared" si="101"/>
        <v/>
      </c>
      <c r="BA81" s="386">
        <f t="shared" si="102"/>
        <v>0</v>
      </c>
      <c r="BB81" s="386">
        <f t="shared" si="71"/>
        <v>5825</v>
      </c>
      <c r="BC81" s="386">
        <f t="shared" si="72"/>
        <v>0</v>
      </c>
      <c r="BD81" s="386">
        <f t="shared" si="73"/>
        <v>1439.8384000000001</v>
      </c>
      <c r="BE81" s="386">
        <f t="shared" si="74"/>
        <v>336.7364</v>
      </c>
      <c r="BF81" s="386">
        <f t="shared" si="75"/>
        <v>2772.8500800000002</v>
      </c>
      <c r="BG81" s="386">
        <f t="shared" si="76"/>
        <v>167.43927200000002</v>
      </c>
      <c r="BH81" s="386">
        <f t="shared" si="77"/>
        <v>113.79367999999999</v>
      </c>
      <c r="BI81" s="386">
        <f t="shared" si="78"/>
        <v>128.540412</v>
      </c>
      <c r="BJ81" s="386">
        <f t="shared" si="79"/>
        <v>102.18208000000001</v>
      </c>
      <c r="BK81" s="386">
        <f t="shared" si="80"/>
        <v>0</v>
      </c>
      <c r="BL81" s="386">
        <f t="shared" si="103"/>
        <v>5061.3803239999997</v>
      </c>
      <c r="BM81" s="386">
        <f t="shared" si="104"/>
        <v>0</v>
      </c>
      <c r="BN81" s="386">
        <f t="shared" si="81"/>
        <v>5825</v>
      </c>
      <c r="BO81" s="386">
        <f t="shared" si="82"/>
        <v>0</v>
      </c>
      <c r="BP81" s="386">
        <f t="shared" si="83"/>
        <v>1439.8384000000001</v>
      </c>
      <c r="BQ81" s="386">
        <f t="shared" si="84"/>
        <v>336.7364</v>
      </c>
      <c r="BR81" s="386">
        <f t="shared" si="85"/>
        <v>2772.8500800000002</v>
      </c>
      <c r="BS81" s="386">
        <f t="shared" si="86"/>
        <v>167.43927200000002</v>
      </c>
      <c r="BT81" s="386">
        <f t="shared" si="87"/>
        <v>0</v>
      </c>
      <c r="BU81" s="386">
        <f t="shared" si="88"/>
        <v>128.540412</v>
      </c>
      <c r="BV81" s="386">
        <f t="shared" si="89"/>
        <v>104.50439999999999</v>
      </c>
      <c r="BW81" s="386">
        <f t="shared" si="90"/>
        <v>0</v>
      </c>
      <c r="BX81" s="386">
        <f t="shared" si="105"/>
        <v>4949.9089640000002</v>
      </c>
      <c r="BY81" s="386">
        <f t="shared" si="106"/>
        <v>0</v>
      </c>
      <c r="BZ81" s="386">
        <f t="shared" si="107"/>
        <v>0</v>
      </c>
      <c r="CA81" s="386">
        <f t="shared" si="108"/>
        <v>0</v>
      </c>
      <c r="CB81" s="386">
        <f t="shared" si="109"/>
        <v>0</v>
      </c>
      <c r="CC81" s="386">
        <f t="shared" si="91"/>
        <v>0</v>
      </c>
      <c r="CD81" s="386">
        <f t="shared" si="92"/>
        <v>0</v>
      </c>
      <c r="CE81" s="386">
        <f t="shared" si="93"/>
        <v>0</v>
      </c>
      <c r="CF81" s="386">
        <f t="shared" si="94"/>
        <v>-113.79367999999999</v>
      </c>
      <c r="CG81" s="386">
        <f t="shared" si="95"/>
        <v>0</v>
      </c>
      <c r="CH81" s="386">
        <f t="shared" si="96"/>
        <v>2.3223199999999862</v>
      </c>
      <c r="CI81" s="386">
        <f t="shared" si="97"/>
        <v>0</v>
      </c>
      <c r="CJ81" s="386">
        <f t="shared" si="110"/>
        <v>-111.47136</v>
      </c>
      <c r="CK81" s="386" t="str">
        <f t="shared" si="111"/>
        <v/>
      </c>
      <c r="CL81" s="386" t="str">
        <f t="shared" si="112"/>
        <v/>
      </c>
      <c r="CM81" s="386" t="str">
        <f t="shared" si="113"/>
        <v/>
      </c>
      <c r="CN81" s="386" t="str">
        <f t="shared" si="114"/>
        <v>0348-00</v>
      </c>
    </row>
    <row r="82" spans="1:92" ht="15.75" thickBot="1" x14ac:dyDescent="0.3">
      <c r="A82" s="376" t="s">
        <v>161</v>
      </c>
      <c r="B82" s="376" t="s">
        <v>162</v>
      </c>
      <c r="C82" s="376" t="s">
        <v>223</v>
      </c>
      <c r="D82" s="376" t="s">
        <v>224</v>
      </c>
      <c r="E82" s="376" t="s">
        <v>417</v>
      </c>
      <c r="F82" s="377" t="s">
        <v>166</v>
      </c>
      <c r="G82" s="376" t="s">
        <v>167</v>
      </c>
      <c r="H82" s="378"/>
      <c r="I82" s="378"/>
      <c r="J82" s="376" t="s">
        <v>168</v>
      </c>
      <c r="K82" s="376" t="s">
        <v>225</v>
      </c>
      <c r="L82" s="376" t="s">
        <v>226</v>
      </c>
      <c r="M82" s="376" t="s">
        <v>171</v>
      </c>
      <c r="N82" s="376" t="s">
        <v>172</v>
      </c>
      <c r="O82" s="379">
        <v>1</v>
      </c>
      <c r="P82" s="384">
        <v>1</v>
      </c>
      <c r="Q82" s="384">
        <v>1</v>
      </c>
      <c r="R82" s="380">
        <v>80</v>
      </c>
      <c r="S82" s="384">
        <v>1</v>
      </c>
      <c r="T82" s="380">
        <v>46913.77</v>
      </c>
      <c r="U82" s="380">
        <v>0</v>
      </c>
      <c r="V82" s="380">
        <v>25950.2</v>
      </c>
      <c r="W82" s="380">
        <v>80558.399999999994</v>
      </c>
      <c r="X82" s="380">
        <v>29207.67</v>
      </c>
      <c r="Y82" s="380">
        <v>80558.399999999994</v>
      </c>
      <c r="Z82" s="380">
        <v>28821</v>
      </c>
      <c r="AA82" s="376" t="s">
        <v>227</v>
      </c>
      <c r="AB82" s="376" t="s">
        <v>228</v>
      </c>
      <c r="AC82" s="376" t="s">
        <v>229</v>
      </c>
      <c r="AD82" s="376" t="s">
        <v>230</v>
      </c>
      <c r="AE82" s="376" t="s">
        <v>225</v>
      </c>
      <c r="AF82" s="376" t="s">
        <v>231</v>
      </c>
      <c r="AG82" s="376" t="s">
        <v>178</v>
      </c>
      <c r="AH82" s="381">
        <v>38.729999999999997</v>
      </c>
      <c r="AI82" s="381">
        <v>47563.5</v>
      </c>
      <c r="AJ82" s="376" t="s">
        <v>179</v>
      </c>
      <c r="AK82" s="376" t="s">
        <v>180</v>
      </c>
      <c r="AL82" s="376" t="s">
        <v>181</v>
      </c>
      <c r="AM82" s="376" t="s">
        <v>182</v>
      </c>
      <c r="AN82" s="376" t="s">
        <v>68</v>
      </c>
      <c r="AO82" s="379">
        <v>80</v>
      </c>
      <c r="AP82" s="384">
        <v>1</v>
      </c>
      <c r="AQ82" s="384">
        <v>1</v>
      </c>
      <c r="AR82" s="382" t="s">
        <v>183</v>
      </c>
      <c r="AS82" s="386">
        <f t="shared" si="98"/>
        <v>1</v>
      </c>
      <c r="AT82">
        <f t="shared" si="99"/>
        <v>1</v>
      </c>
      <c r="AU82" s="386">
        <f>IF(AT82=0,"",IF(AND(AT82=1,M82="F",SUMIF(C2:C84,C82,AS2:AS84)&lt;=1),SUMIF(C2:C84,C82,AS2:AS84),IF(AND(AT82=1,M82="F",SUMIF(C2:C84,C82,AS2:AS84)&gt;1),1,"")))</f>
        <v>1</v>
      </c>
      <c r="AV82" s="386" t="str">
        <f>IF(AT82=0,"",IF(AND(AT82=3,M82="F",SUMIF(C2:C84,C82,AS2:AS84)&lt;=1),SUMIF(C2:C84,C82,AS2:AS84),IF(AND(AT82=3,M82="F",SUMIF(C2:C84,C82,AS2:AS84)&gt;1),1,"")))</f>
        <v/>
      </c>
      <c r="AW82" s="386">
        <f>SUMIF(C2:C84,C82,O2:O84)</f>
        <v>2</v>
      </c>
      <c r="AX82" s="386">
        <f>IF(AND(M82="F",AS82&lt;&gt;0),SUMIF(C2:C84,C82,W2:W84),0)</f>
        <v>80558.399999999994</v>
      </c>
      <c r="AY82" s="386">
        <f t="shared" si="100"/>
        <v>80558.399999999994</v>
      </c>
      <c r="AZ82" s="386" t="str">
        <f t="shared" si="101"/>
        <v/>
      </c>
      <c r="BA82" s="386">
        <f t="shared" si="102"/>
        <v>0</v>
      </c>
      <c r="BB82" s="386">
        <f t="shared" si="71"/>
        <v>11650</v>
      </c>
      <c r="BC82" s="386">
        <f t="shared" si="72"/>
        <v>0</v>
      </c>
      <c r="BD82" s="386">
        <f t="shared" si="73"/>
        <v>4994.6207999999997</v>
      </c>
      <c r="BE82" s="386">
        <f t="shared" si="74"/>
        <v>1168.0968</v>
      </c>
      <c r="BF82" s="386">
        <f t="shared" si="75"/>
        <v>9618.6729599999999</v>
      </c>
      <c r="BG82" s="386">
        <f t="shared" si="76"/>
        <v>580.82606399999997</v>
      </c>
      <c r="BH82" s="386">
        <f t="shared" si="77"/>
        <v>394.73615999999998</v>
      </c>
      <c r="BI82" s="386">
        <f t="shared" si="78"/>
        <v>445.89074399999998</v>
      </c>
      <c r="BJ82" s="386">
        <f t="shared" si="79"/>
        <v>354.45695999999998</v>
      </c>
      <c r="BK82" s="386">
        <f t="shared" si="80"/>
        <v>0</v>
      </c>
      <c r="BL82" s="386">
        <f t="shared" si="103"/>
        <v>17557.300488000001</v>
      </c>
      <c r="BM82" s="386">
        <f t="shared" si="104"/>
        <v>0</v>
      </c>
      <c r="BN82" s="386">
        <f t="shared" si="81"/>
        <v>11650</v>
      </c>
      <c r="BO82" s="386">
        <f t="shared" si="82"/>
        <v>0</v>
      </c>
      <c r="BP82" s="386">
        <f t="shared" si="83"/>
        <v>4994.6207999999997</v>
      </c>
      <c r="BQ82" s="386">
        <f t="shared" si="84"/>
        <v>1168.0968</v>
      </c>
      <c r="BR82" s="386">
        <f t="shared" si="85"/>
        <v>9618.6729599999999</v>
      </c>
      <c r="BS82" s="386">
        <f t="shared" si="86"/>
        <v>580.82606399999997</v>
      </c>
      <c r="BT82" s="386">
        <f t="shared" si="87"/>
        <v>0</v>
      </c>
      <c r="BU82" s="386">
        <f t="shared" si="88"/>
        <v>445.89074399999998</v>
      </c>
      <c r="BV82" s="386">
        <f t="shared" si="89"/>
        <v>362.51279999999997</v>
      </c>
      <c r="BW82" s="386">
        <f t="shared" si="90"/>
        <v>0</v>
      </c>
      <c r="BX82" s="386">
        <f t="shared" si="105"/>
        <v>17170.620168000001</v>
      </c>
      <c r="BY82" s="386">
        <f t="shared" si="106"/>
        <v>0</v>
      </c>
      <c r="BZ82" s="386">
        <f t="shared" si="107"/>
        <v>0</v>
      </c>
      <c r="CA82" s="386">
        <f t="shared" si="108"/>
        <v>0</v>
      </c>
      <c r="CB82" s="386">
        <f t="shared" si="109"/>
        <v>0</v>
      </c>
      <c r="CC82" s="386">
        <f t="shared" si="91"/>
        <v>0</v>
      </c>
      <c r="CD82" s="386">
        <f t="shared" si="92"/>
        <v>0</v>
      </c>
      <c r="CE82" s="386">
        <f t="shared" si="93"/>
        <v>0</v>
      </c>
      <c r="CF82" s="386">
        <f t="shared" si="94"/>
        <v>-394.73615999999998</v>
      </c>
      <c r="CG82" s="386">
        <f t="shared" si="95"/>
        <v>0</v>
      </c>
      <c r="CH82" s="386">
        <f t="shared" si="96"/>
        <v>8.0558399999999502</v>
      </c>
      <c r="CI82" s="386">
        <f t="shared" si="97"/>
        <v>0</v>
      </c>
      <c r="CJ82" s="386">
        <f t="shared" si="110"/>
        <v>-386.68032000000005</v>
      </c>
      <c r="CK82" s="386" t="str">
        <f t="shared" si="111"/>
        <v/>
      </c>
      <c r="CL82" s="386" t="str">
        <f t="shared" si="112"/>
        <v/>
      </c>
      <c r="CM82" s="386" t="str">
        <f t="shared" si="113"/>
        <v/>
      </c>
      <c r="CN82" s="386" t="str">
        <f t="shared" si="114"/>
        <v>0348-00</v>
      </c>
    </row>
    <row r="83" spans="1:92" ht="15.75" thickBot="1" x14ac:dyDescent="0.3">
      <c r="A83" s="376" t="s">
        <v>161</v>
      </c>
      <c r="B83" s="376" t="s">
        <v>162</v>
      </c>
      <c r="C83" s="376" t="s">
        <v>232</v>
      </c>
      <c r="D83" s="376" t="s">
        <v>206</v>
      </c>
      <c r="E83" s="376" t="s">
        <v>417</v>
      </c>
      <c r="F83" s="377" t="s">
        <v>166</v>
      </c>
      <c r="G83" s="376" t="s">
        <v>167</v>
      </c>
      <c r="H83" s="378"/>
      <c r="I83" s="378"/>
      <c r="J83" s="376" t="s">
        <v>168</v>
      </c>
      <c r="K83" s="376" t="s">
        <v>207</v>
      </c>
      <c r="L83" s="376" t="s">
        <v>195</v>
      </c>
      <c r="M83" s="376" t="s">
        <v>171</v>
      </c>
      <c r="N83" s="376" t="s">
        <v>172</v>
      </c>
      <c r="O83" s="379">
        <v>1</v>
      </c>
      <c r="P83" s="384">
        <v>1</v>
      </c>
      <c r="Q83" s="384">
        <v>1</v>
      </c>
      <c r="R83" s="380">
        <v>80</v>
      </c>
      <c r="S83" s="384">
        <v>1</v>
      </c>
      <c r="T83" s="380">
        <v>51500.92</v>
      </c>
      <c r="U83" s="380">
        <v>0</v>
      </c>
      <c r="V83" s="380">
        <v>21492.22</v>
      </c>
      <c r="W83" s="380">
        <v>58219.199999999997</v>
      </c>
      <c r="X83" s="380">
        <v>24338.85</v>
      </c>
      <c r="Y83" s="380">
        <v>58219.199999999997</v>
      </c>
      <c r="Z83" s="380">
        <v>24059.4</v>
      </c>
      <c r="AA83" s="376" t="s">
        <v>233</v>
      </c>
      <c r="AB83" s="376" t="s">
        <v>234</v>
      </c>
      <c r="AC83" s="376" t="s">
        <v>235</v>
      </c>
      <c r="AD83" s="376" t="s">
        <v>226</v>
      </c>
      <c r="AE83" s="376" t="s">
        <v>207</v>
      </c>
      <c r="AF83" s="376" t="s">
        <v>200</v>
      </c>
      <c r="AG83" s="376" t="s">
        <v>178</v>
      </c>
      <c r="AH83" s="381">
        <v>27.99</v>
      </c>
      <c r="AI83" s="381">
        <v>34705.4</v>
      </c>
      <c r="AJ83" s="376" t="s">
        <v>179</v>
      </c>
      <c r="AK83" s="376" t="s">
        <v>180</v>
      </c>
      <c r="AL83" s="376" t="s">
        <v>181</v>
      </c>
      <c r="AM83" s="376" t="s">
        <v>182</v>
      </c>
      <c r="AN83" s="376" t="s">
        <v>68</v>
      </c>
      <c r="AO83" s="379">
        <v>80</v>
      </c>
      <c r="AP83" s="384">
        <v>1</v>
      </c>
      <c r="AQ83" s="384">
        <v>1</v>
      </c>
      <c r="AR83" s="382" t="s">
        <v>183</v>
      </c>
      <c r="AS83" s="386">
        <f t="shared" si="98"/>
        <v>1</v>
      </c>
      <c r="AT83">
        <f t="shared" si="99"/>
        <v>1</v>
      </c>
      <c r="AU83" s="386">
        <f>IF(AT83=0,"",IF(AND(AT83=1,M83="F",SUMIF(C2:C84,C83,AS2:AS84)&lt;=1),SUMIF(C2:C84,C83,AS2:AS84),IF(AND(AT83=1,M83="F",SUMIF(C2:C84,C83,AS2:AS84)&gt;1),1,"")))</f>
        <v>1</v>
      </c>
      <c r="AV83" s="386" t="str">
        <f>IF(AT83=0,"",IF(AND(AT83=3,M83="F",SUMIF(C2:C84,C83,AS2:AS84)&lt;=1),SUMIF(C2:C84,C83,AS2:AS84),IF(AND(AT83=3,M83="F",SUMIF(C2:C84,C83,AS2:AS84)&gt;1),1,"")))</f>
        <v/>
      </c>
      <c r="AW83" s="386">
        <f>SUMIF(C2:C84,C83,O2:O84)</f>
        <v>2</v>
      </c>
      <c r="AX83" s="386">
        <f>IF(AND(M83="F",AS83&lt;&gt;0),SUMIF(C2:C84,C83,W2:W84),0)</f>
        <v>58219.199999999997</v>
      </c>
      <c r="AY83" s="386">
        <f t="shared" si="100"/>
        <v>58219.199999999997</v>
      </c>
      <c r="AZ83" s="386" t="str">
        <f t="shared" si="101"/>
        <v/>
      </c>
      <c r="BA83" s="386">
        <f t="shared" si="102"/>
        <v>0</v>
      </c>
      <c r="BB83" s="386">
        <f t="shared" si="71"/>
        <v>11650</v>
      </c>
      <c r="BC83" s="386">
        <f t="shared" si="72"/>
        <v>0</v>
      </c>
      <c r="BD83" s="386">
        <f t="shared" si="73"/>
        <v>3609.5903999999996</v>
      </c>
      <c r="BE83" s="386">
        <f t="shared" si="74"/>
        <v>844.17840000000001</v>
      </c>
      <c r="BF83" s="386">
        <f t="shared" si="75"/>
        <v>6951.37248</v>
      </c>
      <c r="BG83" s="386">
        <f t="shared" si="76"/>
        <v>419.76043199999998</v>
      </c>
      <c r="BH83" s="386">
        <f t="shared" si="77"/>
        <v>285.27407999999997</v>
      </c>
      <c r="BI83" s="386">
        <f t="shared" si="78"/>
        <v>322.24327199999999</v>
      </c>
      <c r="BJ83" s="386">
        <f t="shared" si="79"/>
        <v>256.16448000000003</v>
      </c>
      <c r="BK83" s="386">
        <f t="shared" si="80"/>
        <v>0</v>
      </c>
      <c r="BL83" s="386">
        <f t="shared" si="103"/>
        <v>12688.583543999997</v>
      </c>
      <c r="BM83" s="386">
        <f t="shared" si="104"/>
        <v>0</v>
      </c>
      <c r="BN83" s="386">
        <f t="shared" si="81"/>
        <v>11650</v>
      </c>
      <c r="BO83" s="386">
        <f t="shared" si="82"/>
        <v>0</v>
      </c>
      <c r="BP83" s="386">
        <f t="shared" si="83"/>
        <v>3609.5903999999996</v>
      </c>
      <c r="BQ83" s="386">
        <f t="shared" si="84"/>
        <v>844.17840000000001</v>
      </c>
      <c r="BR83" s="386">
        <f t="shared" si="85"/>
        <v>6951.37248</v>
      </c>
      <c r="BS83" s="386">
        <f t="shared" si="86"/>
        <v>419.76043199999998</v>
      </c>
      <c r="BT83" s="386">
        <f t="shared" si="87"/>
        <v>0</v>
      </c>
      <c r="BU83" s="386">
        <f t="shared" si="88"/>
        <v>322.24327199999999</v>
      </c>
      <c r="BV83" s="386">
        <f t="shared" si="89"/>
        <v>261.98639999999995</v>
      </c>
      <c r="BW83" s="386">
        <f t="shared" si="90"/>
        <v>0</v>
      </c>
      <c r="BX83" s="386">
        <f t="shared" si="105"/>
        <v>12409.131383999998</v>
      </c>
      <c r="BY83" s="386">
        <f t="shared" si="106"/>
        <v>0</v>
      </c>
      <c r="BZ83" s="386">
        <f t="shared" si="107"/>
        <v>0</v>
      </c>
      <c r="CA83" s="386">
        <f t="shared" si="108"/>
        <v>0</v>
      </c>
      <c r="CB83" s="386">
        <f t="shared" si="109"/>
        <v>0</v>
      </c>
      <c r="CC83" s="386">
        <f t="shared" si="91"/>
        <v>0</v>
      </c>
      <c r="CD83" s="386">
        <f t="shared" si="92"/>
        <v>0</v>
      </c>
      <c r="CE83" s="386">
        <f t="shared" si="93"/>
        <v>0</v>
      </c>
      <c r="CF83" s="386">
        <f t="shared" si="94"/>
        <v>-285.27407999999997</v>
      </c>
      <c r="CG83" s="386">
        <f t="shared" si="95"/>
        <v>0</v>
      </c>
      <c r="CH83" s="386">
        <f t="shared" si="96"/>
        <v>5.8219199999999649</v>
      </c>
      <c r="CI83" s="386">
        <f t="shared" si="97"/>
        <v>0</v>
      </c>
      <c r="CJ83" s="386">
        <f t="shared" si="110"/>
        <v>-279.45215999999999</v>
      </c>
      <c r="CK83" s="386" t="str">
        <f t="shared" si="111"/>
        <v/>
      </c>
      <c r="CL83" s="386" t="str">
        <f t="shared" si="112"/>
        <v/>
      </c>
      <c r="CM83" s="386" t="str">
        <f t="shared" si="113"/>
        <v/>
      </c>
      <c r="CN83" s="386" t="str">
        <f t="shared" si="114"/>
        <v>0348-00</v>
      </c>
    </row>
    <row r="84" spans="1:92" ht="15.75" thickBot="1" x14ac:dyDescent="0.3">
      <c r="A84" s="376" t="s">
        <v>161</v>
      </c>
      <c r="B84" s="376" t="s">
        <v>162</v>
      </c>
      <c r="C84" s="376" t="s">
        <v>340</v>
      </c>
      <c r="D84" s="376" t="s">
        <v>341</v>
      </c>
      <c r="E84" s="376" t="s">
        <v>418</v>
      </c>
      <c r="F84" s="377" t="s">
        <v>166</v>
      </c>
      <c r="G84" s="376" t="s">
        <v>167</v>
      </c>
      <c r="H84" s="378"/>
      <c r="I84" s="378"/>
      <c r="J84" s="376" t="s">
        <v>218</v>
      </c>
      <c r="K84" s="376" t="s">
        <v>342</v>
      </c>
      <c r="L84" s="376" t="s">
        <v>178</v>
      </c>
      <c r="M84" s="376" t="s">
        <v>171</v>
      </c>
      <c r="N84" s="376" t="s">
        <v>172</v>
      </c>
      <c r="O84" s="379">
        <v>1</v>
      </c>
      <c r="P84" s="384">
        <v>0.47</v>
      </c>
      <c r="Q84" s="384">
        <v>0.47</v>
      </c>
      <c r="R84" s="380">
        <v>62</v>
      </c>
      <c r="S84" s="384">
        <v>0.36</v>
      </c>
      <c r="T84" s="380">
        <v>12844.93</v>
      </c>
      <c r="U84" s="380">
        <v>0</v>
      </c>
      <c r="V84" s="380">
        <v>8255.07</v>
      </c>
      <c r="W84" s="380">
        <v>13380.9</v>
      </c>
      <c r="X84" s="380">
        <v>8391.85</v>
      </c>
      <c r="Y84" s="380">
        <v>13380.9</v>
      </c>
      <c r="Z84" s="380">
        <v>8327.6200000000008</v>
      </c>
      <c r="AA84" s="376" t="s">
        <v>343</v>
      </c>
      <c r="AB84" s="376" t="s">
        <v>344</v>
      </c>
      <c r="AC84" s="376" t="s">
        <v>345</v>
      </c>
      <c r="AD84" s="376" t="s">
        <v>346</v>
      </c>
      <c r="AE84" s="376" t="s">
        <v>342</v>
      </c>
      <c r="AF84" s="376" t="s">
        <v>347</v>
      </c>
      <c r="AG84" s="376" t="s">
        <v>178</v>
      </c>
      <c r="AH84" s="381">
        <v>18.25</v>
      </c>
      <c r="AI84" s="381">
        <v>16977.2</v>
      </c>
      <c r="AJ84" s="376" t="s">
        <v>348</v>
      </c>
      <c r="AK84" s="376" t="s">
        <v>180</v>
      </c>
      <c r="AL84" s="376" t="s">
        <v>181</v>
      </c>
      <c r="AM84" s="376" t="s">
        <v>182</v>
      </c>
      <c r="AN84" s="376" t="s">
        <v>68</v>
      </c>
      <c r="AO84" s="379">
        <v>60</v>
      </c>
      <c r="AP84" s="384">
        <v>1</v>
      </c>
      <c r="AQ84" s="384">
        <v>0.35</v>
      </c>
      <c r="AR84" s="382" t="s">
        <v>183</v>
      </c>
      <c r="AS84" s="386">
        <f t="shared" si="98"/>
        <v>0.35249999999999998</v>
      </c>
      <c r="AT84">
        <f t="shared" si="99"/>
        <v>1</v>
      </c>
      <c r="AU84" s="386">
        <f>IF(AT84=0,"",IF(AND(AT84=1,M84="F",SUMIF(C2:C84,C84,AS2:AS84)&lt;=1),SUMIF(C2:C84,C84,AS2:AS84),IF(AND(AT84=1,M84="F",SUMIF(C2:C84,C84,AS2:AS84)&gt;1),1,"")))</f>
        <v>0.75</v>
      </c>
      <c r="AV84" s="386" t="str">
        <f>IF(AT84=0,"",IF(AND(AT84=3,M84="F",SUMIF(C2:C84,C84,AS2:AS84)&lt;=1),SUMIF(C2:C84,C84,AS2:AS84),IF(AND(AT84=3,M84="F",SUMIF(C2:C84,C84,AS2:AS84)&gt;1),1,"")))</f>
        <v/>
      </c>
      <c r="AW84" s="386">
        <f>SUMIF(C2:C84,C84,O2:O84)</f>
        <v>2</v>
      </c>
      <c r="AX84" s="386">
        <f>IF(AND(M84="F",AS84&lt;&gt;0),SUMIF(C2:C84,C84,W2:W84),0)</f>
        <v>28470</v>
      </c>
      <c r="AY84" s="386">
        <f t="shared" si="100"/>
        <v>13380.9</v>
      </c>
      <c r="AZ84" s="386" t="str">
        <f t="shared" si="101"/>
        <v/>
      </c>
      <c r="BA84" s="386">
        <f t="shared" si="102"/>
        <v>0</v>
      </c>
      <c r="BB84" s="386">
        <f t="shared" si="71"/>
        <v>5475.5</v>
      </c>
      <c r="BC84" s="386">
        <f t="shared" si="72"/>
        <v>0</v>
      </c>
      <c r="BD84" s="386">
        <f t="shared" si="73"/>
        <v>829.61579999999992</v>
      </c>
      <c r="BE84" s="386">
        <f t="shared" si="74"/>
        <v>194.02305000000001</v>
      </c>
      <c r="BF84" s="386">
        <f t="shared" si="75"/>
        <v>1597.6794600000001</v>
      </c>
      <c r="BG84" s="386">
        <f t="shared" si="76"/>
        <v>96.476288999999994</v>
      </c>
      <c r="BH84" s="386">
        <f t="shared" si="77"/>
        <v>65.566409999999991</v>
      </c>
      <c r="BI84" s="386">
        <f t="shared" si="78"/>
        <v>74.063281500000002</v>
      </c>
      <c r="BJ84" s="386">
        <f t="shared" si="79"/>
        <v>58.875959999999999</v>
      </c>
      <c r="BK84" s="386">
        <f t="shared" si="80"/>
        <v>0</v>
      </c>
      <c r="BL84" s="386">
        <f t="shared" si="103"/>
        <v>2916.3002504999999</v>
      </c>
      <c r="BM84" s="386">
        <f t="shared" si="104"/>
        <v>0</v>
      </c>
      <c r="BN84" s="386">
        <f t="shared" si="81"/>
        <v>5475.5</v>
      </c>
      <c r="BO84" s="386">
        <f t="shared" si="82"/>
        <v>0</v>
      </c>
      <c r="BP84" s="386">
        <f t="shared" si="83"/>
        <v>829.61579999999992</v>
      </c>
      <c r="BQ84" s="386">
        <f t="shared" si="84"/>
        <v>194.02305000000001</v>
      </c>
      <c r="BR84" s="386">
        <f t="shared" si="85"/>
        <v>1597.6794600000001</v>
      </c>
      <c r="BS84" s="386">
        <f t="shared" si="86"/>
        <v>96.476288999999994</v>
      </c>
      <c r="BT84" s="386">
        <f t="shared" si="87"/>
        <v>0</v>
      </c>
      <c r="BU84" s="386">
        <f t="shared" si="88"/>
        <v>74.063281500000002</v>
      </c>
      <c r="BV84" s="386">
        <f t="shared" si="89"/>
        <v>60.214049999999993</v>
      </c>
      <c r="BW84" s="386">
        <f t="shared" si="90"/>
        <v>0</v>
      </c>
      <c r="BX84" s="386">
        <f t="shared" si="105"/>
        <v>2852.0719305000002</v>
      </c>
      <c r="BY84" s="386">
        <f t="shared" si="106"/>
        <v>0</v>
      </c>
      <c r="BZ84" s="386">
        <f t="shared" si="107"/>
        <v>0</v>
      </c>
      <c r="CA84" s="386">
        <f t="shared" si="108"/>
        <v>0</v>
      </c>
      <c r="CB84" s="386">
        <f t="shared" si="109"/>
        <v>0</v>
      </c>
      <c r="CC84" s="386">
        <f t="shared" si="91"/>
        <v>0</v>
      </c>
      <c r="CD84" s="386">
        <f t="shared" si="92"/>
        <v>0</v>
      </c>
      <c r="CE84" s="386">
        <f t="shared" si="93"/>
        <v>0</v>
      </c>
      <c r="CF84" s="386">
        <f t="shared" si="94"/>
        <v>-65.566409999999991</v>
      </c>
      <c r="CG84" s="386">
        <f t="shared" si="95"/>
        <v>0</v>
      </c>
      <c r="CH84" s="386">
        <f t="shared" si="96"/>
        <v>1.3380899999999918</v>
      </c>
      <c r="CI84" s="386">
        <f t="shared" si="97"/>
        <v>0</v>
      </c>
      <c r="CJ84" s="386">
        <f t="shared" si="110"/>
        <v>-64.228319999999997</v>
      </c>
      <c r="CK84" s="386" t="str">
        <f t="shared" si="111"/>
        <v/>
      </c>
      <c r="CL84" s="386" t="str">
        <f t="shared" si="112"/>
        <v/>
      </c>
      <c r="CM84" s="386" t="str">
        <f t="shared" si="113"/>
        <v/>
      </c>
      <c r="CN84" s="386" t="str">
        <f t="shared" si="114"/>
        <v>0426-00</v>
      </c>
    </row>
    <row r="86" spans="1:92" ht="21" x14ac:dyDescent="0.35">
      <c r="AQ86" s="251" t="s">
        <v>487</v>
      </c>
    </row>
    <row r="87" spans="1:92" ht="15.75" thickBot="1" x14ac:dyDescent="0.3">
      <c r="AR87" t="s">
        <v>467</v>
      </c>
      <c r="AS87" s="386">
        <f>SUMIFS(AS2:AS84,G2:G84,"GVLA",E2:E84,"0001",F2:F84,"00",AT2:AT84,1)</f>
        <v>10.897500000000001</v>
      </c>
      <c r="AT87" s="386">
        <f>SUMIFS(AS2:AS84,G2:G84,"GVLA",E2:E84,"0001",F2:F84,"00",AT2:AT84,3)</f>
        <v>0</v>
      </c>
      <c r="AU87" s="386">
        <f>SUMIFS(AU2:AU84,G2:G84,"GVLA",E2:E84,"0001",F2:F84,"00")</f>
        <v>11.75</v>
      </c>
      <c r="AV87" s="386">
        <f>SUMIFS(AV2:AV84,G2:G84,"GVLA",E2:E84,"0001",F2:F84,"00")</f>
        <v>0</v>
      </c>
      <c r="AW87" s="386">
        <f>SUMIFS(AW2:AW84,G2:G84,"GVLA",E2:E84,"0001",F2:F84,"00")</f>
        <v>81</v>
      </c>
      <c r="AX87" s="386">
        <f>SUMIFS(AX2:AX84,G2:G84,"GVLA",E2:E84,"0001",F2:F84,"00")</f>
        <v>544226.79999999993</v>
      </c>
      <c r="AY87" s="386">
        <f>SUMIFS(AY2:AY84,G2:G84,"GVLA",E2:E84,"0001",F2:F84,"00")</f>
        <v>507622.69999999995</v>
      </c>
      <c r="AZ87" s="386">
        <f>SUMIFS(AZ2:AZ84,G2:G84,"GVLA",E2:E84,"0001",F2:F84,"00")</f>
        <v>0</v>
      </c>
      <c r="BA87" s="386">
        <f>SUMIFS(BA2:BA84,G2:G84,"GVLA",E2:E84,"0001",F2:F84,"00")</f>
        <v>0</v>
      </c>
      <c r="BB87" s="386">
        <f>SUMIFS(BB2:BB84,G2:G84,"GVLA",E2:E84,"0001",F2:F84,"00")</f>
        <v>128499.5</v>
      </c>
      <c r="BC87" s="386">
        <f>SUMIFS(BC2:BC84,G2:G84,"GVLA",E2:E84,"0001",F2:F84,"00")</f>
        <v>0</v>
      </c>
      <c r="BD87" s="386">
        <f>SUMIFS(BD2:BD84,G2:G84,"GVLA",E2:E84,"0001",F2:F84,"00")</f>
        <v>31472.607400000001</v>
      </c>
      <c r="BE87" s="386">
        <f>SUMIFS(BE2:BE84,G2:G84,"GVLA",E2:E84,"0001",F2:F84,"00")</f>
        <v>7360.5291499999994</v>
      </c>
      <c r="BF87" s="386">
        <f>SUMIFS(BF2:BF84,G2:G84,"GVLA",E2:E84,"0001",F2:F84,"00")</f>
        <v>60610.150380000006</v>
      </c>
      <c r="BG87" s="386">
        <f>SUMIFS(BG2:BG84,G2:G84,"GVLA",E2:E84,"0001",F2:F84,"00")</f>
        <v>3659.9596669999992</v>
      </c>
      <c r="BH87" s="386">
        <f>SUMIFS(BH2:BH84,G2:G84,"GVLA",E2:E84,"0001",F2:F84,"00")</f>
        <v>2487.3512299999998</v>
      </c>
      <c r="BI87" s="386">
        <f>SUMIFS(BI2:BI84,G2:G84,"GVLA",E2:E84,"0001",F2:F84,"00")</f>
        <v>2809.6916445000002</v>
      </c>
      <c r="BJ87" s="386">
        <f>SUMIFS(BJ2:BJ84,G2:G84,"GVLA",E2:E84,"0001",F2:F84,"00")</f>
        <v>2233.5398800000003</v>
      </c>
      <c r="BK87" s="386">
        <f>SUMIFS(BK2:BK84,G2:G84,"GVLA",E2:E84,"0001",F2:F84,"00")</f>
        <v>0</v>
      </c>
      <c r="BL87" s="386">
        <f>SUMIFS(BL2:BL84,G2:G84,"GVLA",E2:E84,"0001",F2:F84,"00")</f>
        <v>110633.8293515</v>
      </c>
      <c r="BM87" s="386">
        <f>SUMIFS(BM2:BM84,G2:G84,"GVLA",E2:E84,"0001",F2:F84,"00")</f>
        <v>0</v>
      </c>
      <c r="BN87" s="386">
        <f>SUMIFS(BN2:BN84,G2:G84,"GVLA",E2:E84,"0001",F2:F84,"00")</f>
        <v>128499.5</v>
      </c>
      <c r="BO87" s="386">
        <f>SUMIFS(BO2:BO84,G2:G84,"GVLA",E2:E84,"0001",F2:F84,"00")</f>
        <v>0</v>
      </c>
      <c r="BP87" s="386">
        <f>SUMIFS(BP2:BP84,G2:G84,"GVLA",E2:E84,"0001",F2:F84,"00")</f>
        <v>31472.607400000001</v>
      </c>
      <c r="BQ87" s="386">
        <f>SUMIFS(BQ2:BQ84,G2:G84,"GVLA",E2:E84,"0001",F2:F84,"00")</f>
        <v>7360.5291499999994</v>
      </c>
      <c r="BR87" s="386">
        <f>SUMIFS(BR2:BR84,G2:G84,"GVLA",E2:E84,"0001",F2:F84,"00")</f>
        <v>60610.150380000006</v>
      </c>
      <c r="BS87" s="386">
        <f>SUMIFS(BS2:BS84,G2:G84,"GVLA",E2:E84,"0001",F2:F84,"00")</f>
        <v>3659.9596669999992</v>
      </c>
      <c r="BT87" s="386">
        <f>SUMIFS(BT2:BT84,G2:G84,"GVLA",E2:E84,"0001",F2:F84,"00")</f>
        <v>0</v>
      </c>
      <c r="BU87" s="386">
        <f>SUMIFS(BU2:BU84,G2:G84,"GVLA",E2:E84,"0001",F2:F84,"00")</f>
        <v>2809.6916445000002</v>
      </c>
      <c r="BV87" s="386">
        <f>SUMIFS(BV2:BV84,G2:G84,"GVLA",E2:E84,"0001",F2:F84,"00")</f>
        <v>2284.30215</v>
      </c>
      <c r="BW87" s="386">
        <f>SUMIFS(BW2:BW84,G2:G84,"GVLA",E2:E84,"0001",F2:F84,"00")</f>
        <v>0</v>
      </c>
      <c r="BX87" s="386">
        <f>SUMIFS(BX2:BX84,G2:G84,"GVLA",E2:E84,"0001",F2:F84,"00")</f>
        <v>108197.2403915</v>
      </c>
      <c r="BY87" s="386">
        <f>SUMIFS(BY2:BY84,G2:G84,"GVLA",E2:E84,"0001",F2:F84,"00")</f>
        <v>0</v>
      </c>
      <c r="BZ87" s="386">
        <f>SUMIFS(BZ2:BZ84,G2:G84,"GVLA",E2:E84,"0001",F2:F84,"00")</f>
        <v>0</v>
      </c>
      <c r="CA87" s="386">
        <f>SUMIFS(CA2:CA84,G2:G84,"GVLA",E2:E84,"0001",F2:F84,"00")</f>
        <v>0</v>
      </c>
      <c r="CB87" s="386">
        <f>SUMIFS(CB2:CB84,G2:G84,"GVLA",E2:E84,"0001",F2:F84,"00")</f>
        <v>0</v>
      </c>
      <c r="CC87" s="386">
        <f>SUMIFS(CC2:CC84,G2:G84,"GVLA",E2:E84,"0001",F2:F84,"00")</f>
        <v>0</v>
      </c>
      <c r="CD87" s="386">
        <f>SUMIFS(CD2:CD84,G2:G84,"GVLA",E2:E84,"0001",F2:F84,"00")</f>
        <v>0</v>
      </c>
      <c r="CE87" s="386">
        <f>SUMIFS(CE2:CE84,G2:G84,"GVLA",E2:E84,"0001",F2:F84,"00")</f>
        <v>0</v>
      </c>
      <c r="CF87" s="386">
        <f>SUMIFS(CF2:CF84,G2:G84,"GVLA",E2:E84,"0001",F2:F84,"00")</f>
        <v>-2487.3512299999998</v>
      </c>
      <c r="CG87" s="386">
        <f>SUMIFS(CG2:CG84,G2:G84,"GVLA",E2:E84,"0001",F2:F84,"00")</f>
        <v>0</v>
      </c>
      <c r="CH87" s="386">
        <f>SUMIFS(CH2:CH84,G2:G84,"GVLA",E2:E84,"0001",F2:F84,"00")</f>
        <v>50.762269999999688</v>
      </c>
      <c r="CI87" s="386">
        <f>SUMIFS(CI2:CI84,G2:G84,"GVLA",E2:E84,"0001",F2:F84,"00")</f>
        <v>0</v>
      </c>
      <c r="CJ87" s="386">
        <f>SUMIFS(CJ2:CJ84,G2:G84,"GVLA",E2:E84,"0001",F2:F84,"00")</f>
        <v>-2436.5889600000005</v>
      </c>
      <c r="CK87" s="386">
        <f>SUMIFS(CK2:CK84,G2:G84,"GVLA",E2:E84,"0001",F2:F84,"00")</f>
        <v>0</v>
      </c>
      <c r="CL87" s="386">
        <f>SUMIFS(CL2:CL84,G2:G84,"GVLA",E2:E84,"0001",F2:F84,"00")</f>
        <v>700</v>
      </c>
      <c r="CM87" s="386">
        <f>SUMIFS(CM2:CM84,G2:G84,"GVLA",E2:E84,"0001",F2:F84,"00")</f>
        <v>101.46</v>
      </c>
    </row>
    <row r="88" spans="1:92" ht="18.75" x14ac:dyDescent="0.3">
      <c r="AQ88" s="392" t="s">
        <v>468</v>
      </c>
      <c r="AS88" s="393">
        <f t="shared" ref="AS88:CM88" si="115">SUM(AS87:AS87)</f>
        <v>10.897500000000001</v>
      </c>
      <c r="AT88" s="393">
        <f t="shared" si="115"/>
        <v>0</v>
      </c>
      <c r="AU88" s="393">
        <f t="shared" si="115"/>
        <v>11.75</v>
      </c>
      <c r="AV88" s="393">
        <f t="shared" si="115"/>
        <v>0</v>
      </c>
      <c r="AW88" s="393">
        <f t="shared" si="115"/>
        <v>81</v>
      </c>
      <c r="AX88" s="393">
        <f t="shared" si="115"/>
        <v>544226.79999999993</v>
      </c>
      <c r="AY88" s="393">
        <f t="shared" si="115"/>
        <v>507622.69999999995</v>
      </c>
      <c r="AZ88" s="393">
        <f t="shared" si="115"/>
        <v>0</v>
      </c>
      <c r="BA88" s="393">
        <f t="shared" si="115"/>
        <v>0</v>
      </c>
      <c r="BB88" s="393">
        <f t="shared" si="115"/>
        <v>128499.5</v>
      </c>
      <c r="BC88" s="393">
        <f t="shared" si="115"/>
        <v>0</v>
      </c>
      <c r="BD88" s="393">
        <f t="shared" si="115"/>
        <v>31472.607400000001</v>
      </c>
      <c r="BE88" s="393">
        <f t="shared" si="115"/>
        <v>7360.5291499999994</v>
      </c>
      <c r="BF88" s="393">
        <f t="shared" si="115"/>
        <v>60610.150380000006</v>
      </c>
      <c r="BG88" s="393">
        <f t="shared" si="115"/>
        <v>3659.9596669999992</v>
      </c>
      <c r="BH88" s="393">
        <f t="shared" si="115"/>
        <v>2487.3512299999998</v>
      </c>
      <c r="BI88" s="393">
        <f t="shared" si="115"/>
        <v>2809.6916445000002</v>
      </c>
      <c r="BJ88" s="393">
        <f t="shared" si="115"/>
        <v>2233.5398800000003</v>
      </c>
      <c r="BK88" s="393">
        <f t="shared" si="115"/>
        <v>0</v>
      </c>
      <c r="BL88" s="393">
        <f t="shared" si="115"/>
        <v>110633.8293515</v>
      </c>
      <c r="BM88" s="393">
        <f t="shared" si="115"/>
        <v>0</v>
      </c>
      <c r="BN88" s="393">
        <f t="shared" si="115"/>
        <v>128499.5</v>
      </c>
      <c r="BO88" s="393">
        <f t="shared" si="115"/>
        <v>0</v>
      </c>
      <c r="BP88" s="393">
        <f t="shared" si="115"/>
        <v>31472.607400000001</v>
      </c>
      <c r="BQ88" s="393">
        <f t="shared" si="115"/>
        <v>7360.5291499999994</v>
      </c>
      <c r="BR88" s="393">
        <f t="shared" si="115"/>
        <v>60610.150380000006</v>
      </c>
      <c r="BS88" s="393">
        <f t="shared" si="115"/>
        <v>3659.9596669999992</v>
      </c>
      <c r="BT88" s="393">
        <f t="shared" si="115"/>
        <v>0</v>
      </c>
      <c r="BU88" s="393">
        <f t="shared" si="115"/>
        <v>2809.6916445000002</v>
      </c>
      <c r="BV88" s="393">
        <f t="shared" si="115"/>
        <v>2284.30215</v>
      </c>
      <c r="BW88" s="393">
        <f t="shared" si="115"/>
        <v>0</v>
      </c>
      <c r="BX88" s="393">
        <f t="shared" si="115"/>
        <v>108197.2403915</v>
      </c>
      <c r="BY88" s="393">
        <f t="shared" si="115"/>
        <v>0</v>
      </c>
      <c r="BZ88" s="393">
        <f t="shared" si="115"/>
        <v>0</v>
      </c>
      <c r="CA88" s="393">
        <f t="shared" si="115"/>
        <v>0</v>
      </c>
      <c r="CB88" s="393">
        <f t="shared" si="115"/>
        <v>0</v>
      </c>
      <c r="CC88" s="393">
        <f t="shared" si="115"/>
        <v>0</v>
      </c>
      <c r="CD88" s="393">
        <f t="shared" si="115"/>
        <v>0</v>
      </c>
      <c r="CE88" s="393">
        <f t="shared" si="115"/>
        <v>0</v>
      </c>
      <c r="CF88" s="393">
        <f t="shared" si="115"/>
        <v>-2487.3512299999998</v>
      </c>
      <c r="CG88" s="393">
        <f t="shared" si="115"/>
        <v>0</v>
      </c>
      <c r="CH88" s="393">
        <f t="shared" si="115"/>
        <v>50.762269999999688</v>
      </c>
      <c r="CI88" s="393">
        <f t="shared" si="115"/>
        <v>0</v>
      </c>
      <c r="CJ88" s="393">
        <f t="shared" si="115"/>
        <v>-2436.5889600000005</v>
      </c>
      <c r="CK88" s="393">
        <f t="shared" si="115"/>
        <v>0</v>
      </c>
      <c r="CL88" s="393">
        <f t="shared" si="115"/>
        <v>700</v>
      </c>
      <c r="CM88" s="393">
        <f t="shared" si="115"/>
        <v>101.46</v>
      </c>
    </row>
    <row r="89" spans="1:92" ht="15.75" thickBot="1" x14ac:dyDescent="0.3">
      <c r="AR89" t="s">
        <v>475</v>
      </c>
      <c r="AS89" s="386">
        <f>SUMIFS(AS2:AS84,G2:G84,"GVLA",E2:E84,"0348",F2:F84,"00",AT2:AT84,1)</f>
        <v>29.5</v>
      </c>
      <c r="AT89" s="386">
        <f>SUMIFS(AS2:AS84,G2:G84,"GVLA",E2:E84,"0348",F2:F84,"00",AT2:AT84,3)</f>
        <v>0</v>
      </c>
      <c r="AU89" s="386">
        <f>SUMIFS(AU2:AU84,G2:G84,"GVLA",E2:E84,"0348",F2:F84,"00")</f>
        <v>30</v>
      </c>
      <c r="AV89" s="386">
        <f>SUMIFS(AV2:AV84,G2:G84,"GVLA",E2:E84,"0348",F2:F84,"00")</f>
        <v>0</v>
      </c>
      <c r="AW89" s="386">
        <f>SUMIFS(AW2:AW84,G2:G84,"GVLA",E2:E84,"0348",F2:F84,"00")</f>
        <v>78</v>
      </c>
      <c r="AX89" s="386">
        <f>SUMIFS(AX2:AX84,G2:G84,"GVLA",E2:E84,"0348",F2:F84,"00")</f>
        <v>1642243.2</v>
      </c>
      <c r="AY89" s="386">
        <f>SUMIFS(AY2:AY84,G2:G84,"GVLA",E2:E84,"0348",F2:F84,"00")</f>
        <v>1619020</v>
      </c>
      <c r="AZ89" s="386">
        <f>SUMIFS(AZ2:AZ84,G2:G84,"GVLA",E2:E84,"0348",F2:F84,"00")</f>
        <v>0</v>
      </c>
      <c r="BA89" s="386">
        <f>SUMIFS(BA2:BA84,G2:G84,"GVLA",E2:E84,"0348",F2:F84,"00")</f>
        <v>0</v>
      </c>
      <c r="BB89" s="386">
        <f>SUMIFS(BB2:BB84,G2:G84,"GVLA",E2:E84,"0348",F2:F84,"00")</f>
        <v>343675</v>
      </c>
      <c r="BC89" s="386">
        <f>SUMIFS(BC2:BC84,G2:G84,"GVLA",E2:E84,"0348",F2:F84,"00")</f>
        <v>0</v>
      </c>
      <c r="BD89" s="386">
        <f>SUMIFS(BD2:BD84,G2:G84,"GVLA",E2:E84,"0348",F2:F84,"00")</f>
        <v>100379.23999999999</v>
      </c>
      <c r="BE89" s="386">
        <f>SUMIFS(BE2:BE84,G2:G84,"GVLA",E2:E84,"0348",F2:F84,"00")</f>
        <v>23475.789999999997</v>
      </c>
      <c r="BF89" s="386">
        <f>SUMIFS(BF2:BF84,G2:G84,"GVLA",E2:E84,"0348",F2:F84,"00")</f>
        <v>193310.98800000001</v>
      </c>
      <c r="BG89" s="386">
        <f>SUMIFS(BG2:BG84,G2:G84,"GVLA",E2:E84,"0348",F2:F84,"00")</f>
        <v>11673.1342</v>
      </c>
      <c r="BH89" s="386">
        <f>SUMIFS(BH2:BH84,G2:G84,"GVLA",E2:E84,"0348",F2:F84,"00")</f>
        <v>7419.623120000002</v>
      </c>
      <c r="BI89" s="386">
        <f>SUMIFS(BI2:BI84,G2:G84,"GVLA",E2:E84,"0348",F2:F84,"00")</f>
        <v>8381.145708</v>
      </c>
      <c r="BJ89" s="386">
        <f>SUMIFS(BJ2:BJ84,G2:G84,"GVLA",E2:E84,"0348",F2:F84,"00")</f>
        <v>7123.688000000001</v>
      </c>
      <c r="BK89" s="386">
        <f>SUMIFS(BK2:BK84,G2:G84,"GVLA",E2:E84,"0348",F2:F84,"00")</f>
        <v>0</v>
      </c>
      <c r="BL89" s="386">
        <f>SUMIFS(BL2:BL84,G2:G84,"GVLA",E2:E84,"0348",F2:F84,"00")</f>
        <v>351763.60902800004</v>
      </c>
      <c r="BM89" s="386">
        <f>SUMIFS(BM2:BM84,G2:G84,"GVLA",E2:E84,"0348",F2:F84,"00")</f>
        <v>0</v>
      </c>
      <c r="BN89" s="386">
        <f>SUMIFS(BN2:BN84,G2:G84,"GVLA",E2:E84,"0348",F2:F84,"00")</f>
        <v>343675</v>
      </c>
      <c r="BO89" s="386">
        <f>SUMIFS(BO2:BO84,G2:G84,"GVLA",E2:E84,"0348",F2:F84,"00")</f>
        <v>0</v>
      </c>
      <c r="BP89" s="386">
        <f>SUMIFS(BP2:BP84,G2:G84,"GVLA",E2:E84,"0348",F2:F84,"00")</f>
        <v>100379.23999999999</v>
      </c>
      <c r="BQ89" s="386">
        <f>SUMIFS(BQ2:BQ84,G2:G84,"GVLA",E2:E84,"0348",F2:F84,"00")</f>
        <v>23475.789999999997</v>
      </c>
      <c r="BR89" s="386">
        <f>SUMIFS(BR2:BR84,G2:G84,"GVLA",E2:E84,"0348",F2:F84,"00")</f>
        <v>193310.98800000001</v>
      </c>
      <c r="BS89" s="386">
        <f>SUMIFS(BS2:BS84,G2:G84,"GVLA",E2:E84,"0348",F2:F84,"00")</f>
        <v>11673.1342</v>
      </c>
      <c r="BT89" s="386">
        <f>SUMIFS(BT2:BT84,G2:G84,"GVLA",E2:E84,"0348",F2:F84,"00")</f>
        <v>0</v>
      </c>
      <c r="BU89" s="386">
        <f>SUMIFS(BU2:BU84,G2:G84,"GVLA",E2:E84,"0348",F2:F84,"00")</f>
        <v>8381.145708</v>
      </c>
      <c r="BV89" s="386">
        <f>SUMIFS(BV2:BV84,G2:G84,"GVLA",E2:E84,"0348",F2:F84,"00")</f>
        <v>7285.5899999999983</v>
      </c>
      <c r="BW89" s="386">
        <f>SUMIFS(BW2:BW84,G2:G84,"GVLA",E2:E84,"0348",F2:F84,"00")</f>
        <v>0</v>
      </c>
      <c r="BX89" s="386">
        <f>SUMIFS(BX2:BX84,G2:G84,"GVLA",E2:E84,"0348",F2:F84,"00")</f>
        <v>344505.88790800009</v>
      </c>
      <c r="BY89" s="386">
        <f>SUMIFS(BY2:BY84,G2:G84,"GVLA",E2:E84,"0348",F2:F84,"00")</f>
        <v>0</v>
      </c>
      <c r="BZ89" s="386">
        <f>SUMIFS(BZ2:BZ84,G2:G84,"GVLA",E2:E84,"0348",F2:F84,"00")</f>
        <v>0</v>
      </c>
      <c r="CA89" s="386">
        <f>SUMIFS(CA2:CA84,G2:G84,"GVLA",E2:E84,"0348",F2:F84,"00")</f>
        <v>0</v>
      </c>
      <c r="CB89" s="386">
        <f>SUMIFS(CB2:CB84,G2:G84,"GVLA",E2:E84,"0348",F2:F84,"00")</f>
        <v>0</v>
      </c>
      <c r="CC89" s="386">
        <f>SUMIFS(CC2:CC84,G2:G84,"GVLA",E2:E84,"0348",F2:F84,"00")</f>
        <v>0</v>
      </c>
      <c r="CD89" s="386">
        <f>SUMIFS(CD2:CD84,G2:G84,"GVLA",E2:E84,"0348",F2:F84,"00")</f>
        <v>0</v>
      </c>
      <c r="CE89" s="386">
        <f>SUMIFS(CE2:CE84,G2:G84,"GVLA",E2:E84,"0348",F2:F84,"00")</f>
        <v>0</v>
      </c>
      <c r="CF89" s="386">
        <f>SUMIFS(CF2:CF84,G2:G84,"GVLA",E2:E84,"0348",F2:F84,"00")</f>
        <v>-7419.623120000002</v>
      </c>
      <c r="CG89" s="386">
        <f>SUMIFS(CG2:CG84,G2:G84,"GVLA",E2:E84,"0348",F2:F84,"00")</f>
        <v>0</v>
      </c>
      <c r="CH89" s="386">
        <f>SUMIFS(CH2:CH84,G2:G84,"GVLA",E2:E84,"0348",F2:F84,"00")</f>
        <v>161.90199999999908</v>
      </c>
      <c r="CI89" s="386">
        <f>SUMIFS(CI2:CI84,G2:G84,"GVLA",E2:E84,"0348",F2:F84,"00")</f>
        <v>0</v>
      </c>
      <c r="CJ89" s="386">
        <f>SUMIFS(CJ2:CJ84,G2:G84,"GVLA",E2:E84,"0348",F2:F84,"00")</f>
        <v>-7257.7211200000002</v>
      </c>
      <c r="CK89" s="386">
        <f>SUMIFS(CK2:CK84,G2:G84,"GVLA",E2:E84,"0348",F2:F84,"00")</f>
        <v>0</v>
      </c>
      <c r="CL89" s="386">
        <f>SUMIFS(CL2:CL84,G2:G84,"GVLA",E2:E84,"0348",F2:F84,"00")</f>
        <v>200</v>
      </c>
      <c r="CM89" s="386">
        <f>SUMIFS(CM2:CM84,G2:G84,"GVLA",E2:E84,"0348",F2:F84,"00")</f>
        <v>27.29</v>
      </c>
    </row>
    <row r="90" spans="1:92" ht="18.75" x14ac:dyDescent="0.3">
      <c r="AQ90" s="392" t="s">
        <v>476</v>
      </c>
      <c r="AS90" s="393">
        <f t="shared" ref="AS90:CM90" si="116">SUM(AS89:AS89)</f>
        <v>29.5</v>
      </c>
      <c r="AT90" s="393">
        <f t="shared" si="116"/>
        <v>0</v>
      </c>
      <c r="AU90" s="393">
        <f t="shared" si="116"/>
        <v>30</v>
      </c>
      <c r="AV90" s="393">
        <f t="shared" si="116"/>
        <v>0</v>
      </c>
      <c r="AW90" s="393">
        <f t="shared" si="116"/>
        <v>78</v>
      </c>
      <c r="AX90" s="393">
        <f t="shared" si="116"/>
        <v>1642243.2</v>
      </c>
      <c r="AY90" s="393">
        <f t="shared" si="116"/>
        <v>1619020</v>
      </c>
      <c r="AZ90" s="393">
        <f t="shared" si="116"/>
        <v>0</v>
      </c>
      <c r="BA90" s="393">
        <f t="shared" si="116"/>
        <v>0</v>
      </c>
      <c r="BB90" s="393">
        <f t="shared" si="116"/>
        <v>343675</v>
      </c>
      <c r="BC90" s="393">
        <f t="shared" si="116"/>
        <v>0</v>
      </c>
      <c r="BD90" s="393">
        <f t="shared" si="116"/>
        <v>100379.23999999999</v>
      </c>
      <c r="BE90" s="393">
        <f t="shared" si="116"/>
        <v>23475.789999999997</v>
      </c>
      <c r="BF90" s="393">
        <f t="shared" si="116"/>
        <v>193310.98800000001</v>
      </c>
      <c r="BG90" s="393">
        <f t="shared" si="116"/>
        <v>11673.1342</v>
      </c>
      <c r="BH90" s="393">
        <f t="shared" si="116"/>
        <v>7419.623120000002</v>
      </c>
      <c r="BI90" s="393">
        <f t="shared" si="116"/>
        <v>8381.145708</v>
      </c>
      <c r="BJ90" s="393">
        <f t="shared" si="116"/>
        <v>7123.688000000001</v>
      </c>
      <c r="BK90" s="393">
        <f t="shared" si="116"/>
        <v>0</v>
      </c>
      <c r="BL90" s="393">
        <f t="shared" si="116"/>
        <v>351763.60902800004</v>
      </c>
      <c r="BM90" s="393">
        <f t="shared" si="116"/>
        <v>0</v>
      </c>
      <c r="BN90" s="393">
        <f t="shared" si="116"/>
        <v>343675</v>
      </c>
      <c r="BO90" s="393">
        <f t="shared" si="116"/>
        <v>0</v>
      </c>
      <c r="BP90" s="393">
        <f t="shared" si="116"/>
        <v>100379.23999999999</v>
      </c>
      <c r="BQ90" s="393">
        <f t="shared" si="116"/>
        <v>23475.789999999997</v>
      </c>
      <c r="BR90" s="393">
        <f t="shared" si="116"/>
        <v>193310.98800000001</v>
      </c>
      <c r="BS90" s="393">
        <f t="shared" si="116"/>
        <v>11673.1342</v>
      </c>
      <c r="BT90" s="393">
        <f t="shared" si="116"/>
        <v>0</v>
      </c>
      <c r="BU90" s="393">
        <f t="shared" si="116"/>
        <v>8381.145708</v>
      </c>
      <c r="BV90" s="393">
        <f t="shared" si="116"/>
        <v>7285.5899999999983</v>
      </c>
      <c r="BW90" s="393">
        <f t="shared" si="116"/>
        <v>0</v>
      </c>
      <c r="BX90" s="393">
        <f t="shared" si="116"/>
        <v>344505.88790800009</v>
      </c>
      <c r="BY90" s="393">
        <f t="shared" si="116"/>
        <v>0</v>
      </c>
      <c r="BZ90" s="393">
        <f t="shared" si="116"/>
        <v>0</v>
      </c>
      <c r="CA90" s="393">
        <f t="shared" si="116"/>
        <v>0</v>
      </c>
      <c r="CB90" s="393">
        <f t="shared" si="116"/>
        <v>0</v>
      </c>
      <c r="CC90" s="393">
        <f t="shared" si="116"/>
        <v>0</v>
      </c>
      <c r="CD90" s="393">
        <f t="shared" si="116"/>
        <v>0</v>
      </c>
      <c r="CE90" s="393">
        <f t="shared" si="116"/>
        <v>0</v>
      </c>
      <c r="CF90" s="393">
        <f t="shared" si="116"/>
        <v>-7419.623120000002</v>
      </c>
      <c r="CG90" s="393">
        <f t="shared" si="116"/>
        <v>0</v>
      </c>
      <c r="CH90" s="393">
        <f t="shared" si="116"/>
        <v>161.90199999999908</v>
      </c>
      <c r="CI90" s="393">
        <f t="shared" si="116"/>
        <v>0</v>
      </c>
      <c r="CJ90" s="393">
        <f t="shared" si="116"/>
        <v>-7257.7211200000002</v>
      </c>
      <c r="CK90" s="393">
        <f t="shared" si="116"/>
        <v>0</v>
      </c>
      <c r="CL90" s="393">
        <f t="shared" si="116"/>
        <v>200</v>
      </c>
      <c r="CM90" s="393">
        <f t="shared" si="116"/>
        <v>27.29</v>
      </c>
    </row>
    <row r="91" spans="1:92" ht="15.75" thickBot="1" x14ac:dyDescent="0.3">
      <c r="AR91" t="s">
        <v>481</v>
      </c>
      <c r="AS91" s="386">
        <f>SUMIFS(AS2:AS84,G2:G84,"GVLA",E2:E84,"0426",F2:F84,"00",AT2:AT84,1)</f>
        <v>0.35249999999999998</v>
      </c>
      <c r="AT91" s="386">
        <f>SUMIFS(AS2:AS84,G2:G84,"GVLA",E2:E84,"0426",F2:F84,"00",AT2:AT84,3)</f>
        <v>0</v>
      </c>
      <c r="AU91" s="386">
        <f>SUMIFS(AU2:AU84,G2:G84,"GVLA",E2:E84,"0426",F2:F84,"00")</f>
        <v>0.75</v>
      </c>
      <c r="AV91" s="386">
        <f>SUMIFS(AV2:AV84,G2:G84,"GVLA",E2:E84,"0426",F2:F84,"00")</f>
        <v>0</v>
      </c>
      <c r="AW91" s="386">
        <f>SUMIFS(AW2:AW84,G2:G84,"GVLA",E2:E84,"0426",F2:F84,"00")</f>
        <v>2</v>
      </c>
      <c r="AX91" s="386">
        <f>SUMIFS(AX2:AX84,G2:G84,"GVLA",E2:E84,"0426",F2:F84,"00")</f>
        <v>28470</v>
      </c>
      <c r="AY91" s="386">
        <f>SUMIFS(AY2:AY84,G2:G84,"GVLA",E2:E84,"0426",F2:F84,"00")</f>
        <v>13380.9</v>
      </c>
      <c r="AZ91" s="386">
        <f>SUMIFS(AZ2:AZ84,G2:G84,"GVLA",E2:E84,"0426",F2:F84,"00")</f>
        <v>0</v>
      </c>
      <c r="BA91" s="386">
        <f>SUMIFS(BA2:BA84,G2:G84,"GVLA",E2:E84,"0426",F2:F84,"00")</f>
        <v>0</v>
      </c>
      <c r="BB91" s="386">
        <f>SUMIFS(BB2:BB84,G2:G84,"GVLA",E2:E84,"0426",F2:F84,"00")</f>
        <v>5475.5</v>
      </c>
      <c r="BC91" s="386">
        <f>SUMIFS(BC2:BC84,G2:G84,"GVLA",E2:E84,"0426",F2:F84,"00")</f>
        <v>0</v>
      </c>
      <c r="BD91" s="386">
        <f>SUMIFS(BD2:BD84,G2:G84,"GVLA",E2:E84,"0426",F2:F84,"00")</f>
        <v>829.61579999999992</v>
      </c>
      <c r="BE91" s="386">
        <f>SUMIFS(BE2:BE84,G2:G84,"GVLA",E2:E84,"0426",F2:F84,"00")</f>
        <v>194.02305000000001</v>
      </c>
      <c r="BF91" s="386">
        <f>SUMIFS(BF2:BF84,G2:G84,"GVLA",E2:E84,"0426",F2:F84,"00")</f>
        <v>1597.6794600000001</v>
      </c>
      <c r="BG91" s="386">
        <f>SUMIFS(BG2:BG84,G2:G84,"GVLA",E2:E84,"0426",F2:F84,"00")</f>
        <v>96.476288999999994</v>
      </c>
      <c r="BH91" s="386">
        <f>SUMIFS(BH2:BH84,G2:G84,"GVLA",E2:E84,"0426",F2:F84,"00")</f>
        <v>65.566409999999991</v>
      </c>
      <c r="BI91" s="386">
        <f>SUMIFS(BI2:BI84,G2:G84,"GVLA",E2:E84,"0426",F2:F84,"00")</f>
        <v>74.063281500000002</v>
      </c>
      <c r="BJ91" s="386">
        <f>SUMIFS(BJ2:BJ84,G2:G84,"GVLA",E2:E84,"0426",F2:F84,"00")</f>
        <v>58.875959999999999</v>
      </c>
      <c r="BK91" s="386">
        <f>SUMIFS(BK2:BK84,G2:G84,"GVLA",E2:E84,"0426",F2:F84,"00")</f>
        <v>0</v>
      </c>
      <c r="BL91" s="386">
        <f>SUMIFS(BL2:BL84,G2:G84,"GVLA",E2:E84,"0426",F2:F84,"00")</f>
        <v>2916.3002504999999</v>
      </c>
      <c r="BM91" s="386">
        <f>SUMIFS(BM2:BM84,G2:G84,"GVLA",E2:E84,"0426",F2:F84,"00")</f>
        <v>0</v>
      </c>
      <c r="BN91" s="386">
        <f>SUMIFS(BN2:BN84,G2:G84,"GVLA",E2:E84,"0426",F2:F84,"00")</f>
        <v>5475.5</v>
      </c>
      <c r="BO91" s="386">
        <f>SUMIFS(BO2:BO84,G2:G84,"GVLA",E2:E84,"0426",F2:F84,"00")</f>
        <v>0</v>
      </c>
      <c r="BP91" s="386">
        <f>SUMIFS(BP2:BP84,G2:G84,"GVLA",E2:E84,"0426",F2:F84,"00")</f>
        <v>829.61579999999992</v>
      </c>
      <c r="BQ91" s="386">
        <f>SUMIFS(BQ2:BQ84,G2:G84,"GVLA",E2:E84,"0426",F2:F84,"00")</f>
        <v>194.02305000000001</v>
      </c>
      <c r="BR91" s="386">
        <f>SUMIFS(BR2:BR84,G2:G84,"GVLA",E2:E84,"0426",F2:F84,"00")</f>
        <v>1597.6794600000001</v>
      </c>
      <c r="BS91" s="386">
        <f>SUMIFS(BS2:BS84,G2:G84,"GVLA",E2:E84,"0426",F2:F84,"00")</f>
        <v>96.476288999999994</v>
      </c>
      <c r="BT91" s="386">
        <f>SUMIFS(BT2:BT84,G2:G84,"GVLA",E2:E84,"0426",F2:F84,"00")</f>
        <v>0</v>
      </c>
      <c r="BU91" s="386">
        <f>SUMIFS(BU2:BU84,G2:G84,"GVLA",E2:E84,"0426",F2:F84,"00")</f>
        <v>74.063281500000002</v>
      </c>
      <c r="BV91" s="386">
        <f>SUMIFS(BV2:BV84,G2:G84,"GVLA",E2:E84,"0426",F2:F84,"00")</f>
        <v>60.214049999999993</v>
      </c>
      <c r="BW91" s="386">
        <f>SUMIFS(BW2:BW84,G2:G84,"GVLA",E2:E84,"0426",F2:F84,"00")</f>
        <v>0</v>
      </c>
      <c r="BX91" s="386">
        <f>SUMIFS(BX2:BX84,G2:G84,"GVLA",E2:E84,"0426",F2:F84,"00")</f>
        <v>2852.0719305000002</v>
      </c>
      <c r="BY91" s="386">
        <f>SUMIFS(BY2:BY84,G2:G84,"GVLA",E2:E84,"0426",F2:F84,"00")</f>
        <v>0</v>
      </c>
      <c r="BZ91" s="386">
        <f>SUMIFS(BZ2:BZ84,G2:G84,"GVLA",E2:E84,"0426",F2:F84,"00")</f>
        <v>0</v>
      </c>
      <c r="CA91" s="386">
        <f>SUMIFS(CA2:CA84,G2:G84,"GVLA",E2:E84,"0426",F2:F84,"00")</f>
        <v>0</v>
      </c>
      <c r="CB91" s="386">
        <f>SUMIFS(CB2:CB84,G2:G84,"GVLA",E2:E84,"0426",F2:F84,"00")</f>
        <v>0</v>
      </c>
      <c r="CC91" s="386">
        <f>SUMIFS(CC2:CC84,G2:G84,"GVLA",E2:E84,"0426",F2:F84,"00")</f>
        <v>0</v>
      </c>
      <c r="CD91" s="386">
        <f>SUMIFS(CD2:CD84,G2:G84,"GVLA",E2:E84,"0426",F2:F84,"00")</f>
        <v>0</v>
      </c>
      <c r="CE91" s="386">
        <f>SUMIFS(CE2:CE84,G2:G84,"GVLA",E2:E84,"0426",F2:F84,"00")</f>
        <v>0</v>
      </c>
      <c r="CF91" s="386">
        <f>SUMIFS(CF2:CF84,G2:G84,"GVLA",E2:E84,"0426",F2:F84,"00")</f>
        <v>-65.566409999999991</v>
      </c>
      <c r="CG91" s="386">
        <f>SUMIFS(CG2:CG84,G2:G84,"GVLA",E2:E84,"0426",F2:F84,"00")</f>
        <v>0</v>
      </c>
      <c r="CH91" s="386">
        <f>SUMIFS(CH2:CH84,G2:G84,"GVLA",E2:E84,"0426",F2:F84,"00")</f>
        <v>1.3380899999999918</v>
      </c>
      <c r="CI91" s="386">
        <f>SUMIFS(CI2:CI84,G2:G84,"GVLA",E2:E84,"0426",F2:F84,"00")</f>
        <v>0</v>
      </c>
      <c r="CJ91" s="386">
        <f>SUMIFS(CJ2:CJ84,G2:G84,"GVLA",E2:E84,"0426",F2:F84,"00")</f>
        <v>-64.228319999999997</v>
      </c>
      <c r="CK91" s="386">
        <f>SUMIFS(CK2:CK84,G2:G84,"GVLA",E2:E84,"0426",F2:F84,"00")</f>
        <v>0</v>
      </c>
      <c r="CL91" s="386">
        <f>SUMIFS(CL2:CL84,G2:G84,"GVLA",E2:E84,"0426",F2:F84,"00")</f>
        <v>0</v>
      </c>
      <c r="CM91" s="386">
        <f>SUMIFS(CM2:CM84,G2:G84,"GVLA",E2:E84,"0426",F2:F84,"00")</f>
        <v>0</v>
      </c>
    </row>
    <row r="92" spans="1:92" ht="18.75" x14ac:dyDescent="0.3">
      <c r="AQ92" s="392" t="s">
        <v>482</v>
      </c>
      <c r="AS92" s="393">
        <f t="shared" ref="AS92:CM92" si="117">SUM(AS91:AS91)</f>
        <v>0.35249999999999998</v>
      </c>
      <c r="AT92" s="393">
        <f t="shared" si="117"/>
        <v>0</v>
      </c>
      <c r="AU92" s="393">
        <f t="shared" si="117"/>
        <v>0.75</v>
      </c>
      <c r="AV92" s="393">
        <f t="shared" si="117"/>
        <v>0</v>
      </c>
      <c r="AW92" s="393">
        <f t="shared" si="117"/>
        <v>2</v>
      </c>
      <c r="AX92" s="393">
        <f t="shared" si="117"/>
        <v>28470</v>
      </c>
      <c r="AY92" s="393">
        <f t="shared" si="117"/>
        <v>13380.9</v>
      </c>
      <c r="AZ92" s="393">
        <f t="shared" si="117"/>
        <v>0</v>
      </c>
      <c r="BA92" s="393">
        <f t="shared" si="117"/>
        <v>0</v>
      </c>
      <c r="BB92" s="393">
        <f t="shared" si="117"/>
        <v>5475.5</v>
      </c>
      <c r="BC92" s="393">
        <f t="shared" si="117"/>
        <v>0</v>
      </c>
      <c r="BD92" s="393">
        <f t="shared" si="117"/>
        <v>829.61579999999992</v>
      </c>
      <c r="BE92" s="393">
        <f t="shared" si="117"/>
        <v>194.02305000000001</v>
      </c>
      <c r="BF92" s="393">
        <f t="shared" si="117"/>
        <v>1597.6794600000001</v>
      </c>
      <c r="BG92" s="393">
        <f t="shared" si="117"/>
        <v>96.476288999999994</v>
      </c>
      <c r="BH92" s="393">
        <f t="shared" si="117"/>
        <v>65.566409999999991</v>
      </c>
      <c r="BI92" s="393">
        <f t="shared" si="117"/>
        <v>74.063281500000002</v>
      </c>
      <c r="BJ92" s="393">
        <f t="shared" si="117"/>
        <v>58.875959999999999</v>
      </c>
      <c r="BK92" s="393">
        <f t="shared" si="117"/>
        <v>0</v>
      </c>
      <c r="BL92" s="393">
        <f t="shared" si="117"/>
        <v>2916.3002504999999</v>
      </c>
      <c r="BM92" s="393">
        <f t="shared" si="117"/>
        <v>0</v>
      </c>
      <c r="BN92" s="393">
        <f t="shared" si="117"/>
        <v>5475.5</v>
      </c>
      <c r="BO92" s="393">
        <f t="shared" si="117"/>
        <v>0</v>
      </c>
      <c r="BP92" s="393">
        <f t="shared" si="117"/>
        <v>829.61579999999992</v>
      </c>
      <c r="BQ92" s="393">
        <f t="shared" si="117"/>
        <v>194.02305000000001</v>
      </c>
      <c r="BR92" s="393">
        <f t="shared" si="117"/>
        <v>1597.6794600000001</v>
      </c>
      <c r="BS92" s="393">
        <f t="shared" si="117"/>
        <v>96.476288999999994</v>
      </c>
      <c r="BT92" s="393">
        <f t="shared" si="117"/>
        <v>0</v>
      </c>
      <c r="BU92" s="393">
        <f t="shared" si="117"/>
        <v>74.063281500000002</v>
      </c>
      <c r="BV92" s="393">
        <f t="shared" si="117"/>
        <v>60.214049999999993</v>
      </c>
      <c r="BW92" s="393">
        <f t="shared" si="117"/>
        <v>0</v>
      </c>
      <c r="BX92" s="393">
        <f t="shared" si="117"/>
        <v>2852.0719305000002</v>
      </c>
      <c r="BY92" s="393">
        <f t="shared" si="117"/>
        <v>0</v>
      </c>
      <c r="BZ92" s="393">
        <f t="shared" si="117"/>
        <v>0</v>
      </c>
      <c r="CA92" s="393">
        <f t="shared" si="117"/>
        <v>0</v>
      </c>
      <c r="CB92" s="393">
        <f t="shared" si="117"/>
        <v>0</v>
      </c>
      <c r="CC92" s="393">
        <f t="shared" si="117"/>
        <v>0</v>
      </c>
      <c r="CD92" s="393">
        <f t="shared" si="117"/>
        <v>0</v>
      </c>
      <c r="CE92" s="393">
        <f t="shared" si="117"/>
        <v>0</v>
      </c>
      <c r="CF92" s="393">
        <f t="shared" si="117"/>
        <v>-65.566409999999991</v>
      </c>
      <c r="CG92" s="393">
        <f t="shared" si="117"/>
        <v>0</v>
      </c>
      <c r="CH92" s="393">
        <f t="shared" si="117"/>
        <v>1.3380899999999918</v>
      </c>
      <c r="CI92" s="393">
        <f t="shared" si="117"/>
        <v>0</v>
      </c>
      <c r="CJ92" s="393">
        <f t="shared" si="117"/>
        <v>-64.228319999999997</v>
      </c>
      <c r="CK92" s="393">
        <f t="shared" si="117"/>
        <v>0</v>
      </c>
      <c r="CL92" s="393">
        <f t="shared" si="117"/>
        <v>0</v>
      </c>
      <c r="CM92" s="393">
        <f t="shared" si="117"/>
        <v>0</v>
      </c>
    </row>
    <row r="93" spans="1:92" x14ac:dyDescent="0.25">
      <c r="BB93" s="386"/>
      <c r="BC93" s="386"/>
      <c r="BD93" s="386"/>
      <c r="BE93" s="386"/>
      <c r="BF93" s="386"/>
      <c r="BG93" s="386"/>
      <c r="BH93" s="386"/>
      <c r="BI93" s="386"/>
      <c r="BJ93" s="386"/>
      <c r="BK93" s="386"/>
      <c r="BL93" s="386"/>
      <c r="BM93" s="386"/>
      <c r="BN93" s="386"/>
      <c r="BO93" s="386"/>
      <c r="BP93" s="386"/>
      <c r="BQ93" s="386"/>
      <c r="BR93" s="386"/>
      <c r="BS93" s="386"/>
      <c r="BT93" s="386"/>
      <c r="BU93" s="386"/>
      <c r="BV93" s="386"/>
      <c r="BW93" s="386"/>
      <c r="BX93" s="386"/>
      <c r="BY93" s="386"/>
      <c r="BZ93" s="386"/>
      <c r="CA93" s="386"/>
      <c r="CB93" s="386"/>
      <c r="CC93" s="386"/>
      <c r="CD93" s="386"/>
      <c r="CE93" s="386"/>
      <c r="CF93" s="386"/>
      <c r="CG93" s="386"/>
      <c r="CH93" s="386"/>
      <c r="CI93" s="386"/>
      <c r="CJ93" s="386"/>
      <c r="CK93" s="386"/>
      <c r="CL93" s="386"/>
      <c r="CM93" s="386"/>
    </row>
    <row r="94" spans="1:92" ht="21" x14ac:dyDescent="0.35">
      <c r="AO94" s="251" t="s">
        <v>97</v>
      </c>
      <c r="AP94" s="251"/>
      <c r="AQ94" s="251"/>
    </row>
    <row r="96" spans="1:92" ht="21" x14ac:dyDescent="0.35">
      <c r="AO96" s="252"/>
      <c r="AP96" s="252"/>
      <c r="AQ96" s="252"/>
    </row>
    <row r="97" spans="41:53" ht="15.75" x14ac:dyDescent="0.25">
      <c r="AS97" s="373" t="s">
        <v>83</v>
      </c>
      <c r="AT97" s="474" t="s">
        <v>490</v>
      </c>
      <c r="AU97" s="474"/>
      <c r="AV97" s="475" t="s">
        <v>488</v>
      </c>
      <c r="AW97" s="474" t="s">
        <v>491</v>
      </c>
      <c r="AX97" s="474"/>
      <c r="AY97" s="475" t="s">
        <v>489</v>
      </c>
      <c r="AZ97" s="474" t="s">
        <v>492</v>
      </c>
      <c r="BA97" s="474"/>
    </row>
    <row r="98" spans="41:53" ht="15.75" x14ac:dyDescent="0.25">
      <c r="AS98" s="249"/>
      <c r="AT98" s="373" t="s">
        <v>94</v>
      </c>
      <c r="AU98" s="372" t="s">
        <v>96</v>
      </c>
      <c r="AV98" s="476"/>
      <c r="AW98" s="373" t="s">
        <v>98</v>
      </c>
      <c r="AX98" s="372" t="s">
        <v>95</v>
      </c>
      <c r="AY98" s="476"/>
      <c r="AZ98" s="373" t="s">
        <v>98</v>
      </c>
      <c r="BA98" s="372" t="s">
        <v>95</v>
      </c>
    </row>
    <row r="99" spans="41:53" x14ac:dyDescent="0.25">
      <c r="AO99" s="391" t="s">
        <v>493</v>
      </c>
    </row>
    <row r="100" spans="41:53" x14ac:dyDescent="0.25">
      <c r="AQ100" t="s">
        <v>472</v>
      </c>
      <c r="AS100" s="386">
        <f>SUM(SUMIFS(AS2:AS84,CN2:CN84,AQ100,E2:E84,"0001",F2:F84,"00",AT2:AT84,{1,3}))</f>
        <v>10.897500000000001</v>
      </c>
      <c r="AT100" s="386">
        <f>SUMPRODUCT(--(CN2:CN84=AQ100),--(N2:N84&lt;&gt;"NG"),--(AG2:AG84&lt;&gt;"D"),--(AR2:AR84&lt;&gt;6),--(AR2:AR84&lt;&gt;36),--(AR2:AR84&lt;&gt;56),T2:T84)+SUMPRODUCT(--(CN2:CN84=AQ100),--(N2:N84&lt;&gt;"NG"),--(AG2:AG84&lt;&gt;"D"),--(AR2:AR84&lt;&gt;6),--(AR2:AR84&lt;&gt;36),--(AR2:AR84&lt;&gt;56),U2:U84)</f>
        <v>560597.77</v>
      </c>
      <c r="AU100" s="386">
        <f>SUMPRODUCT(--(CN2:CN84=AQ100),--(N2:N84&lt;&gt;"NG"),--(AG2:AG84&lt;&gt;"D"),--(AR2:AR84&lt;&gt;6),--(AR2:AR84&lt;&gt;36),--(AR2:AR84&lt;&gt;56),V2:V84)</f>
        <v>229344.90000000002</v>
      </c>
      <c r="AV100" s="386">
        <f>SUMPRODUCT(--(CN2:CN84=AQ100),AY2:AY84)+SUMPRODUCT(--(CN2:CN84=AQ100),AZ2:AZ84)</f>
        <v>507622.69999999995</v>
      </c>
      <c r="AW100" s="386">
        <f>SUMPRODUCT(--(CN2:CN84=AQ100),BB2:BB84)+SUMPRODUCT(--(CN2:CN84=AQ100),BC2:BC84)</f>
        <v>128499.5</v>
      </c>
      <c r="AX100" s="386">
        <f>SUMPRODUCT(--(CN2:CN84=AQ100),BL2:BL84)+SUMPRODUCT(--(CN2:CN84=AQ100),BM2:BM84)</f>
        <v>110633.8293515</v>
      </c>
      <c r="AY100" s="386">
        <f>SUMPRODUCT(--(CN2:CN84=AQ100),AY2:AY84)+SUMPRODUCT(--(CN2:CN84=AQ100),AZ2:AZ84)+SUMPRODUCT(--(CN2:CN84=AQ100),BA2:BA84)</f>
        <v>507622.69999999995</v>
      </c>
      <c r="AZ100" s="386">
        <f>SUMPRODUCT(--(CN2:CN84=AQ100),BN2:BN84)+SUMPRODUCT(--(CN2:CN84=AQ100),BO2:BO84)</f>
        <v>128499.5</v>
      </c>
      <c r="BA100" s="386">
        <f>SUMPRODUCT(--(CN2:CN84=AQ100),BX2:BX84)+SUMPRODUCT(--(CN2:CN84=AQ100),BY2:BY84)</f>
        <v>108197.2403915</v>
      </c>
    </row>
    <row r="101" spans="41:53" x14ac:dyDescent="0.25">
      <c r="AP101" t="s">
        <v>494</v>
      </c>
      <c r="AS101" s="397">
        <f t="shared" ref="AS101:BA101" si="118">SUM(AS100:AS100)</f>
        <v>10.897500000000001</v>
      </c>
      <c r="AT101" s="397">
        <f t="shared" si="118"/>
        <v>560597.77</v>
      </c>
      <c r="AU101" s="397">
        <f t="shared" si="118"/>
        <v>229344.90000000002</v>
      </c>
      <c r="AV101" s="397">
        <f t="shared" si="118"/>
        <v>507622.69999999995</v>
      </c>
      <c r="AW101" s="397">
        <f t="shared" si="118"/>
        <v>128499.5</v>
      </c>
      <c r="AX101" s="397">
        <f t="shared" si="118"/>
        <v>110633.8293515</v>
      </c>
      <c r="AY101" s="397">
        <f t="shared" si="118"/>
        <v>507622.69999999995</v>
      </c>
      <c r="AZ101" s="397">
        <f t="shared" si="118"/>
        <v>128499.5</v>
      </c>
      <c r="BA101" s="397">
        <f t="shared" si="118"/>
        <v>108197.2403915</v>
      </c>
    </row>
    <row r="102" spans="41:53" x14ac:dyDescent="0.25">
      <c r="AQ102" t="s">
        <v>478</v>
      </c>
      <c r="AS102" s="386">
        <f>SUM(SUMIFS(AS2:AS84,CN2:CN84,AQ102,E2:E84,"0348",F2:F84,"00",AT2:AT84,{1,3}))</f>
        <v>29.5</v>
      </c>
      <c r="AT102" s="386">
        <f>SUMPRODUCT(--(CN2:CN84=AQ102),--(N2:N84&lt;&gt;"NG"),--(AG2:AG84&lt;&gt;"D"),--(AR2:AR84&lt;&gt;6),--(AR2:AR84&lt;&gt;36),--(AR2:AR84&lt;&gt;56),T2:T84)+SUMPRODUCT(--(CN2:CN84=AQ102),--(N2:N84&lt;&gt;"NG"),--(AG2:AG84&lt;&gt;"D"),--(AR2:AR84&lt;&gt;6),--(AR2:AR84&lt;&gt;36),--(AR2:AR84&lt;&gt;56),U2:U84)</f>
        <v>1487878.8699999999</v>
      </c>
      <c r="AU102" s="386">
        <f>SUMPRODUCT(--(CN2:CN84=AQ102),--(N2:N84&lt;&gt;"NG"),--(AG2:AG84&lt;&gt;"D"),--(AR2:AR84&lt;&gt;6),--(AR2:AR84&lt;&gt;36),--(AR2:AR84&lt;&gt;56),V2:V84)</f>
        <v>669727.11999999988</v>
      </c>
      <c r="AV102" s="386">
        <f>SUMPRODUCT(--(CN2:CN84=AQ102),AY2:AY84)+SUMPRODUCT(--(CN2:CN84=AQ102),AZ2:AZ84)</f>
        <v>1619020</v>
      </c>
      <c r="AW102" s="386">
        <f>SUMPRODUCT(--(CN2:CN84=AQ102),BB2:BB84)+SUMPRODUCT(--(CN2:CN84=AQ102),BC2:BC84)</f>
        <v>343675</v>
      </c>
      <c r="AX102" s="386">
        <f>SUMPRODUCT(--(CN2:CN84=AQ102),BL2:BL84)+SUMPRODUCT(--(CN2:CN84=AQ102),BM2:BM84)</f>
        <v>351763.60902800004</v>
      </c>
      <c r="AY102" s="386">
        <f>SUMPRODUCT(--(CN2:CN84=AQ102),AY2:AY84)+SUMPRODUCT(--(CN2:CN84=AQ102),AZ2:AZ84)+SUMPRODUCT(--(CN2:CN84=AQ102),BA2:BA84)</f>
        <v>1619020</v>
      </c>
      <c r="AZ102" s="386">
        <f>SUMPRODUCT(--(CN2:CN84=AQ102),BN2:BN84)+SUMPRODUCT(--(CN2:CN84=AQ102),BO2:BO84)</f>
        <v>343675</v>
      </c>
      <c r="BA102" s="386">
        <f>SUMPRODUCT(--(CN2:CN84=AQ102),BX2:BX84)+SUMPRODUCT(--(CN2:CN84=AQ102),BY2:BY84)</f>
        <v>344505.88790800009</v>
      </c>
    </row>
    <row r="103" spans="41:53" x14ac:dyDescent="0.25">
      <c r="AP103" t="s">
        <v>495</v>
      </c>
      <c r="AS103" s="397">
        <f t="shared" ref="AS103:BA103" si="119">SUM(AS102:AS102)</f>
        <v>29.5</v>
      </c>
      <c r="AT103" s="397">
        <f t="shared" si="119"/>
        <v>1487878.8699999999</v>
      </c>
      <c r="AU103" s="397">
        <f t="shared" si="119"/>
        <v>669727.11999999988</v>
      </c>
      <c r="AV103" s="397">
        <f t="shared" si="119"/>
        <v>1619020</v>
      </c>
      <c r="AW103" s="397">
        <f t="shared" si="119"/>
        <v>343675</v>
      </c>
      <c r="AX103" s="397">
        <f t="shared" si="119"/>
        <v>351763.60902800004</v>
      </c>
      <c r="AY103" s="397">
        <f t="shared" si="119"/>
        <v>1619020</v>
      </c>
      <c r="AZ103" s="397">
        <f t="shared" si="119"/>
        <v>343675</v>
      </c>
      <c r="BA103" s="397">
        <f t="shared" si="119"/>
        <v>344505.88790800009</v>
      </c>
    </row>
    <row r="104" spans="41:53" x14ac:dyDescent="0.25">
      <c r="AQ104" t="s">
        <v>484</v>
      </c>
      <c r="AS104" s="386">
        <f>SUM(SUMIFS(AS2:AS84,CN2:CN84,AQ104,E2:E84,"0426",F2:F84,"00",AT2:AT84,{1,3}))</f>
        <v>0.35249999999999998</v>
      </c>
      <c r="AT104" s="386">
        <f>SUMPRODUCT(--(CN2:CN84=AQ104),--(N2:N84&lt;&gt;"NG"),--(AG2:AG84&lt;&gt;"D"),--(AR2:AR84&lt;&gt;6),--(AR2:AR84&lt;&gt;36),--(AR2:AR84&lt;&gt;56),T2:T84)+SUMPRODUCT(--(CN2:CN84=AQ104),--(N2:N84&lt;&gt;"NG"),--(AG2:AG84&lt;&gt;"D"),--(AR2:AR84&lt;&gt;6),--(AR2:AR84&lt;&gt;36),--(AR2:AR84&lt;&gt;56),U2:U84)</f>
        <v>12844.93</v>
      </c>
      <c r="AU104" s="386">
        <f>SUMPRODUCT(--(CN2:CN84=AQ104),--(N2:N84&lt;&gt;"NG"),--(AG2:AG84&lt;&gt;"D"),--(AR2:AR84&lt;&gt;6),--(AR2:AR84&lt;&gt;36),--(AR2:AR84&lt;&gt;56),V2:V84)</f>
        <v>8255.07</v>
      </c>
      <c r="AV104" s="386">
        <f>SUMPRODUCT(--(CN2:CN84=AQ104),AY2:AY84)+SUMPRODUCT(--(CN2:CN84=AQ104),AZ2:AZ84)</f>
        <v>13380.9</v>
      </c>
      <c r="AW104" s="386">
        <f>SUMPRODUCT(--(CN2:CN84=AQ104),BB2:BB84)+SUMPRODUCT(--(CN2:CN84=AQ104),BC2:BC84)</f>
        <v>5475.5</v>
      </c>
      <c r="AX104" s="386">
        <f>SUMPRODUCT(--(CN2:CN84=AQ104),BL2:BL84)+SUMPRODUCT(--(CN2:CN84=AQ104),BM2:BM84)</f>
        <v>2916.3002504999999</v>
      </c>
      <c r="AY104" s="386">
        <f>SUMPRODUCT(--(CN2:CN84=AQ104),AY2:AY84)+SUMPRODUCT(--(CN2:CN84=AQ104),AZ2:AZ84)+SUMPRODUCT(--(CN2:CN84=AQ104),BA2:BA84)</f>
        <v>13380.9</v>
      </c>
      <c r="AZ104" s="386">
        <f>SUMPRODUCT(--(CN2:CN84=AQ104),BN2:BN84)+SUMPRODUCT(--(CN2:CN84=AQ104),BO2:BO84)</f>
        <v>5475.5</v>
      </c>
      <c r="BA104" s="386">
        <f>SUMPRODUCT(--(CN2:CN84=AQ104),BX2:BX84)+SUMPRODUCT(--(CN2:CN84=AQ104),BY2:BY84)</f>
        <v>2852.0719305000002</v>
      </c>
    </row>
    <row r="105" spans="41:53" x14ac:dyDescent="0.25">
      <c r="AP105" t="s">
        <v>496</v>
      </c>
      <c r="AS105" s="397">
        <f t="shared" ref="AS105:BA105" si="120">SUM(AS104:AS104)</f>
        <v>0.35249999999999998</v>
      </c>
      <c r="AT105" s="397">
        <f t="shared" si="120"/>
        <v>12844.93</v>
      </c>
      <c r="AU105" s="397">
        <f t="shared" si="120"/>
        <v>8255.07</v>
      </c>
      <c r="AV105" s="397">
        <f t="shared" si="120"/>
        <v>13380.9</v>
      </c>
      <c r="AW105" s="397">
        <f t="shared" si="120"/>
        <v>5475.5</v>
      </c>
      <c r="AX105" s="397">
        <f t="shared" si="120"/>
        <v>2916.3002504999999</v>
      </c>
      <c r="AY105" s="397">
        <f t="shared" si="120"/>
        <v>13380.9</v>
      </c>
      <c r="AZ105" s="397">
        <f t="shared" si="120"/>
        <v>5475.5</v>
      </c>
      <c r="BA105" s="397">
        <f t="shared" si="120"/>
        <v>2852.0719305000002</v>
      </c>
    </row>
    <row r="106" spans="41:53" x14ac:dyDescent="0.25">
      <c r="AS106" s="386"/>
      <c r="AT106" s="386"/>
      <c r="AU106" s="386"/>
      <c r="AV106" s="386"/>
      <c r="AW106" s="386"/>
      <c r="AX106" s="386"/>
      <c r="AY106" s="386"/>
      <c r="AZ106" s="386"/>
      <c r="BA106" s="386"/>
    </row>
    <row r="107" spans="41:53" x14ac:dyDescent="0.25">
      <c r="AO107" s="395" t="s">
        <v>497</v>
      </c>
      <c r="AS107" s="398">
        <f t="shared" ref="AS107:BA107" si="121">SUM(AS101,AS103,AS105)</f>
        <v>40.75</v>
      </c>
      <c r="AT107" s="398">
        <f t="shared" si="121"/>
        <v>2061321.5699999998</v>
      </c>
      <c r="AU107" s="398">
        <f t="shared" si="121"/>
        <v>907327.08999999985</v>
      </c>
      <c r="AV107" s="398">
        <f t="shared" si="121"/>
        <v>2140023.6</v>
      </c>
      <c r="AW107" s="398">
        <f t="shared" si="121"/>
        <v>477650</v>
      </c>
      <c r="AX107" s="398">
        <f t="shared" si="121"/>
        <v>465313.73863000004</v>
      </c>
      <c r="AY107" s="398">
        <f t="shared" si="121"/>
        <v>2140023.6</v>
      </c>
      <c r="AZ107" s="398">
        <f t="shared" si="121"/>
        <v>477650</v>
      </c>
      <c r="BA107" s="398">
        <f t="shared" si="121"/>
        <v>455555.20023000007</v>
      </c>
    </row>
    <row r="108" spans="41:53" x14ac:dyDescent="0.25">
      <c r="AS108" s="386"/>
      <c r="AT108" s="386"/>
      <c r="AU108" s="386"/>
      <c r="AV108" s="386"/>
      <c r="AW108" s="386"/>
      <c r="AX108" s="386"/>
      <c r="AY108" s="386"/>
      <c r="AZ108" s="386"/>
      <c r="BA108" s="386"/>
    </row>
    <row r="109" spans="41:53" x14ac:dyDescent="0.25">
      <c r="AO109" s="391" t="s">
        <v>498</v>
      </c>
      <c r="AS109" s="386"/>
      <c r="AT109" s="386"/>
      <c r="AU109" s="386"/>
      <c r="AV109" s="386"/>
      <c r="AW109" s="386"/>
      <c r="AX109" s="386"/>
      <c r="AY109" s="386"/>
      <c r="AZ109" s="386"/>
      <c r="BA109" s="386"/>
    </row>
    <row r="110" spans="41:53" x14ac:dyDescent="0.25">
      <c r="AQ110" t="s">
        <v>472</v>
      </c>
      <c r="AS110" s="386"/>
      <c r="AT110" s="386">
        <f>SUMIF(CN2:CN84,AQ110,CL2:CL84)</f>
        <v>700</v>
      </c>
      <c r="AU110" s="386">
        <f>SUMIF(CN2:CN84,AQ110,CM2:CM84)</f>
        <v>101.46</v>
      </c>
      <c r="AV110" s="386">
        <f>SUMIF(CN2:CN84,AQ110,CL2:CL84)</f>
        <v>700</v>
      </c>
      <c r="AW110" s="386">
        <v>0</v>
      </c>
      <c r="AX110" s="386">
        <f>SUMIF(CN2:CN84,AQ110,CM2:CM84)</f>
        <v>101.46</v>
      </c>
      <c r="AY110" s="386">
        <f>SUMIF(CN2:CN84,AQ110,CL2:CL84)</f>
        <v>700</v>
      </c>
      <c r="AZ110" s="386">
        <v>0</v>
      </c>
      <c r="BA110" s="386">
        <f>SUMIF(CN2:CN84,AQ110,CM2:CM84)</f>
        <v>101.46</v>
      </c>
    </row>
    <row r="111" spans="41:53" x14ac:dyDescent="0.25">
      <c r="AP111" t="s">
        <v>494</v>
      </c>
      <c r="AS111" s="397"/>
      <c r="AT111" s="397">
        <f t="shared" ref="AT111:BA111" si="122">SUM(AT110:AT110)</f>
        <v>700</v>
      </c>
      <c r="AU111" s="397">
        <f t="shared" si="122"/>
        <v>101.46</v>
      </c>
      <c r="AV111" s="397">
        <f t="shared" si="122"/>
        <v>700</v>
      </c>
      <c r="AW111" s="397">
        <f t="shared" si="122"/>
        <v>0</v>
      </c>
      <c r="AX111" s="397">
        <f t="shared" si="122"/>
        <v>101.46</v>
      </c>
      <c r="AY111" s="397">
        <f t="shared" si="122"/>
        <v>700</v>
      </c>
      <c r="AZ111" s="397">
        <f t="shared" si="122"/>
        <v>0</v>
      </c>
      <c r="BA111" s="397">
        <f t="shared" si="122"/>
        <v>101.46</v>
      </c>
    </row>
    <row r="112" spans="41:53" x14ac:dyDescent="0.25">
      <c r="AQ112" t="s">
        <v>478</v>
      </c>
      <c r="AS112" s="386"/>
      <c r="AT112" s="386">
        <f>SUMIF(CN2:CN84,AQ112,CL2:CL84)</f>
        <v>200</v>
      </c>
      <c r="AU112" s="386">
        <f>SUMIF(CN2:CN84,AQ112,CM2:CM84)</f>
        <v>27.29</v>
      </c>
      <c r="AV112" s="386">
        <f>SUMIF(CN2:CN84,AQ112,CL2:CL84)</f>
        <v>200</v>
      </c>
      <c r="AW112" s="386">
        <v>0</v>
      </c>
      <c r="AX112" s="386">
        <f>SUMIF(CN2:CN84,AQ112,CM2:CM84)</f>
        <v>27.29</v>
      </c>
      <c r="AY112" s="386">
        <f>SUMIF(CN2:CN84,AQ112,CL2:CL84)</f>
        <v>200</v>
      </c>
      <c r="AZ112" s="386">
        <v>0</v>
      </c>
      <c r="BA112" s="386">
        <f>SUMIF(CN2:CN84,AQ112,CM2:CM84)</f>
        <v>27.29</v>
      </c>
    </row>
    <row r="113" spans="41:160" x14ac:dyDescent="0.25">
      <c r="AP113" t="s">
        <v>495</v>
      </c>
      <c r="AS113" s="397"/>
      <c r="AT113" s="397">
        <f t="shared" ref="AT113:BA113" si="123">SUM(AT112:AT112)</f>
        <v>200</v>
      </c>
      <c r="AU113" s="397">
        <f t="shared" si="123"/>
        <v>27.29</v>
      </c>
      <c r="AV113" s="397">
        <f t="shared" si="123"/>
        <v>200</v>
      </c>
      <c r="AW113" s="397">
        <f t="shared" si="123"/>
        <v>0</v>
      </c>
      <c r="AX113" s="397">
        <f t="shared" si="123"/>
        <v>27.29</v>
      </c>
      <c r="AY113" s="397">
        <f t="shared" si="123"/>
        <v>200</v>
      </c>
      <c r="AZ113" s="397">
        <f t="shared" si="123"/>
        <v>0</v>
      </c>
      <c r="BA113" s="397">
        <f t="shared" si="123"/>
        <v>27.29</v>
      </c>
    </row>
    <row r="114" spans="41:160" x14ac:dyDescent="0.25">
      <c r="AS114" s="386"/>
      <c r="AT114" s="386"/>
      <c r="AU114" s="386"/>
      <c r="AV114" s="386"/>
      <c r="AW114" s="386"/>
      <c r="AX114" s="386"/>
      <c r="AY114" s="386"/>
      <c r="AZ114" s="386"/>
      <c r="BA114" s="386"/>
    </row>
    <row r="115" spans="41:160" x14ac:dyDescent="0.25">
      <c r="AO115" s="395" t="s">
        <v>499</v>
      </c>
      <c r="AS115" s="398">
        <f t="shared" ref="AS115:BA115" si="124">SUM(AS111,AS113)</f>
        <v>0</v>
      </c>
      <c r="AT115" s="398">
        <f t="shared" si="124"/>
        <v>900</v>
      </c>
      <c r="AU115" s="398">
        <f t="shared" si="124"/>
        <v>128.75</v>
      </c>
      <c r="AV115" s="398">
        <f t="shared" si="124"/>
        <v>900</v>
      </c>
      <c r="AW115" s="398">
        <f t="shared" si="124"/>
        <v>0</v>
      </c>
      <c r="AX115" s="398">
        <f t="shared" si="124"/>
        <v>128.75</v>
      </c>
      <c r="AY115" s="398">
        <f t="shared" si="124"/>
        <v>900</v>
      </c>
      <c r="AZ115" s="398">
        <f t="shared" si="124"/>
        <v>0</v>
      </c>
      <c r="BA115" s="398">
        <f t="shared" si="124"/>
        <v>128.75</v>
      </c>
      <c r="EV115" s="391"/>
      <c r="FD115" s="391"/>
    </row>
    <row r="116" spans="41:160" x14ac:dyDescent="0.25">
      <c r="AS116" s="386"/>
      <c r="AT116" s="386"/>
      <c r="AU116" s="386"/>
      <c r="AV116" s="386"/>
      <c r="AW116" s="386"/>
      <c r="AX116" s="386"/>
      <c r="AY116" s="386"/>
      <c r="AZ116" s="386"/>
      <c r="BA116" s="386"/>
    </row>
    <row r="117" spans="41:160" x14ac:dyDescent="0.25">
      <c r="AO117" s="396" t="s">
        <v>500</v>
      </c>
      <c r="AS117" s="399">
        <f t="shared" ref="AS117:BA117" si="125">SUM(AS107,AS115)</f>
        <v>40.75</v>
      </c>
      <c r="AT117" s="400">
        <f t="shared" si="125"/>
        <v>2062221.5699999998</v>
      </c>
      <c r="AU117" s="400">
        <f t="shared" si="125"/>
        <v>907455.83999999985</v>
      </c>
      <c r="AV117" s="400">
        <f t="shared" si="125"/>
        <v>2140923.6</v>
      </c>
      <c r="AW117" s="400">
        <f t="shared" si="125"/>
        <v>477650</v>
      </c>
      <c r="AX117" s="400">
        <f t="shared" si="125"/>
        <v>465442.48863000004</v>
      </c>
      <c r="AY117" s="400">
        <f t="shared" si="125"/>
        <v>2140923.6</v>
      </c>
      <c r="AZ117" s="400">
        <f t="shared" si="125"/>
        <v>477650</v>
      </c>
      <c r="BA117" s="400">
        <f t="shared" si="125"/>
        <v>455683.95023000007</v>
      </c>
    </row>
  </sheetData>
  <mergeCells count="5">
    <mergeCell ref="AT97:AU97"/>
    <mergeCell ref="AV97:AV98"/>
    <mergeCell ref="AW97:AX97"/>
    <mergeCell ref="AY97:AY98"/>
    <mergeCell ref="AZ97:BA9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1" sqref="D1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7"/>
      <c r="B1" s="477"/>
      <c r="C1" s="477"/>
      <c r="D1" s="477"/>
      <c r="E1" s="477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4.4000000000000003E-3</v>
      </c>
      <c r="D8" s="234">
        <v>4.4999999999999997E-3</v>
      </c>
      <c r="E8" s="314">
        <f t="shared" si="0"/>
        <v>9.9999999999999395E-5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9.8544999999999994E-2</v>
      </c>
      <c r="D12" s="234">
        <f>SUM(D5:D11)</f>
        <v>9.3744999999999995E-2</v>
      </c>
      <c r="E12" s="315">
        <f>D12-C12</f>
        <v>-4.7999999999999987E-3</v>
      </c>
      <c r="M12" s="320"/>
    </row>
    <row r="13" spans="1:15" x14ac:dyDescent="0.3">
      <c r="A13" s="3"/>
      <c r="B13" s="231" t="s">
        <v>9</v>
      </c>
      <c r="C13" s="226">
        <f>SUM(C5:C8)</f>
        <v>8.5800000000000001E-2</v>
      </c>
      <c r="D13" s="226">
        <f>SUM(D5:D8)</f>
        <v>8.1000000000000003E-2</v>
      </c>
      <c r="E13" s="313">
        <f t="shared" si="0"/>
        <v>-4.7999999999999987E-3</v>
      </c>
      <c r="F13" s="8"/>
    </row>
    <row r="14" spans="1:15" x14ac:dyDescent="0.3">
      <c r="A14" s="230"/>
      <c r="B14" s="232" t="s">
        <v>102</v>
      </c>
      <c r="C14" s="226">
        <f>SUM(C5:C6,C8:C9)</f>
        <v>8.8109999999999994E-2</v>
      </c>
      <c r="D14" s="226">
        <f>SUM(D5:D6,D8:D9)</f>
        <v>8.8209999999999997E-2</v>
      </c>
      <c r="E14" s="313">
        <f>D14-C14</f>
        <v>1.0000000000000286E-4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8" t="s">
        <v>110</v>
      </c>
      <c r="B28" s="478"/>
      <c r="C28" s="478"/>
      <c r="D28" s="478"/>
      <c r="E28" s="478"/>
    </row>
    <row r="29" spans="1:11" x14ac:dyDescent="0.3">
      <c r="A29" s="478" t="s">
        <v>111</v>
      </c>
      <c r="B29" s="478"/>
      <c r="C29" s="478"/>
      <c r="D29" s="478"/>
      <c r="E29" s="478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7"/>
      <c r="N1" s="468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69"/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7"/>
      <c r="N3" s="468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/>
      <c r="J5" s="471"/>
      <c r="K5" s="471"/>
      <c r="L5" s="470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2" t="s">
        <v>22</v>
      </c>
      <c r="D8" s="473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7" priority="5">
      <formula>$J$44&lt;0</formula>
    </cfRule>
  </conditionalFormatting>
  <conditionalFormatting sqref="K43">
    <cfRule type="expression" dxfId="6" priority="4">
      <formula>$J$43&lt;0</formula>
    </cfRule>
  </conditionalFormatting>
  <conditionalFormatting sqref="L16">
    <cfRule type="expression" dxfId="5" priority="3">
      <formula>$J$16&lt;0</formula>
    </cfRule>
  </conditionalFormatting>
  <conditionalFormatting sqref="K45">
    <cfRule type="expression" dxfId="4" priority="2">
      <formula>$J$44&lt;0</formula>
    </cfRule>
  </conditionalFormatting>
  <conditionalFormatting sqref="K43:N45">
    <cfRule type="containsText" dxfId="3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32"/>
  <sheetViews>
    <sheetView topLeftCell="A16" workbookViewId="0">
      <selection activeCell="A24" sqref="A24:L32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4" t="s">
        <v>474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9" x14ac:dyDescent="0.25">
      <c r="A2" s="472" t="s">
        <v>22</v>
      </c>
      <c r="B2" s="473"/>
      <c r="C2" s="370" t="s">
        <v>23</v>
      </c>
      <c r="D2" s="49" t="s">
        <v>24</v>
      </c>
      <c r="E2" s="50" t="str">
        <f>"FY "&amp;'GVLA|0001-00'!FiscalYear-1&amp;" SALARY"</f>
        <v>FY 2022 SALARY</v>
      </c>
      <c r="F2" s="50" t="str">
        <f>"FY "&amp;'GVLA|0001-00'!FiscalYear-1&amp;" HEALTH BENEFITS"</f>
        <v>FY 2022 HEALTH BENEFITS</v>
      </c>
      <c r="G2" s="50" t="str">
        <f>"FY "&amp;'GVLA|0001-00'!FiscalYear-1&amp;" VAR BENEFITS"</f>
        <v>FY 2022 VAR BENEFITS</v>
      </c>
      <c r="H2" s="50" t="str">
        <f>"FY "&amp;'GVLA|0001-00'!FiscalYear-1&amp;" TOTAL"</f>
        <v>FY 2022 TOTAL</v>
      </c>
      <c r="I2" s="50" t="str">
        <f>"FY "&amp;'GVLA|0001-00'!FiscalYear&amp;" SALARY CHANGE"</f>
        <v>FY 2023 SALARY CHANGE</v>
      </c>
      <c r="J2" s="50" t="str">
        <f>"FY "&amp;'GVLA|0001-00'!FiscalYear&amp;" CHG HEALTH BENEFITS"</f>
        <v>FY 2023 CHG HEALTH BENEFITS</v>
      </c>
      <c r="K2" s="50" t="str">
        <f>"FY "&amp;'GVLA|0001-00'!FiscalYear&amp;" CHG VAR BENEFITS"</f>
        <v>FY 2023 CHG VAR BENEFITS</v>
      </c>
      <c r="L2" s="50" t="s">
        <v>25</v>
      </c>
    </row>
    <row r="3" spans="1:12" x14ac:dyDescent="0.25">
      <c r="A3" s="464" t="s">
        <v>26</v>
      </c>
      <c r="B3" s="46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3" t="s">
        <v>27</v>
      </c>
      <c r="B4" s="466"/>
      <c r="C4" s="217">
        <v>1</v>
      </c>
      <c r="D4" s="288">
        <f>[0]!GVLA000100col_INC_FTI</f>
        <v>10.897500000000001</v>
      </c>
      <c r="E4" s="218">
        <f>[0]!GVLA000100col_FTI_SALARY_PERM</f>
        <v>507622.69999999995</v>
      </c>
      <c r="F4" s="218">
        <f>[0]!GVLA000100col_HEALTH_PERM</f>
        <v>128499.5</v>
      </c>
      <c r="G4" s="218">
        <f>[0]!GVLA000100col_TOT_VB_PERM</f>
        <v>110633.8293515</v>
      </c>
      <c r="H4" s="219">
        <f>SUM(E4:G4)</f>
        <v>746756.02935149998</v>
      </c>
      <c r="I4" s="219">
        <f>[0]!GVLA000100col_1_27TH_PP</f>
        <v>0</v>
      </c>
      <c r="J4" s="218">
        <f>[0]!GVLA000100col_HEALTH_PERM_CHG</f>
        <v>0</v>
      </c>
      <c r="K4" s="218">
        <f>[0]!GVLA000100col_TOT_VB_PERM_CHG</f>
        <v>-2436.5889600000005</v>
      </c>
      <c r="L4" s="218">
        <f>SUM(J4:K4)</f>
        <v>-2436.5889600000005</v>
      </c>
    </row>
    <row r="5" spans="1:12" x14ac:dyDescent="0.25">
      <c r="A5" s="443" t="s">
        <v>28</v>
      </c>
      <c r="B5" s="466"/>
      <c r="C5" s="217">
        <v>2</v>
      </c>
      <c r="D5" s="288"/>
      <c r="E5" s="218">
        <f>[0]!GVLA000100col_Group_Salary</f>
        <v>700</v>
      </c>
      <c r="F5" s="218">
        <v>0</v>
      </c>
      <c r="G5" s="218">
        <f>[0]!GVLA000100col_Group_Ben</f>
        <v>101.46</v>
      </c>
      <c r="H5" s="219">
        <f>SUM(E5:G5)</f>
        <v>801.46</v>
      </c>
      <c r="I5" s="268"/>
      <c r="J5" s="218"/>
      <c r="K5" s="218"/>
      <c r="L5" s="218"/>
    </row>
    <row r="6" spans="1:12" x14ac:dyDescent="0.25">
      <c r="A6" s="443" t="s">
        <v>29</v>
      </c>
      <c r="B6" s="444"/>
      <c r="C6" s="217">
        <v>3</v>
      </c>
      <c r="D6" s="288">
        <f>[0]!GVLA000100col_TOTAL_ELECT_PCN_FTI</f>
        <v>0</v>
      </c>
      <c r="E6" s="218">
        <f>[0]!GVLA000100col_FTI_SALARY_ELECT</f>
        <v>0</v>
      </c>
      <c r="F6" s="218">
        <f>[0]!GVLA000100col_HEALTH_ELECT</f>
        <v>0</v>
      </c>
      <c r="G6" s="218">
        <f>[0]!GVLA000100col_TOT_VB_ELECT</f>
        <v>0</v>
      </c>
      <c r="H6" s="219">
        <f>SUM(E6:G6)</f>
        <v>0</v>
      </c>
      <c r="I6" s="268"/>
      <c r="J6" s="218">
        <f>[0]!GVLA000100col_HEALTH_ELECT_CHG</f>
        <v>0</v>
      </c>
      <c r="K6" s="218">
        <f>[0]!GVLA000100col_TOT_VB_ELECT_CHG</f>
        <v>0</v>
      </c>
      <c r="L6" s="219">
        <f>SUM(J6:K6)</f>
        <v>0</v>
      </c>
    </row>
    <row r="7" spans="1:12" x14ac:dyDescent="0.25">
      <c r="A7" s="443" t="s">
        <v>30</v>
      </c>
      <c r="B7" s="466"/>
      <c r="C7" s="217"/>
      <c r="D7" s="220">
        <f>SUM(D4:D6)</f>
        <v>10.897500000000001</v>
      </c>
      <c r="E7" s="221">
        <f>SUM(E4:E6)</f>
        <v>508322.69999999995</v>
      </c>
      <c r="F7" s="221">
        <f>SUM(F4:F6)</f>
        <v>128499.5</v>
      </c>
      <c r="G7" s="221">
        <f>SUM(G4:G6)</f>
        <v>110735.2893515</v>
      </c>
      <c r="H7" s="219">
        <f>SUM(E7:G7)</f>
        <v>747557.48935149994</v>
      </c>
      <c r="I7" s="268"/>
      <c r="J7" s="219">
        <f>SUM(J4:J6)</f>
        <v>0</v>
      </c>
      <c r="K7" s="219">
        <f>SUM(K4:K6)</f>
        <v>-2436.5889600000005</v>
      </c>
      <c r="L7" s="219">
        <f>SUM(L4:L6)</f>
        <v>-2436.5889600000005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"&amp;'GVLA|0001-00'!FiscalYear-1</f>
        <v>FY 2022</v>
      </c>
      <c r="B9" s="158" t="s">
        <v>31</v>
      </c>
      <c r="C9" s="355">
        <v>852800</v>
      </c>
      <c r="D9" s="55">
        <v>10</v>
      </c>
      <c r="E9" s="223">
        <f>IF('GVLA|0001-00'!OrigApprop=0,0,(E7/H7)*'GVLA|0001-00'!OrigApprop)</f>
        <v>579885.2994383825</v>
      </c>
      <c r="F9" s="223">
        <f>IF('GVLA|0001-00'!OrigApprop=0,0,(F7/H7)*'GVLA|0001-00'!OrigApprop)</f>
        <v>146589.89463815492</v>
      </c>
      <c r="G9" s="223">
        <f>IF(E9=0,0,(G7/H7)*'GVLA|0001-00'!OrigApprop)</f>
        <v>126324.80592346263</v>
      </c>
      <c r="H9" s="223">
        <f>SUM(E9:G9)</f>
        <v>852800</v>
      </c>
      <c r="I9" s="268"/>
      <c r="J9" s="224"/>
      <c r="K9" s="224"/>
      <c r="L9" s="224"/>
    </row>
    <row r="10" spans="1:12" x14ac:dyDescent="0.25">
      <c r="A10" s="453" t="s">
        <v>32</v>
      </c>
      <c r="B10" s="454"/>
      <c r="C10" s="160" t="s">
        <v>33</v>
      </c>
      <c r="D10" s="161">
        <f>D9-D7</f>
        <v>-0.89750000000000085</v>
      </c>
      <c r="E10" s="162">
        <f>E9-E7</f>
        <v>71562.599438382545</v>
      </c>
      <c r="F10" s="162">
        <f>F9-F7</f>
        <v>18090.394638154918</v>
      </c>
      <c r="G10" s="162">
        <f>G9-G7</f>
        <v>15589.516571962624</v>
      </c>
      <c r="H10" s="162">
        <f>H9-H7</f>
        <v>105242.51064850006</v>
      </c>
      <c r="I10" s="269"/>
      <c r="J10" s="56" t="str">
        <f>IF('GVLA|0001-00'!OrigApprop=0,"ERROR! Enter Original Appropriation amount in DU 3.00!","Calculated "&amp;IF('GVLA|0001-00'!AdjustedTotal&gt;0,"overfunding ","underfunding ")&amp;"is "&amp;TEXT('GVLA|0001-00'!AdjustedTotal/'GVLA|0001-00'!AppropTotal,"#.0%;(#.0% );0% ;")&amp;" of Original Appropriation")</f>
        <v>Calculated overfunding is 12.3% of Original Appropriation</v>
      </c>
      <c r="K10" s="163"/>
      <c r="L10" s="164"/>
    </row>
    <row r="12" spans="1:12" x14ac:dyDescent="0.25">
      <c r="A12" s="394" t="s">
        <v>480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</row>
    <row r="13" spans="1:12" ht="39" x14ac:dyDescent="0.25">
      <c r="A13" s="472" t="s">
        <v>22</v>
      </c>
      <c r="B13" s="473"/>
      <c r="C13" s="370" t="s">
        <v>23</v>
      </c>
      <c r="D13" s="49" t="s">
        <v>24</v>
      </c>
      <c r="E13" s="50" t="str">
        <f>"FY "&amp;'GVLA|0348-00'!FiscalYear-1&amp;" SALARY"</f>
        <v>FY 2022 SALARY</v>
      </c>
      <c r="F13" s="50" t="str">
        <f>"FY "&amp;'GVLA|0348-00'!FiscalYear-1&amp;" HEALTH BENEFITS"</f>
        <v>FY 2022 HEALTH BENEFITS</v>
      </c>
      <c r="G13" s="50" t="str">
        <f>"FY "&amp;'GVLA|0348-00'!FiscalYear-1&amp;" VAR BENEFITS"</f>
        <v>FY 2022 VAR BENEFITS</v>
      </c>
      <c r="H13" s="50" t="str">
        <f>"FY "&amp;'GVLA|0348-00'!FiscalYear-1&amp;" TOTAL"</f>
        <v>FY 2022 TOTAL</v>
      </c>
      <c r="I13" s="50" t="str">
        <f>"FY "&amp;'GVLA|0348-00'!FiscalYear&amp;" SALARY CHANGE"</f>
        <v>FY 2023 SALARY CHANGE</v>
      </c>
      <c r="J13" s="50" t="str">
        <f>"FY "&amp;'GVLA|0348-00'!FiscalYear&amp;" CHG HEALTH BENEFITS"</f>
        <v>FY 2023 CHG HEALTH BENEFITS</v>
      </c>
      <c r="K13" s="50" t="str">
        <f>"FY "&amp;'GVLA|0348-00'!FiscalYear&amp;" CHG VAR BENEFITS"</f>
        <v>FY 2023 CHG VAR BENEFITS</v>
      </c>
      <c r="L13" s="50" t="s">
        <v>25</v>
      </c>
    </row>
    <row r="14" spans="1:12" x14ac:dyDescent="0.25">
      <c r="A14" s="464" t="s">
        <v>26</v>
      </c>
      <c r="B14" s="465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3" t="s">
        <v>27</v>
      </c>
      <c r="B15" s="466"/>
      <c r="C15" s="217">
        <v>1</v>
      </c>
      <c r="D15" s="288">
        <f>[0]!GVLA034800col_INC_FTI</f>
        <v>29.5</v>
      </c>
      <c r="E15" s="218">
        <f>[0]!GVLA034800col_FTI_SALARY_PERM</f>
        <v>1619020</v>
      </c>
      <c r="F15" s="218">
        <f>[0]!GVLA034800col_HEALTH_PERM</f>
        <v>343675</v>
      </c>
      <c r="G15" s="218">
        <f>[0]!GVLA034800col_TOT_VB_PERM</f>
        <v>351763.60902800004</v>
      </c>
      <c r="H15" s="219">
        <f>SUM(E15:G15)</f>
        <v>2314458.6090279999</v>
      </c>
      <c r="I15" s="219">
        <f>[0]!GVLA034800col_1_27TH_PP</f>
        <v>0</v>
      </c>
      <c r="J15" s="218">
        <f>[0]!GVLA034800col_HEALTH_PERM_CHG</f>
        <v>0</v>
      </c>
      <c r="K15" s="218">
        <f>[0]!GVLA034800col_TOT_VB_PERM_CHG</f>
        <v>-7257.7211200000002</v>
      </c>
      <c r="L15" s="218">
        <f>SUM(J15:K15)</f>
        <v>-7257.7211200000002</v>
      </c>
    </row>
    <row r="16" spans="1:12" x14ac:dyDescent="0.25">
      <c r="A16" s="443" t="s">
        <v>28</v>
      </c>
      <c r="B16" s="466"/>
      <c r="C16" s="217">
        <v>2</v>
      </c>
      <c r="D16" s="288"/>
      <c r="E16" s="218">
        <f>[0]!GVLA034800col_Group_Salary</f>
        <v>200</v>
      </c>
      <c r="F16" s="218">
        <v>0</v>
      </c>
      <c r="G16" s="218">
        <f>[0]!GVLA034800col_Group_Ben</f>
        <v>27.29</v>
      </c>
      <c r="H16" s="219">
        <f>SUM(E16:G16)</f>
        <v>227.29</v>
      </c>
      <c r="I16" s="268"/>
      <c r="J16" s="218"/>
      <c r="K16" s="218"/>
      <c r="L16" s="218"/>
    </row>
    <row r="17" spans="1:12" x14ac:dyDescent="0.25">
      <c r="A17" s="443" t="s">
        <v>29</v>
      </c>
      <c r="B17" s="444"/>
      <c r="C17" s="217">
        <v>3</v>
      </c>
      <c r="D17" s="288">
        <f>[0]!GVLA034800col_TOTAL_ELECT_PCN_FTI</f>
        <v>0</v>
      </c>
      <c r="E17" s="218">
        <f>[0]!GVLA034800col_FTI_SALARY_ELECT</f>
        <v>0</v>
      </c>
      <c r="F17" s="218">
        <f>[0]!GVLA034800col_HEALTH_ELECT</f>
        <v>0</v>
      </c>
      <c r="G17" s="218">
        <f>[0]!GVLA034800col_TOT_VB_ELECT</f>
        <v>0</v>
      </c>
      <c r="H17" s="219">
        <f>SUM(E17:G17)</f>
        <v>0</v>
      </c>
      <c r="I17" s="268"/>
      <c r="J17" s="218">
        <f>[0]!GVLA034800col_HEALTH_ELECT_CHG</f>
        <v>0</v>
      </c>
      <c r="K17" s="218">
        <f>[0]!GVLA034800col_TOT_VB_ELECT_CHG</f>
        <v>0</v>
      </c>
      <c r="L17" s="219">
        <f>SUM(J17:K17)</f>
        <v>0</v>
      </c>
    </row>
    <row r="18" spans="1:12" x14ac:dyDescent="0.25">
      <c r="A18" s="443" t="s">
        <v>30</v>
      </c>
      <c r="B18" s="466"/>
      <c r="C18" s="217"/>
      <c r="D18" s="220">
        <f>SUM(D15:D17)</f>
        <v>29.5</v>
      </c>
      <c r="E18" s="221">
        <f>SUM(E15:E17)</f>
        <v>1619220</v>
      </c>
      <c r="F18" s="221">
        <f>SUM(F15:F17)</f>
        <v>343675</v>
      </c>
      <c r="G18" s="221">
        <f>SUM(G15:G17)</f>
        <v>351790.89902800001</v>
      </c>
      <c r="H18" s="219">
        <f>SUM(E18:G18)</f>
        <v>2314685.899028</v>
      </c>
      <c r="I18" s="268"/>
      <c r="J18" s="219">
        <f>SUM(J15:J17)</f>
        <v>0</v>
      </c>
      <c r="K18" s="219">
        <f>SUM(K15:K17)</f>
        <v>-7257.7211200000002</v>
      </c>
      <c r="L18" s="219">
        <f>SUM(L15:L17)</f>
        <v>-7257.7211200000002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"&amp;'GVLA|0348-00'!FiscalYear-1</f>
        <v>FY 2022</v>
      </c>
      <c r="B20" s="158" t="s">
        <v>31</v>
      </c>
      <c r="C20" s="355">
        <v>2244600</v>
      </c>
      <c r="D20" s="55">
        <v>30.75</v>
      </c>
      <c r="E20" s="223">
        <f>IF('GVLA|0348-00'!OrigApprop=0,0,(E18/H18)*'GVLA|0348-00'!OrigApprop)</f>
        <v>1570191.9701183762</v>
      </c>
      <c r="F20" s="223">
        <f>IF('GVLA|0348-00'!OrigApprop=0,0,(F18/H18)*'GVLA|0348-00'!OrigApprop)</f>
        <v>333268.93524686759</v>
      </c>
      <c r="G20" s="223">
        <f>IF(E20=0,0,(G18/H18)*'GVLA|0348-00'!OrigApprop)</f>
        <v>341139.09463475633</v>
      </c>
      <c r="H20" s="223">
        <f>SUM(E20:G20)</f>
        <v>2244600</v>
      </c>
      <c r="I20" s="268"/>
      <c r="J20" s="224"/>
      <c r="K20" s="224"/>
      <c r="L20" s="224"/>
    </row>
    <row r="21" spans="1:12" x14ac:dyDescent="0.25">
      <c r="A21" s="453" t="s">
        <v>32</v>
      </c>
      <c r="B21" s="454"/>
      <c r="C21" s="160" t="s">
        <v>33</v>
      </c>
      <c r="D21" s="161">
        <f>D20-D18</f>
        <v>1.25</v>
      </c>
      <c r="E21" s="162">
        <f>E20-E18</f>
        <v>-49028.029881623806</v>
      </c>
      <c r="F21" s="162">
        <f>F20-F18</f>
        <v>-10406.064753132407</v>
      </c>
      <c r="G21" s="162">
        <f>G20-G18</f>
        <v>-10651.804393243685</v>
      </c>
      <c r="H21" s="162">
        <f>H20-H18</f>
        <v>-70085.899027999956</v>
      </c>
      <c r="I21" s="269"/>
      <c r="J21" s="56" t="str">
        <f>IF('GVLA|0348-00'!OrigApprop=0,"ERROR! Enter Original Appropriation amount in DU 3.00!","Calculated "&amp;IF('GVLA|0348-00'!AdjustedTotal&gt;0,"overfunding ","underfunding ")&amp;"is "&amp;TEXT('GVLA|0348-00'!AdjustedTotal/'GVLA|0348-00'!AppropTotal,"#.0%;(#.0% );0% ;")&amp;" of Original Appropriation")</f>
        <v>Calculated underfunding is (3.1% ) of Original Appropriation</v>
      </c>
      <c r="K21" s="163"/>
      <c r="L21" s="164"/>
    </row>
    <row r="23" spans="1:12" x14ac:dyDescent="0.25">
      <c r="A23" s="394" t="s">
        <v>486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</row>
    <row r="24" spans="1:12" ht="39" x14ac:dyDescent="0.25">
      <c r="A24" s="472" t="s">
        <v>22</v>
      </c>
      <c r="B24" s="473"/>
      <c r="C24" s="370" t="s">
        <v>23</v>
      </c>
      <c r="D24" s="49" t="s">
        <v>24</v>
      </c>
      <c r="E24" s="50" t="str">
        <f>"FY "&amp;'GVLA|0426-00'!FiscalYear-1&amp;" SALARY"</f>
        <v>FY 2022 SALARY</v>
      </c>
      <c r="F24" s="50" t="str">
        <f>"FY "&amp;'GVLA|0426-00'!FiscalYear-1&amp;" HEALTH BENEFITS"</f>
        <v>FY 2022 HEALTH BENEFITS</v>
      </c>
      <c r="G24" s="50" t="str">
        <f>"FY "&amp;'GVLA|0426-00'!FiscalYear-1&amp;" VAR BENEFITS"</f>
        <v>FY 2022 VAR BENEFITS</v>
      </c>
      <c r="H24" s="50" t="str">
        <f>"FY "&amp;'GVLA|0426-00'!FiscalYear-1&amp;" TOTAL"</f>
        <v>FY 2022 TOTAL</v>
      </c>
      <c r="I24" s="50" t="str">
        <f>"FY "&amp;'GVLA|0426-00'!FiscalYear&amp;" SALARY CHANGE"</f>
        <v>FY 2023 SALARY CHANGE</v>
      </c>
      <c r="J24" s="50" t="str">
        <f>"FY "&amp;'GVLA|0426-00'!FiscalYear&amp;" CHG HEALTH BENEFITS"</f>
        <v>FY 2023 CHG HEALTH BENEFITS</v>
      </c>
      <c r="K24" s="50" t="str">
        <f>"FY "&amp;'GVLA|0426-00'!FiscalYear&amp;" CHG VAR BENEFITS"</f>
        <v>FY 2023 CHG VAR BENEFITS</v>
      </c>
      <c r="L24" s="50" t="s">
        <v>25</v>
      </c>
    </row>
    <row r="25" spans="1:12" x14ac:dyDescent="0.25">
      <c r="A25" s="464" t="s">
        <v>26</v>
      </c>
      <c r="B25" s="465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43" t="s">
        <v>27</v>
      </c>
      <c r="B26" s="466"/>
      <c r="C26" s="217">
        <v>1</v>
      </c>
      <c r="D26" s="288">
        <f>[0]!GVLA042600col_INC_FTI</f>
        <v>0.35249999999999998</v>
      </c>
      <c r="E26" s="218">
        <f>[0]!GVLA042600col_FTI_SALARY_PERM</f>
        <v>13380.9</v>
      </c>
      <c r="F26" s="218">
        <f>[0]!GVLA042600col_HEALTH_PERM</f>
        <v>5475.5</v>
      </c>
      <c r="G26" s="218">
        <f>[0]!GVLA042600col_TOT_VB_PERM</f>
        <v>2916.3002504999999</v>
      </c>
      <c r="H26" s="219">
        <f>SUM(E26:G26)</f>
        <v>21772.700250500002</v>
      </c>
      <c r="I26" s="219">
        <f>[0]!GVLA042600col_1_27TH_PP</f>
        <v>0</v>
      </c>
      <c r="J26" s="218">
        <f>[0]!GVLA042600col_HEALTH_PERM_CHG</f>
        <v>0</v>
      </c>
      <c r="K26" s="218">
        <f>[0]!GVLA042600col_TOT_VB_PERM_CHG</f>
        <v>-64.228319999999997</v>
      </c>
      <c r="L26" s="218">
        <f>SUM(J26:K26)</f>
        <v>-64.228319999999997</v>
      </c>
    </row>
    <row r="27" spans="1:12" x14ac:dyDescent="0.25">
      <c r="A27" s="443" t="s">
        <v>28</v>
      </c>
      <c r="B27" s="466"/>
      <c r="C27" s="217">
        <v>2</v>
      </c>
      <c r="D27" s="288"/>
      <c r="E27" s="218">
        <f>[0]!GVLA042600col_Group_Salary</f>
        <v>0</v>
      </c>
      <c r="F27" s="218">
        <v>0</v>
      </c>
      <c r="G27" s="218">
        <f>[0]!GVLA042600col_Group_Ben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43" t="s">
        <v>29</v>
      </c>
      <c r="B28" s="444"/>
      <c r="C28" s="217">
        <v>3</v>
      </c>
      <c r="D28" s="288">
        <f>[0]!GVLA042600col_TOTAL_ELECT_PCN_FTI</f>
        <v>0</v>
      </c>
      <c r="E28" s="218">
        <f>[0]!GVLA042600col_FTI_SALARY_ELECT</f>
        <v>0</v>
      </c>
      <c r="F28" s="218">
        <f>[0]!GVLA042600col_HEALTH_ELECT</f>
        <v>0</v>
      </c>
      <c r="G28" s="218">
        <f>[0]!GVLA042600col_TOT_VB_ELECT</f>
        <v>0</v>
      </c>
      <c r="H28" s="219">
        <f>SUM(E28:G28)</f>
        <v>0</v>
      </c>
      <c r="I28" s="268"/>
      <c r="J28" s="218">
        <f>[0]!GVLA042600col_HEALTH_ELECT_CHG</f>
        <v>0</v>
      </c>
      <c r="K28" s="218">
        <f>[0]!GVLA042600col_TOT_VB_ELECT_CHG</f>
        <v>0</v>
      </c>
      <c r="L28" s="219">
        <f>SUM(J28:K28)</f>
        <v>0</v>
      </c>
    </row>
    <row r="29" spans="1:12" x14ac:dyDescent="0.25">
      <c r="A29" s="443" t="s">
        <v>30</v>
      </c>
      <c r="B29" s="466"/>
      <c r="C29" s="217"/>
      <c r="D29" s="220">
        <f>SUM(D26:D28)</f>
        <v>0.35249999999999998</v>
      </c>
      <c r="E29" s="221">
        <f>SUM(E26:E28)</f>
        <v>13380.9</v>
      </c>
      <c r="F29" s="221">
        <f>SUM(F26:F28)</f>
        <v>5475.5</v>
      </c>
      <c r="G29" s="221">
        <f>SUM(G26:G28)</f>
        <v>2916.3002504999999</v>
      </c>
      <c r="H29" s="219">
        <f>SUM(E29:G29)</f>
        <v>21772.700250500002</v>
      </c>
      <c r="I29" s="268"/>
      <c r="J29" s="219">
        <f>SUM(J26:J28)</f>
        <v>0</v>
      </c>
      <c r="K29" s="219">
        <f>SUM(K26:K28)</f>
        <v>-64.228319999999997</v>
      </c>
      <c r="L29" s="219">
        <f>SUM(L26:L28)</f>
        <v>-64.228319999999997</v>
      </c>
    </row>
    <row r="30" spans="1:12" x14ac:dyDescent="0.25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"&amp;'GVLA|0426-00'!FiscalYear-1</f>
        <v>FY 2022</v>
      </c>
      <c r="B31" s="158" t="s">
        <v>31</v>
      </c>
      <c r="C31" s="355">
        <v>21600</v>
      </c>
      <c r="D31" s="55">
        <v>0.37</v>
      </c>
      <c r="E31" s="223">
        <f>IF('GVLA|0426-00'!OrigApprop=0,0,(E29/H29)*'GVLA|0426-00'!OrigApprop)</f>
        <v>13274.763197705008</v>
      </c>
      <c r="F31" s="223">
        <f>IF('GVLA|0426-00'!OrigApprop=0,0,(F29/H29)*'GVLA|0426-00'!OrigApprop)</f>
        <v>5432.0685371711743</v>
      </c>
      <c r="G31" s="223">
        <f>IF(E31=0,0,(G29/H29)*'GVLA|0426-00'!OrigApprop)</f>
        <v>2893.1682651238175</v>
      </c>
      <c r="H31" s="223">
        <f>SUM(E31:G31)</f>
        <v>21600</v>
      </c>
      <c r="I31" s="268"/>
      <c r="J31" s="224"/>
      <c r="K31" s="224"/>
      <c r="L31" s="224"/>
    </row>
    <row r="32" spans="1:12" x14ac:dyDescent="0.25">
      <c r="A32" s="453" t="s">
        <v>32</v>
      </c>
      <c r="B32" s="454"/>
      <c r="C32" s="160" t="s">
        <v>33</v>
      </c>
      <c r="D32" s="161">
        <f>D31-D29</f>
        <v>1.7500000000000016E-2</v>
      </c>
      <c r="E32" s="162">
        <f>E31-E29</f>
        <v>-106.13680229499187</v>
      </c>
      <c r="F32" s="162">
        <f>F31-F29</f>
        <v>-43.431462828825715</v>
      </c>
      <c r="G32" s="162">
        <f>G31-G29</f>
        <v>-23.131985376182456</v>
      </c>
      <c r="H32" s="162">
        <f>H31-H29</f>
        <v>-172.70025050000186</v>
      </c>
      <c r="I32" s="269"/>
      <c r="J32" s="56" t="str">
        <f>IF('GVLA|0426-00'!OrigApprop=0,"ERROR! Enter Original Appropriation amount in DU 3.00!","Calculated "&amp;IF('GVLA|0426-00'!AdjustedTotal&gt;0,"overfunding ","underfunding ")&amp;"is "&amp;TEXT('GVLA|0426-00'!AdjustedTotal/'GVLA|0426-00'!AppropTotal,"#.0%;(#.0% );0% ;")&amp;" of Original Appropriation")</f>
        <v>Calculated underfunding is (.8% ) of Original Appropriation</v>
      </c>
      <c r="K32" s="163"/>
      <c r="L32" s="164"/>
    </row>
  </sheetData>
  <mergeCells count="21">
    <mergeCell ref="A17:B17"/>
    <mergeCell ref="A2:B2"/>
    <mergeCell ref="A3:B3"/>
    <mergeCell ref="A4:B4"/>
    <mergeCell ref="A5:B5"/>
    <mergeCell ref="A6:B6"/>
    <mergeCell ref="A7:B7"/>
    <mergeCell ref="A10:B10"/>
    <mergeCell ref="A13:B13"/>
    <mergeCell ref="A14:B14"/>
    <mergeCell ref="A15:B15"/>
    <mergeCell ref="A16:B16"/>
    <mergeCell ref="A28:B28"/>
    <mergeCell ref="A29:B29"/>
    <mergeCell ref="A32:B32"/>
    <mergeCell ref="A18:B18"/>
    <mergeCell ref="A21:B21"/>
    <mergeCell ref="A24:B24"/>
    <mergeCell ref="A25:B25"/>
    <mergeCell ref="A26:B26"/>
    <mergeCell ref="A27:B27"/>
  </mergeCells>
  <conditionalFormatting sqref="J10">
    <cfRule type="expression" dxfId="2" priority="3">
      <formula>$J$16&lt;0</formula>
    </cfRule>
  </conditionalFormatting>
  <conditionalFormatting sqref="J21">
    <cfRule type="expression" dxfId="1" priority="2">
      <formula>$J$16&lt;0</formula>
    </cfRule>
  </conditionalFormatting>
  <conditionalFormatting sqref="J32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Office of the Governor&amp;R&amp;"Arial"&amp;10 Agency 189</oddHeader>
    <oddFooter>&amp;L&amp;"Arial"&amp;10 B6:Summary by Program, by Fund&amp;R&amp;"Arial"&amp;10 FY 2022 Request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5"/>
  <sheetViews>
    <sheetView workbookViewId="0">
      <selection activeCell="E8" sqref="E8:M25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4" t="s">
        <v>490</v>
      </c>
      <c r="G5" s="474"/>
      <c r="H5" s="475" t="s">
        <v>488</v>
      </c>
      <c r="I5" s="474" t="s">
        <v>491</v>
      </c>
      <c r="J5" s="474"/>
      <c r="K5" s="475" t="s">
        <v>489</v>
      </c>
      <c r="L5" s="474" t="s">
        <v>492</v>
      </c>
      <c r="M5" s="474"/>
    </row>
    <row r="6" spans="1:13" ht="15.75" x14ac:dyDescent="0.25">
      <c r="E6" s="249"/>
      <c r="F6" s="253" t="s">
        <v>94</v>
      </c>
      <c r="G6" s="254" t="s">
        <v>96</v>
      </c>
      <c r="H6" s="476"/>
      <c r="I6" s="253" t="s">
        <v>98</v>
      </c>
      <c r="J6" s="254" t="s">
        <v>95</v>
      </c>
      <c r="K6" s="476"/>
      <c r="L6" s="278" t="s">
        <v>98</v>
      </c>
      <c r="M6" s="254" t="s">
        <v>95</v>
      </c>
    </row>
    <row r="7" spans="1:13" x14ac:dyDescent="0.25">
      <c r="A7" s="391" t="s">
        <v>493</v>
      </c>
      <c r="D7" s="250"/>
    </row>
    <row r="8" spans="1:13" x14ac:dyDescent="0.25">
      <c r="C8" t="s">
        <v>472</v>
      </c>
      <c r="D8" s="250"/>
      <c r="E8" s="401">
        <f>Data!AS100</f>
        <v>10.897500000000001</v>
      </c>
      <c r="F8" s="401">
        <f>Data!AT100</f>
        <v>560597.77</v>
      </c>
      <c r="G8" s="401">
        <f>Data!AU100</f>
        <v>229344.90000000002</v>
      </c>
      <c r="H8" s="401">
        <f>Data!AV100</f>
        <v>507622.69999999995</v>
      </c>
      <c r="I8" s="401">
        <f>Data!AW100</f>
        <v>128499.5</v>
      </c>
      <c r="J8" s="401">
        <f>Data!AX100</f>
        <v>110633.8293515</v>
      </c>
      <c r="K8" s="401">
        <f>Data!AY100</f>
        <v>507622.69999999995</v>
      </c>
      <c r="L8" s="401">
        <f>Data!AZ100</f>
        <v>128499.5</v>
      </c>
      <c r="M8" s="401">
        <f>Data!BA100</f>
        <v>108197.2403915</v>
      </c>
    </row>
    <row r="9" spans="1:13" x14ac:dyDescent="0.25">
      <c r="B9" t="s">
        <v>494</v>
      </c>
      <c r="D9" s="250"/>
      <c r="E9" s="402">
        <f>Data!AS101</f>
        <v>10.897500000000001</v>
      </c>
      <c r="F9" s="402">
        <f>Data!AT101</f>
        <v>560597.77</v>
      </c>
      <c r="G9" s="402">
        <f>Data!AU101</f>
        <v>229344.90000000002</v>
      </c>
      <c r="H9" s="402">
        <f>Data!AV101</f>
        <v>507622.69999999995</v>
      </c>
      <c r="I9" s="402">
        <f>Data!AW101</f>
        <v>128499.5</v>
      </c>
      <c r="J9" s="402">
        <f>Data!AX101</f>
        <v>110633.8293515</v>
      </c>
      <c r="K9" s="402">
        <f>Data!AY101</f>
        <v>507622.69999999995</v>
      </c>
      <c r="L9" s="402">
        <f>Data!AZ101</f>
        <v>128499.5</v>
      </c>
      <c r="M9" s="402">
        <f>Data!BA101</f>
        <v>108197.2403915</v>
      </c>
    </row>
    <row r="10" spans="1:13" x14ac:dyDescent="0.25">
      <c r="C10" t="s">
        <v>478</v>
      </c>
      <c r="D10" s="250"/>
      <c r="E10" s="401">
        <f>Data!AS102</f>
        <v>29.5</v>
      </c>
      <c r="F10" s="401">
        <f>Data!AT102</f>
        <v>1487878.8699999999</v>
      </c>
      <c r="G10" s="401">
        <f>Data!AU102</f>
        <v>669727.11999999988</v>
      </c>
      <c r="H10" s="401">
        <f>Data!AV102</f>
        <v>1619020</v>
      </c>
      <c r="I10" s="401">
        <f>Data!AW102</f>
        <v>343675</v>
      </c>
      <c r="J10" s="401">
        <f>Data!AX102</f>
        <v>351763.60902800004</v>
      </c>
      <c r="K10" s="401">
        <f>Data!AY102</f>
        <v>1619020</v>
      </c>
      <c r="L10" s="401">
        <f>Data!AZ102</f>
        <v>343675</v>
      </c>
      <c r="M10" s="401">
        <f>Data!BA102</f>
        <v>344505.88790800009</v>
      </c>
    </row>
    <row r="11" spans="1:13" x14ac:dyDescent="0.25">
      <c r="B11" t="s">
        <v>495</v>
      </c>
      <c r="D11" s="250"/>
      <c r="E11" s="402">
        <f>Data!AS103</f>
        <v>29.5</v>
      </c>
      <c r="F11" s="402">
        <f>Data!AT103</f>
        <v>1487878.8699999999</v>
      </c>
      <c r="G11" s="402">
        <f>Data!AU103</f>
        <v>669727.11999999988</v>
      </c>
      <c r="H11" s="402">
        <f>Data!AV103</f>
        <v>1619020</v>
      </c>
      <c r="I11" s="402">
        <f>Data!AW103</f>
        <v>343675</v>
      </c>
      <c r="J11" s="402">
        <f>Data!AX103</f>
        <v>351763.60902800004</v>
      </c>
      <c r="K11" s="402">
        <f>Data!AY103</f>
        <v>1619020</v>
      </c>
      <c r="L11" s="402">
        <f>Data!AZ103</f>
        <v>343675</v>
      </c>
      <c r="M11" s="402">
        <f>Data!BA103</f>
        <v>344505.88790800009</v>
      </c>
    </row>
    <row r="12" spans="1:13" x14ac:dyDescent="0.25">
      <c r="C12" t="s">
        <v>484</v>
      </c>
      <c r="D12" s="250"/>
      <c r="E12" s="401">
        <f>Data!AS104</f>
        <v>0.35249999999999998</v>
      </c>
      <c r="F12" s="401">
        <f>Data!AT104</f>
        <v>12844.93</v>
      </c>
      <c r="G12" s="401">
        <f>Data!AU104</f>
        <v>8255.07</v>
      </c>
      <c r="H12" s="401">
        <f>Data!AV104</f>
        <v>13380.9</v>
      </c>
      <c r="I12" s="401">
        <f>Data!AW104</f>
        <v>5475.5</v>
      </c>
      <c r="J12" s="401">
        <f>Data!AX104</f>
        <v>2916.3002504999999</v>
      </c>
      <c r="K12" s="401">
        <f>Data!AY104</f>
        <v>13380.9</v>
      </c>
      <c r="L12" s="401">
        <f>Data!AZ104</f>
        <v>5475.5</v>
      </c>
      <c r="M12" s="401">
        <f>Data!BA104</f>
        <v>2852.0719305000002</v>
      </c>
    </row>
    <row r="13" spans="1:13" x14ac:dyDescent="0.25">
      <c r="B13" t="s">
        <v>496</v>
      </c>
      <c r="D13" s="250"/>
      <c r="E13" s="402">
        <f>Data!AS105</f>
        <v>0.35249999999999998</v>
      </c>
      <c r="F13" s="402">
        <f>Data!AT105</f>
        <v>12844.93</v>
      </c>
      <c r="G13" s="402">
        <f>Data!AU105</f>
        <v>8255.07</v>
      </c>
      <c r="H13" s="402">
        <f>Data!AV105</f>
        <v>13380.9</v>
      </c>
      <c r="I13" s="402">
        <f>Data!AW105</f>
        <v>5475.5</v>
      </c>
      <c r="J13" s="402">
        <f>Data!AX105</f>
        <v>2916.3002504999999</v>
      </c>
      <c r="K13" s="402">
        <f>Data!AY105</f>
        <v>13380.9</v>
      </c>
      <c r="L13" s="402">
        <f>Data!AZ105</f>
        <v>5475.5</v>
      </c>
      <c r="M13" s="402">
        <f>Data!BA105</f>
        <v>2852.0719305000002</v>
      </c>
    </row>
    <row r="14" spans="1:13" x14ac:dyDescent="0.25">
      <c r="E14" s="401">
        <f>Data!AS106</f>
        <v>0</v>
      </c>
      <c r="F14" s="401">
        <f>Data!AT106</f>
        <v>0</v>
      </c>
      <c r="G14" s="401">
        <f>Data!AU106</f>
        <v>0</v>
      </c>
      <c r="H14" s="401">
        <f>Data!AV106</f>
        <v>0</v>
      </c>
      <c r="I14" s="401">
        <f>Data!AW106</f>
        <v>0</v>
      </c>
      <c r="J14" s="401">
        <f>Data!AX106</f>
        <v>0</v>
      </c>
      <c r="K14" s="401">
        <f>Data!AY106</f>
        <v>0</v>
      </c>
      <c r="L14" s="401">
        <f>Data!AZ106</f>
        <v>0</v>
      </c>
      <c r="M14" s="401">
        <f>Data!BA106</f>
        <v>0</v>
      </c>
    </row>
    <row r="15" spans="1:13" x14ac:dyDescent="0.25">
      <c r="A15" s="395" t="s">
        <v>497</v>
      </c>
      <c r="E15" s="403">
        <f>Data!AS107</f>
        <v>40.75</v>
      </c>
      <c r="F15" s="403">
        <f>Data!AT107</f>
        <v>2061321.5699999998</v>
      </c>
      <c r="G15" s="403">
        <f>Data!AU107</f>
        <v>907327.08999999985</v>
      </c>
      <c r="H15" s="403">
        <f>Data!AV107</f>
        <v>2140023.6</v>
      </c>
      <c r="I15" s="403">
        <f>Data!AW107</f>
        <v>477650</v>
      </c>
      <c r="J15" s="403">
        <f>Data!AX107</f>
        <v>465313.73863000004</v>
      </c>
      <c r="K15" s="403">
        <f>Data!AY107</f>
        <v>2140023.6</v>
      </c>
      <c r="L15" s="403">
        <f>Data!AZ107</f>
        <v>477650</v>
      </c>
      <c r="M15" s="403">
        <f>Data!BA107</f>
        <v>455555.20023000007</v>
      </c>
    </row>
    <row r="16" spans="1:13" x14ac:dyDescent="0.25">
      <c r="E16" s="401">
        <f>Data!AS108</f>
        <v>0</v>
      </c>
      <c r="F16" s="401">
        <f>Data!AT108</f>
        <v>0</v>
      </c>
      <c r="G16" s="401">
        <f>Data!AU108</f>
        <v>0</v>
      </c>
      <c r="H16" s="401">
        <f>Data!AV108</f>
        <v>0</v>
      </c>
      <c r="I16" s="401">
        <f>Data!AW108</f>
        <v>0</v>
      </c>
      <c r="J16" s="401">
        <f>Data!AX108</f>
        <v>0</v>
      </c>
      <c r="K16" s="401">
        <f>Data!AY108</f>
        <v>0</v>
      </c>
      <c r="L16" s="401">
        <f>Data!AZ108</f>
        <v>0</v>
      </c>
      <c r="M16" s="401">
        <f>Data!BA108</f>
        <v>0</v>
      </c>
    </row>
    <row r="17" spans="1:13" x14ac:dyDescent="0.25">
      <c r="A17" s="391" t="s">
        <v>498</v>
      </c>
      <c r="E17" s="401">
        <f>Data!AS109</f>
        <v>0</v>
      </c>
      <c r="F17" s="401">
        <f>Data!AT109</f>
        <v>0</v>
      </c>
      <c r="G17" s="401">
        <f>Data!AU109</f>
        <v>0</v>
      </c>
      <c r="H17" s="401">
        <f>Data!AV109</f>
        <v>0</v>
      </c>
      <c r="I17" s="401">
        <f>Data!AW109</f>
        <v>0</v>
      </c>
      <c r="J17" s="401">
        <f>Data!AX109</f>
        <v>0</v>
      </c>
      <c r="K17" s="401">
        <f>Data!AY109</f>
        <v>0</v>
      </c>
      <c r="L17" s="401">
        <f>Data!AZ109</f>
        <v>0</v>
      </c>
      <c r="M17" s="401">
        <f>Data!BA109</f>
        <v>0</v>
      </c>
    </row>
    <row r="18" spans="1:13" x14ac:dyDescent="0.25">
      <c r="C18" t="s">
        <v>472</v>
      </c>
      <c r="E18" s="401">
        <f>Data!AS110</f>
        <v>0</v>
      </c>
      <c r="F18" s="401">
        <f>Data!AT110</f>
        <v>700</v>
      </c>
      <c r="G18" s="401">
        <f>Data!AU110</f>
        <v>101.46</v>
      </c>
      <c r="H18" s="401">
        <f>Data!AV110</f>
        <v>700</v>
      </c>
      <c r="I18" s="401">
        <f>Data!AW110</f>
        <v>0</v>
      </c>
      <c r="J18" s="401">
        <f>Data!AX110</f>
        <v>101.46</v>
      </c>
      <c r="K18" s="401">
        <f>Data!AY110</f>
        <v>700</v>
      </c>
      <c r="L18" s="401">
        <f>Data!AZ110</f>
        <v>0</v>
      </c>
      <c r="M18" s="401">
        <f>Data!BA110</f>
        <v>101.46</v>
      </c>
    </row>
    <row r="19" spans="1:13" x14ac:dyDescent="0.25">
      <c r="B19" t="s">
        <v>494</v>
      </c>
      <c r="E19" s="402">
        <f>Data!AS111</f>
        <v>0</v>
      </c>
      <c r="F19" s="402">
        <f>Data!AT111</f>
        <v>700</v>
      </c>
      <c r="G19" s="402">
        <f>Data!AU111</f>
        <v>101.46</v>
      </c>
      <c r="H19" s="402">
        <f>Data!AV111</f>
        <v>700</v>
      </c>
      <c r="I19" s="402">
        <f>Data!AW111</f>
        <v>0</v>
      </c>
      <c r="J19" s="402">
        <f>Data!AX111</f>
        <v>101.46</v>
      </c>
      <c r="K19" s="402">
        <f>Data!AY111</f>
        <v>700</v>
      </c>
      <c r="L19" s="402">
        <f>Data!AZ111</f>
        <v>0</v>
      </c>
      <c r="M19" s="402">
        <f>Data!BA111</f>
        <v>101.46</v>
      </c>
    </row>
    <row r="20" spans="1:13" x14ac:dyDescent="0.25">
      <c r="C20" t="s">
        <v>478</v>
      </c>
      <c r="E20" s="401">
        <f>Data!AS112</f>
        <v>0</v>
      </c>
      <c r="F20" s="401">
        <f>Data!AT112</f>
        <v>200</v>
      </c>
      <c r="G20" s="401">
        <f>Data!AU112</f>
        <v>27.29</v>
      </c>
      <c r="H20" s="401">
        <f>Data!AV112</f>
        <v>200</v>
      </c>
      <c r="I20" s="401">
        <f>Data!AW112</f>
        <v>0</v>
      </c>
      <c r="J20" s="401">
        <f>Data!AX112</f>
        <v>27.29</v>
      </c>
      <c r="K20" s="401">
        <f>Data!AY112</f>
        <v>200</v>
      </c>
      <c r="L20" s="401">
        <f>Data!AZ112</f>
        <v>0</v>
      </c>
      <c r="M20" s="401">
        <f>Data!BA112</f>
        <v>27.29</v>
      </c>
    </row>
    <row r="21" spans="1:13" x14ac:dyDescent="0.25">
      <c r="B21" t="s">
        <v>495</v>
      </c>
      <c r="E21" s="402">
        <f>Data!AS113</f>
        <v>0</v>
      </c>
      <c r="F21" s="402">
        <f>Data!AT113</f>
        <v>200</v>
      </c>
      <c r="G21" s="402">
        <f>Data!AU113</f>
        <v>27.29</v>
      </c>
      <c r="H21" s="402">
        <f>Data!AV113</f>
        <v>200</v>
      </c>
      <c r="I21" s="402">
        <f>Data!AW113</f>
        <v>0</v>
      </c>
      <c r="J21" s="402">
        <f>Data!AX113</f>
        <v>27.29</v>
      </c>
      <c r="K21" s="402">
        <f>Data!AY113</f>
        <v>200</v>
      </c>
      <c r="L21" s="402">
        <f>Data!AZ113</f>
        <v>0</v>
      </c>
      <c r="M21" s="402">
        <f>Data!BA113</f>
        <v>27.29</v>
      </c>
    </row>
    <row r="22" spans="1:13" x14ac:dyDescent="0.25">
      <c r="E22" s="401">
        <f>Data!AS114</f>
        <v>0</v>
      </c>
      <c r="F22" s="401">
        <f>Data!AT114</f>
        <v>0</v>
      </c>
      <c r="G22" s="401">
        <f>Data!AU114</f>
        <v>0</v>
      </c>
      <c r="H22" s="401">
        <f>Data!AV114</f>
        <v>0</v>
      </c>
      <c r="I22" s="401">
        <f>Data!AW114</f>
        <v>0</v>
      </c>
      <c r="J22" s="401">
        <f>Data!AX114</f>
        <v>0</v>
      </c>
      <c r="K22" s="401">
        <f>Data!AY114</f>
        <v>0</v>
      </c>
      <c r="L22" s="401">
        <f>Data!AZ114</f>
        <v>0</v>
      </c>
      <c r="M22" s="401">
        <f>Data!BA114</f>
        <v>0</v>
      </c>
    </row>
    <row r="23" spans="1:13" x14ac:dyDescent="0.25">
      <c r="A23" s="395" t="s">
        <v>499</v>
      </c>
      <c r="E23" s="403">
        <f>Data!AS115</f>
        <v>0</v>
      </c>
      <c r="F23" s="403">
        <f>Data!AT115</f>
        <v>900</v>
      </c>
      <c r="G23" s="403">
        <f>Data!AU115</f>
        <v>128.75</v>
      </c>
      <c r="H23" s="403">
        <f>Data!AV115</f>
        <v>900</v>
      </c>
      <c r="I23" s="403">
        <f>Data!AW115</f>
        <v>0</v>
      </c>
      <c r="J23" s="403">
        <f>Data!AX115</f>
        <v>128.75</v>
      </c>
      <c r="K23" s="403">
        <f>Data!AY115</f>
        <v>900</v>
      </c>
      <c r="L23" s="403">
        <f>Data!AZ115</f>
        <v>0</v>
      </c>
      <c r="M23" s="403">
        <f>Data!BA115</f>
        <v>128.75</v>
      </c>
    </row>
    <row r="24" spans="1:13" x14ac:dyDescent="0.25">
      <c r="E24" s="401">
        <f>Data!AS116</f>
        <v>0</v>
      </c>
      <c r="F24" s="401">
        <f>Data!AT116</f>
        <v>0</v>
      </c>
      <c r="G24" s="401">
        <f>Data!AU116</f>
        <v>0</v>
      </c>
      <c r="H24" s="401">
        <f>Data!AV116</f>
        <v>0</v>
      </c>
      <c r="I24" s="401">
        <f>Data!AW116</f>
        <v>0</v>
      </c>
      <c r="J24" s="401">
        <f>Data!AX116</f>
        <v>0</v>
      </c>
      <c r="K24" s="401">
        <f>Data!AY116</f>
        <v>0</v>
      </c>
      <c r="L24" s="401">
        <f>Data!AZ116</f>
        <v>0</v>
      </c>
      <c r="M24" s="401">
        <f>Data!BA116</f>
        <v>0</v>
      </c>
    </row>
    <row r="25" spans="1:13" x14ac:dyDescent="0.25">
      <c r="A25" s="396" t="s">
        <v>500</v>
      </c>
      <c r="E25" s="399">
        <f>Data!AS117</f>
        <v>40.75</v>
      </c>
      <c r="F25" s="400">
        <f>Data!AT117</f>
        <v>2062221.5699999998</v>
      </c>
      <c r="G25" s="400">
        <f>Data!AU117</f>
        <v>907455.83999999985</v>
      </c>
      <c r="H25" s="400">
        <f>Data!AV117</f>
        <v>2140923.6</v>
      </c>
      <c r="I25" s="400">
        <f>Data!AW117</f>
        <v>477650</v>
      </c>
      <c r="J25" s="400">
        <f>Data!AX117</f>
        <v>465442.48863000004</v>
      </c>
      <c r="K25" s="400">
        <f>Data!AY117</f>
        <v>2140923.6</v>
      </c>
      <c r="L25" s="400">
        <f>Data!AZ117</f>
        <v>477650</v>
      </c>
      <c r="M25" s="400">
        <f>Data!BA117</f>
        <v>455683.95023000007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Office of the Governor&amp;R&amp;"Arial"&amp;10 Agency 189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553</vt:i4>
      </vt:variant>
    </vt:vector>
  </HeadingPairs>
  <TitlesOfParts>
    <vt:vector size="561" baseType="lpstr">
      <vt:lpstr>GVLA|0001-00</vt:lpstr>
      <vt:lpstr>GVLA|0348-00</vt:lpstr>
      <vt:lpstr>GVLA|0426-00</vt:lpstr>
      <vt:lpstr>Data</vt:lpstr>
      <vt:lpstr>Benefits</vt:lpstr>
      <vt:lpstr>B6</vt:lpstr>
      <vt:lpstr>Summary</vt:lpstr>
      <vt:lpstr>FundSummary</vt:lpstr>
      <vt:lpstr>'GVLA|0001-00'!AdjGroupHlth</vt:lpstr>
      <vt:lpstr>'GVLA|0348-00'!AdjGroupHlth</vt:lpstr>
      <vt:lpstr>'GVLA|0426-00'!AdjGroupHlth</vt:lpstr>
      <vt:lpstr>AdjGroupHlth</vt:lpstr>
      <vt:lpstr>'GVLA|0001-00'!AdjGroupSalary</vt:lpstr>
      <vt:lpstr>'GVLA|0348-00'!AdjGroupSalary</vt:lpstr>
      <vt:lpstr>'GVLA|0426-00'!AdjGroupSalary</vt:lpstr>
      <vt:lpstr>AdjGroupSalary</vt:lpstr>
      <vt:lpstr>'GVLA|0001-00'!AdjGroupVB</vt:lpstr>
      <vt:lpstr>'GVLA|0348-00'!AdjGroupVB</vt:lpstr>
      <vt:lpstr>'GVLA|0426-00'!AdjGroupVB</vt:lpstr>
      <vt:lpstr>AdjGroupVB</vt:lpstr>
      <vt:lpstr>'GVLA|0001-00'!AdjGroupVBBY</vt:lpstr>
      <vt:lpstr>'GVLA|0348-00'!AdjGroupVBBY</vt:lpstr>
      <vt:lpstr>'GVLA|0426-00'!AdjGroupVBBY</vt:lpstr>
      <vt:lpstr>AdjGroupVBBY</vt:lpstr>
      <vt:lpstr>'GVLA|0001-00'!AdjPermHlth</vt:lpstr>
      <vt:lpstr>'GVLA|0348-00'!AdjPermHlth</vt:lpstr>
      <vt:lpstr>'GVLA|0426-00'!AdjPermHlth</vt:lpstr>
      <vt:lpstr>AdjPermHlth</vt:lpstr>
      <vt:lpstr>'GVLA|0001-00'!AdjPermHlthBY</vt:lpstr>
      <vt:lpstr>'GVLA|0348-00'!AdjPermHlthBY</vt:lpstr>
      <vt:lpstr>'GVLA|0426-00'!AdjPermHlthBY</vt:lpstr>
      <vt:lpstr>AdjPermHlthBY</vt:lpstr>
      <vt:lpstr>'GVLA|0001-00'!AdjPermSalary</vt:lpstr>
      <vt:lpstr>'GVLA|0348-00'!AdjPermSalary</vt:lpstr>
      <vt:lpstr>'GVLA|0426-00'!AdjPermSalary</vt:lpstr>
      <vt:lpstr>AdjPermSalary</vt:lpstr>
      <vt:lpstr>'GVLA|0001-00'!AdjPermVB</vt:lpstr>
      <vt:lpstr>'GVLA|0348-00'!AdjPermVB</vt:lpstr>
      <vt:lpstr>'GVLA|0426-00'!AdjPermVB</vt:lpstr>
      <vt:lpstr>AdjPermVB</vt:lpstr>
      <vt:lpstr>'GVLA|0001-00'!AdjPermVBBY</vt:lpstr>
      <vt:lpstr>'GVLA|0348-00'!AdjPermVBBY</vt:lpstr>
      <vt:lpstr>'GVLA|0426-00'!AdjPermVBBY</vt:lpstr>
      <vt:lpstr>AdjPermVBBY</vt:lpstr>
      <vt:lpstr>'GVLA|0001-00'!AdjustedTotal</vt:lpstr>
      <vt:lpstr>'GVLA|0348-00'!AdjustedTotal</vt:lpstr>
      <vt:lpstr>'GVLA|0426-00'!AdjustedTotal</vt:lpstr>
      <vt:lpstr>AdjustedTotal</vt:lpstr>
      <vt:lpstr>'GVLA|0001-00'!AgencyNum</vt:lpstr>
      <vt:lpstr>'GVLA|0348-00'!AgencyNum</vt:lpstr>
      <vt:lpstr>'GVLA|0426-00'!AgencyNum</vt:lpstr>
      <vt:lpstr>AgencyNum</vt:lpstr>
      <vt:lpstr>'GVLA|0001-00'!AppropFTP</vt:lpstr>
      <vt:lpstr>'GVLA|0348-00'!AppropFTP</vt:lpstr>
      <vt:lpstr>'GVLA|0426-00'!AppropFTP</vt:lpstr>
      <vt:lpstr>AppropFTP</vt:lpstr>
      <vt:lpstr>'GVLA|0001-00'!AppropTotal</vt:lpstr>
      <vt:lpstr>'GVLA|0348-00'!AppropTotal</vt:lpstr>
      <vt:lpstr>'GVLA|0426-00'!AppropTotal</vt:lpstr>
      <vt:lpstr>AppropTotal</vt:lpstr>
      <vt:lpstr>'GVLA|0001-00'!AtZHealth</vt:lpstr>
      <vt:lpstr>'GVLA|0348-00'!AtZHealth</vt:lpstr>
      <vt:lpstr>'GVLA|0426-00'!AtZHealth</vt:lpstr>
      <vt:lpstr>AtZHealth</vt:lpstr>
      <vt:lpstr>'GVLA|0001-00'!AtZSalary</vt:lpstr>
      <vt:lpstr>'GVLA|0348-00'!AtZSalary</vt:lpstr>
      <vt:lpstr>'GVLA|0426-00'!AtZSalary</vt:lpstr>
      <vt:lpstr>AtZSalary</vt:lpstr>
      <vt:lpstr>'GVLA|0001-00'!AtZTotal</vt:lpstr>
      <vt:lpstr>'GVLA|0348-00'!AtZTotal</vt:lpstr>
      <vt:lpstr>'GVLA|0426-00'!AtZTotal</vt:lpstr>
      <vt:lpstr>AtZTotal</vt:lpstr>
      <vt:lpstr>'GVLA|0001-00'!AtZVarBen</vt:lpstr>
      <vt:lpstr>'GVLA|0348-00'!AtZVarBen</vt:lpstr>
      <vt:lpstr>'GVLA|0426-00'!AtZVarBen</vt:lpstr>
      <vt:lpstr>AtZVarBen</vt:lpstr>
      <vt:lpstr>'GVLA|0001-00'!BudgetUnit</vt:lpstr>
      <vt:lpstr>'GVLA|0348-00'!BudgetUnit</vt:lpstr>
      <vt:lpstr>'GVLA|0426-00'!BudgetUnit</vt:lpstr>
      <vt:lpstr>BudgetUnit</vt:lpstr>
      <vt:lpstr>BudgetYear</vt:lpstr>
      <vt:lpstr>CECGroup</vt:lpstr>
      <vt:lpstr>'GVLA|0001-00'!CECOrigElectSalary</vt:lpstr>
      <vt:lpstr>'GVLA|0348-00'!CECOrigElectSalary</vt:lpstr>
      <vt:lpstr>'GVLA|0426-00'!CECOrigElectSalary</vt:lpstr>
      <vt:lpstr>CECOrigElectSalary</vt:lpstr>
      <vt:lpstr>'GVLA|0001-00'!CECOrigElectVB</vt:lpstr>
      <vt:lpstr>'GVLA|0348-00'!CECOrigElectVB</vt:lpstr>
      <vt:lpstr>'GVLA|0426-00'!CECOrigElectVB</vt:lpstr>
      <vt:lpstr>CECOrigElectVB</vt:lpstr>
      <vt:lpstr>'GVLA|0001-00'!CECOrigGroupSalary</vt:lpstr>
      <vt:lpstr>'GVLA|0348-00'!CECOrigGroupSalary</vt:lpstr>
      <vt:lpstr>'GVLA|0426-00'!CECOrigGroupSalary</vt:lpstr>
      <vt:lpstr>CECOrigGroupSalary</vt:lpstr>
      <vt:lpstr>'GVLA|0001-00'!CECOrigGroupVB</vt:lpstr>
      <vt:lpstr>'GVLA|0348-00'!CECOrigGroupVB</vt:lpstr>
      <vt:lpstr>'GVLA|0426-00'!CECOrigGroupVB</vt:lpstr>
      <vt:lpstr>CECOrigGroupVB</vt:lpstr>
      <vt:lpstr>'GVLA|0001-00'!CECOrigPermSalary</vt:lpstr>
      <vt:lpstr>'GVLA|0348-00'!CECOrigPermSalary</vt:lpstr>
      <vt:lpstr>'GVLA|0426-00'!CECOrigPermSalary</vt:lpstr>
      <vt:lpstr>CECOrigPermSalary</vt:lpstr>
      <vt:lpstr>'GVLA|0001-00'!CECOrigPermVB</vt:lpstr>
      <vt:lpstr>'GVLA|0348-00'!CECOrigPermVB</vt:lpstr>
      <vt:lpstr>'GVLA|0426-00'!CECOrigPermVB</vt:lpstr>
      <vt:lpstr>CECOrigPermVB</vt:lpstr>
      <vt:lpstr>CECPerm</vt:lpstr>
      <vt:lpstr>'GVLA|0001-00'!CECpermCalc</vt:lpstr>
      <vt:lpstr>'GVLA|0348-00'!CECpermCalc</vt:lpstr>
      <vt:lpstr>'GVLA|0426-00'!CECpermCalc</vt:lpstr>
      <vt:lpstr>CECpermCalc</vt:lpstr>
      <vt:lpstr>'GVLA|0001-00'!Department</vt:lpstr>
      <vt:lpstr>'GVLA|0348-00'!Department</vt:lpstr>
      <vt:lpstr>'GVLA|0426-00'!Department</vt:lpstr>
      <vt:lpstr>Department</vt:lpstr>
      <vt:lpstr>DHR</vt:lpstr>
      <vt:lpstr>DHRBY</vt:lpstr>
      <vt:lpstr>DHRCHG</vt:lpstr>
      <vt:lpstr>'GVLA|0001-00'!Division</vt:lpstr>
      <vt:lpstr>'GVLA|0348-00'!Division</vt:lpstr>
      <vt:lpstr>'GVLA|0426-00'!Division</vt:lpstr>
      <vt:lpstr>Division</vt:lpstr>
      <vt:lpstr>'GVLA|0001-00'!DUCECElect</vt:lpstr>
      <vt:lpstr>'GVLA|0348-00'!DUCECElect</vt:lpstr>
      <vt:lpstr>'GVLA|0426-00'!DUCECElect</vt:lpstr>
      <vt:lpstr>DUCECElect</vt:lpstr>
      <vt:lpstr>'GVLA|0001-00'!DUCECGroup</vt:lpstr>
      <vt:lpstr>'GVLA|0348-00'!DUCECGroup</vt:lpstr>
      <vt:lpstr>'GVLA|0426-00'!DUCECGroup</vt:lpstr>
      <vt:lpstr>DUCECGroup</vt:lpstr>
      <vt:lpstr>'GVLA|0001-00'!DUCECPerm</vt:lpstr>
      <vt:lpstr>'GVLA|0348-00'!DUCECPerm</vt:lpstr>
      <vt:lpstr>'GVLA|0426-00'!DUCECPerm</vt:lpstr>
      <vt:lpstr>DUCECPerm</vt:lpstr>
      <vt:lpstr>'GVLA|0001-00'!DUEleven</vt:lpstr>
      <vt:lpstr>'GVLA|0348-00'!DUEleven</vt:lpstr>
      <vt:lpstr>'GVLA|0426-00'!DUEleven</vt:lpstr>
      <vt:lpstr>DUEleven</vt:lpstr>
      <vt:lpstr>'GVLA|0001-00'!DUHealthBen</vt:lpstr>
      <vt:lpstr>'GVLA|0348-00'!DUHealthBen</vt:lpstr>
      <vt:lpstr>'GVLA|0426-00'!DUHealthBen</vt:lpstr>
      <vt:lpstr>DUHealthBen</vt:lpstr>
      <vt:lpstr>'GVLA|0001-00'!DUNine</vt:lpstr>
      <vt:lpstr>'GVLA|0348-00'!DUNine</vt:lpstr>
      <vt:lpstr>'GVLA|0426-00'!DUNine</vt:lpstr>
      <vt:lpstr>DUNine</vt:lpstr>
      <vt:lpstr>'GVLA|0001-00'!DUThirteen</vt:lpstr>
      <vt:lpstr>'GVLA|0348-00'!DUThirteen</vt:lpstr>
      <vt:lpstr>'GVLA|0426-00'!DUThirteen</vt:lpstr>
      <vt:lpstr>DUThirteen</vt:lpstr>
      <vt:lpstr>'GVLA|0001-00'!DUVariableBen</vt:lpstr>
      <vt:lpstr>'GVLA|0348-00'!DUVariableBen</vt:lpstr>
      <vt:lpstr>'GVLA|0426-00'!DUVariableBen</vt:lpstr>
      <vt:lpstr>DUVariableBen</vt:lpstr>
      <vt:lpstr>'GVLA|0001-00'!Elect_chg_health</vt:lpstr>
      <vt:lpstr>'GVLA|0348-00'!Elect_chg_health</vt:lpstr>
      <vt:lpstr>'GVLA|0426-00'!Elect_chg_health</vt:lpstr>
      <vt:lpstr>Elect_chg_health</vt:lpstr>
      <vt:lpstr>'GVLA|0001-00'!Elect_chg_Var</vt:lpstr>
      <vt:lpstr>'GVLA|0348-00'!Elect_chg_Var</vt:lpstr>
      <vt:lpstr>'GVLA|0426-00'!Elect_chg_Var</vt:lpstr>
      <vt:lpstr>Elect_chg_Var</vt:lpstr>
      <vt:lpstr>'GVLA|0001-00'!elect_FTP</vt:lpstr>
      <vt:lpstr>'GVLA|0348-00'!elect_FTP</vt:lpstr>
      <vt:lpstr>'GVLA|0426-00'!elect_FTP</vt:lpstr>
      <vt:lpstr>elect_FTP</vt:lpstr>
      <vt:lpstr>'GVLA|0001-00'!Elect_health</vt:lpstr>
      <vt:lpstr>'GVLA|0348-00'!Elect_health</vt:lpstr>
      <vt:lpstr>'GVLA|0426-00'!Elect_health</vt:lpstr>
      <vt:lpstr>Elect_health</vt:lpstr>
      <vt:lpstr>'GVLA|0001-00'!Elect_name</vt:lpstr>
      <vt:lpstr>'GVLA|0348-00'!Elect_name</vt:lpstr>
      <vt:lpstr>'GVLA|0426-00'!Elect_name</vt:lpstr>
      <vt:lpstr>Elect_name</vt:lpstr>
      <vt:lpstr>'GVLA|0001-00'!Elect_salary</vt:lpstr>
      <vt:lpstr>'GVLA|0348-00'!Elect_salary</vt:lpstr>
      <vt:lpstr>'GVLA|0426-00'!Elect_salary</vt:lpstr>
      <vt:lpstr>Elect_salary</vt:lpstr>
      <vt:lpstr>'GVLA|0001-00'!Elect_Var</vt:lpstr>
      <vt:lpstr>'GVLA|0348-00'!Elect_Var</vt:lpstr>
      <vt:lpstr>'GVLA|0426-00'!Elect_Var</vt:lpstr>
      <vt:lpstr>Elect_Var</vt:lpstr>
      <vt:lpstr>'GVLA|0001-00'!Elect_VarBen</vt:lpstr>
      <vt:lpstr>'GVLA|0348-00'!Elect_VarBen</vt:lpstr>
      <vt:lpstr>'GVLA|0426-00'!Elect_VarBen</vt:lpstr>
      <vt:lpstr>Elect_VarBen</vt:lpstr>
      <vt:lpstr>ElectVB</vt:lpstr>
      <vt:lpstr>ElectVBBY</vt:lpstr>
      <vt:lpstr>ElectVBCHG</vt:lpstr>
      <vt:lpstr>FillRate_Avg</vt:lpstr>
      <vt:lpstr>'GVLA|0001-00'!FiscalYear</vt:lpstr>
      <vt:lpstr>'GVLA|0348-00'!FiscalYear</vt:lpstr>
      <vt:lpstr>'GVLA|0426-00'!FiscalYear</vt:lpstr>
      <vt:lpstr>FiscalYear</vt:lpstr>
      <vt:lpstr>'GVLA|0001-00'!FundName</vt:lpstr>
      <vt:lpstr>'GVLA|0348-00'!FundName</vt:lpstr>
      <vt:lpstr>'GVLA|0426-00'!FundName</vt:lpstr>
      <vt:lpstr>FundName</vt:lpstr>
      <vt:lpstr>'GVLA|0001-00'!FundNum</vt:lpstr>
      <vt:lpstr>'GVLA|0348-00'!FundNum</vt:lpstr>
      <vt:lpstr>'GVLA|0426-00'!FundNum</vt:lpstr>
      <vt:lpstr>FundNum</vt:lpstr>
      <vt:lpstr>'GVLA|0001-00'!FundNumber</vt:lpstr>
      <vt:lpstr>'GVLA|0348-00'!FundNumber</vt:lpstr>
      <vt:lpstr>'GVLA|0426-00'!FundNumber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'GVLA|0001-00'!Group_name</vt:lpstr>
      <vt:lpstr>'GVLA|0348-00'!Group_name</vt:lpstr>
      <vt:lpstr>'GVLA|0426-00'!Group_name</vt:lpstr>
      <vt:lpstr>Group_name</vt:lpstr>
      <vt:lpstr>'GVLA|0001-00'!GroupFxdBen</vt:lpstr>
      <vt:lpstr>'GVLA|0348-00'!GroupFxdBen</vt:lpstr>
      <vt:lpstr>'GVLA|0426-00'!GroupFxdBen</vt:lpstr>
      <vt:lpstr>GroupFxdBen</vt:lpstr>
      <vt:lpstr>'GVLA|0001-00'!GroupSalary</vt:lpstr>
      <vt:lpstr>'GVLA|0348-00'!GroupSalary</vt:lpstr>
      <vt:lpstr>'GVLA|0426-00'!GroupSalary</vt:lpstr>
      <vt:lpstr>GroupSalary</vt:lpstr>
      <vt:lpstr>'GVLA|0001-00'!GroupVarBen</vt:lpstr>
      <vt:lpstr>'GVLA|0348-00'!GroupVarBen</vt:lpstr>
      <vt:lpstr>'GVLA|0426-00'!GroupVarBen</vt:lpstr>
      <vt:lpstr>GroupVarBen</vt:lpstr>
      <vt:lpstr>GroupVB</vt:lpstr>
      <vt:lpstr>GroupVBBY</vt:lpstr>
      <vt:lpstr>GroupVBCHG</vt:lpstr>
      <vt:lpstr>GVLA000100col_1_27TH_PP</vt:lpstr>
      <vt:lpstr>GVLA000100col_DHR</vt:lpstr>
      <vt:lpstr>GVLA000100col_DHR_BY</vt:lpstr>
      <vt:lpstr>GVLA000100col_DHR_CHG</vt:lpstr>
      <vt:lpstr>GVLA000100col_FTI_SALARY_ELECT</vt:lpstr>
      <vt:lpstr>GVLA000100col_FTI_SALARY_PERM</vt:lpstr>
      <vt:lpstr>GVLA000100col_FTI_SALARY_SSDI</vt:lpstr>
      <vt:lpstr>GVLA000100col_Group_Ben</vt:lpstr>
      <vt:lpstr>GVLA000100col_Group_Salary</vt:lpstr>
      <vt:lpstr>GVLA000100col_HEALTH_ELECT</vt:lpstr>
      <vt:lpstr>GVLA000100col_HEALTH_ELECT_BY</vt:lpstr>
      <vt:lpstr>GVLA000100col_HEALTH_ELECT_CHG</vt:lpstr>
      <vt:lpstr>GVLA000100col_HEALTH_PERM</vt:lpstr>
      <vt:lpstr>GVLA000100col_HEALTH_PERM_BY</vt:lpstr>
      <vt:lpstr>GVLA000100col_HEALTH_PERM_CHG</vt:lpstr>
      <vt:lpstr>GVLA000100col_INC_FTI</vt:lpstr>
      <vt:lpstr>GVLA000100col_LIFE_INS</vt:lpstr>
      <vt:lpstr>GVLA000100col_LIFE_INS_BY</vt:lpstr>
      <vt:lpstr>GVLA000100col_LIFE_INS_CHG</vt:lpstr>
      <vt:lpstr>GVLA000100col_RETIREMENT</vt:lpstr>
      <vt:lpstr>GVLA000100col_RETIREMENT_BY</vt:lpstr>
      <vt:lpstr>GVLA000100col_RETIREMENT_CHG</vt:lpstr>
      <vt:lpstr>GVLA000100col_ROWS_PER_PCN</vt:lpstr>
      <vt:lpstr>GVLA000100col_SICK</vt:lpstr>
      <vt:lpstr>GVLA000100col_SICK_BY</vt:lpstr>
      <vt:lpstr>GVLA000100col_SICK_CHG</vt:lpstr>
      <vt:lpstr>GVLA000100col_SSDI</vt:lpstr>
      <vt:lpstr>GVLA000100col_SSDI_BY</vt:lpstr>
      <vt:lpstr>GVLA000100col_SSDI_CHG</vt:lpstr>
      <vt:lpstr>GVLA000100col_SSHI</vt:lpstr>
      <vt:lpstr>GVLA000100col_SSHI_BY</vt:lpstr>
      <vt:lpstr>GVLA000100col_SSHI_CHGv</vt:lpstr>
      <vt:lpstr>GVLA000100col_TOT_VB_ELECT</vt:lpstr>
      <vt:lpstr>GVLA000100col_TOT_VB_ELECT_BY</vt:lpstr>
      <vt:lpstr>GVLA000100col_TOT_VB_ELECT_CHG</vt:lpstr>
      <vt:lpstr>GVLA000100col_TOT_VB_PERM</vt:lpstr>
      <vt:lpstr>GVLA000100col_TOT_VB_PERM_BY</vt:lpstr>
      <vt:lpstr>GVLA000100col_TOT_VB_PERM_CHG</vt:lpstr>
      <vt:lpstr>GVLA000100col_TOTAL_ELECT_PCN_FTI</vt:lpstr>
      <vt:lpstr>GVLA000100col_TOTAL_ELECT_PCN_FTI_ALT</vt:lpstr>
      <vt:lpstr>GVLA000100col_TOTAL_PERM_PCN_FTI</vt:lpstr>
      <vt:lpstr>GVLA000100col_UNEMP_INS</vt:lpstr>
      <vt:lpstr>GVLA000100col_UNEMP_INS_BY</vt:lpstr>
      <vt:lpstr>GVLA000100col_UNEMP_INS_CHG</vt:lpstr>
      <vt:lpstr>GVLA000100col_WORKERS_COMP</vt:lpstr>
      <vt:lpstr>GVLA000100col_WORKERS_COMP_BY</vt:lpstr>
      <vt:lpstr>GVLA000100col_WORKERS_COMP_CHG</vt:lpstr>
      <vt:lpstr>GVLA034800col_1_27TH_PP</vt:lpstr>
      <vt:lpstr>GVLA034800col_DHR</vt:lpstr>
      <vt:lpstr>GVLA034800col_DHR_BY</vt:lpstr>
      <vt:lpstr>GVLA034800col_DHR_CHG</vt:lpstr>
      <vt:lpstr>GVLA034800col_FTI_SALARY_ELECT</vt:lpstr>
      <vt:lpstr>GVLA034800col_FTI_SALARY_PERM</vt:lpstr>
      <vt:lpstr>GVLA034800col_FTI_SALARY_SSDI</vt:lpstr>
      <vt:lpstr>GVLA034800col_Group_Ben</vt:lpstr>
      <vt:lpstr>GVLA034800col_Group_Salary</vt:lpstr>
      <vt:lpstr>GVLA034800col_HEALTH_ELECT</vt:lpstr>
      <vt:lpstr>GVLA034800col_HEALTH_ELECT_BY</vt:lpstr>
      <vt:lpstr>GVLA034800col_HEALTH_ELECT_CHG</vt:lpstr>
      <vt:lpstr>GVLA034800col_HEALTH_PERM</vt:lpstr>
      <vt:lpstr>GVLA034800col_HEALTH_PERM_BY</vt:lpstr>
      <vt:lpstr>GVLA034800col_HEALTH_PERM_CHG</vt:lpstr>
      <vt:lpstr>GVLA034800col_INC_FTI</vt:lpstr>
      <vt:lpstr>GVLA034800col_LIFE_INS</vt:lpstr>
      <vt:lpstr>GVLA034800col_LIFE_INS_BY</vt:lpstr>
      <vt:lpstr>GVLA034800col_LIFE_INS_CHG</vt:lpstr>
      <vt:lpstr>GVLA034800col_RETIREMENT</vt:lpstr>
      <vt:lpstr>GVLA034800col_RETIREMENT_BY</vt:lpstr>
      <vt:lpstr>GVLA034800col_RETIREMENT_CHG</vt:lpstr>
      <vt:lpstr>GVLA034800col_ROWS_PER_PCN</vt:lpstr>
      <vt:lpstr>GVLA034800col_SICK</vt:lpstr>
      <vt:lpstr>GVLA034800col_SICK_BY</vt:lpstr>
      <vt:lpstr>GVLA034800col_SICK_CHG</vt:lpstr>
      <vt:lpstr>GVLA034800col_SSDI</vt:lpstr>
      <vt:lpstr>GVLA034800col_SSDI_BY</vt:lpstr>
      <vt:lpstr>GVLA034800col_SSDI_CHG</vt:lpstr>
      <vt:lpstr>GVLA034800col_SSHI</vt:lpstr>
      <vt:lpstr>GVLA034800col_SSHI_BY</vt:lpstr>
      <vt:lpstr>GVLA034800col_SSHI_CHGv</vt:lpstr>
      <vt:lpstr>GVLA034800col_TOT_VB_ELECT</vt:lpstr>
      <vt:lpstr>GVLA034800col_TOT_VB_ELECT_BY</vt:lpstr>
      <vt:lpstr>GVLA034800col_TOT_VB_ELECT_CHG</vt:lpstr>
      <vt:lpstr>GVLA034800col_TOT_VB_PERM</vt:lpstr>
      <vt:lpstr>GVLA034800col_TOT_VB_PERM_BY</vt:lpstr>
      <vt:lpstr>GVLA034800col_TOT_VB_PERM_CHG</vt:lpstr>
      <vt:lpstr>GVLA034800col_TOTAL_ELECT_PCN_FTI</vt:lpstr>
      <vt:lpstr>GVLA034800col_TOTAL_ELECT_PCN_FTI_ALT</vt:lpstr>
      <vt:lpstr>GVLA034800col_TOTAL_PERM_PCN_FTI</vt:lpstr>
      <vt:lpstr>GVLA034800col_UNEMP_INS</vt:lpstr>
      <vt:lpstr>GVLA034800col_UNEMP_INS_BY</vt:lpstr>
      <vt:lpstr>GVLA034800col_UNEMP_INS_CHG</vt:lpstr>
      <vt:lpstr>GVLA034800col_WORKERS_COMP</vt:lpstr>
      <vt:lpstr>GVLA034800col_WORKERS_COMP_BY</vt:lpstr>
      <vt:lpstr>GVLA034800col_WORKERS_COMP_CHG</vt:lpstr>
      <vt:lpstr>GVLA042600col_1_27TH_PP</vt:lpstr>
      <vt:lpstr>GVLA042600col_DHR</vt:lpstr>
      <vt:lpstr>GVLA042600col_DHR_BY</vt:lpstr>
      <vt:lpstr>GVLA042600col_DHR_CHG</vt:lpstr>
      <vt:lpstr>GVLA042600col_FTI_SALARY_ELECT</vt:lpstr>
      <vt:lpstr>GVLA042600col_FTI_SALARY_PERM</vt:lpstr>
      <vt:lpstr>GVLA042600col_FTI_SALARY_SSDI</vt:lpstr>
      <vt:lpstr>GVLA042600col_Group_Ben</vt:lpstr>
      <vt:lpstr>GVLA042600col_Group_Salary</vt:lpstr>
      <vt:lpstr>GVLA042600col_HEALTH_ELECT</vt:lpstr>
      <vt:lpstr>GVLA042600col_HEALTH_ELECT_BY</vt:lpstr>
      <vt:lpstr>GVLA042600col_HEALTH_ELECT_CHG</vt:lpstr>
      <vt:lpstr>GVLA042600col_HEALTH_PERM</vt:lpstr>
      <vt:lpstr>GVLA042600col_HEALTH_PERM_BY</vt:lpstr>
      <vt:lpstr>GVLA042600col_HEALTH_PERM_CHG</vt:lpstr>
      <vt:lpstr>GVLA042600col_INC_FTI</vt:lpstr>
      <vt:lpstr>GVLA042600col_LIFE_INS</vt:lpstr>
      <vt:lpstr>GVLA042600col_LIFE_INS_BY</vt:lpstr>
      <vt:lpstr>GVLA042600col_LIFE_INS_CHG</vt:lpstr>
      <vt:lpstr>GVLA042600col_RETIREMENT</vt:lpstr>
      <vt:lpstr>GVLA042600col_RETIREMENT_BY</vt:lpstr>
      <vt:lpstr>GVLA042600col_RETIREMENT_CHG</vt:lpstr>
      <vt:lpstr>GVLA042600col_ROWS_PER_PCN</vt:lpstr>
      <vt:lpstr>GVLA042600col_SICK</vt:lpstr>
      <vt:lpstr>GVLA042600col_SICK_BY</vt:lpstr>
      <vt:lpstr>GVLA042600col_SICK_CHG</vt:lpstr>
      <vt:lpstr>GVLA042600col_SSDI</vt:lpstr>
      <vt:lpstr>GVLA042600col_SSDI_BY</vt:lpstr>
      <vt:lpstr>GVLA042600col_SSDI_CHG</vt:lpstr>
      <vt:lpstr>GVLA042600col_SSHI</vt:lpstr>
      <vt:lpstr>GVLA042600col_SSHI_BY</vt:lpstr>
      <vt:lpstr>GVLA042600col_SSHI_CHGv</vt:lpstr>
      <vt:lpstr>GVLA042600col_TOT_VB_ELECT</vt:lpstr>
      <vt:lpstr>GVLA042600col_TOT_VB_ELECT_BY</vt:lpstr>
      <vt:lpstr>GVLA042600col_TOT_VB_ELECT_CHG</vt:lpstr>
      <vt:lpstr>GVLA042600col_TOT_VB_PERM</vt:lpstr>
      <vt:lpstr>GVLA042600col_TOT_VB_PERM_BY</vt:lpstr>
      <vt:lpstr>GVLA042600col_TOT_VB_PERM_CHG</vt:lpstr>
      <vt:lpstr>GVLA042600col_TOTAL_ELECT_PCN_FTI</vt:lpstr>
      <vt:lpstr>GVLA042600col_TOTAL_ELECT_PCN_FTI_ALT</vt:lpstr>
      <vt:lpstr>GVLA042600col_TOTAL_PERM_PCN_FTI</vt:lpstr>
      <vt:lpstr>GVLA042600col_UNEMP_INS</vt:lpstr>
      <vt:lpstr>GVLA042600col_UNEMP_INS_BY</vt:lpstr>
      <vt:lpstr>GVLA042600col_UNEMP_INS_CHG</vt:lpstr>
      <vt:lpstr>GVLA042600col_WORKERS_COMP</vt:lpstr>
      <vt:lpstr>GVLA042600col_WORKERS_COMP_BY</vt:lpstr>
      <vt:lpstr>GVLA042600col_WORKERS_COMP_CHG</vt:lpstr>
      <vt:lpstr>Health</vt:lpstr>
      <vt:lpstr>HealthBY</vt:lpstr>
      <vt:lpstr>HealthCHG</vt:lpstr>
      <vt:lpstr>Life</vt:lpstr>
      <vt:lpstr>LifeBY</vt:lpstr>
      <vt:lpstr>LifeCHG</vt:lpstr>
      <vt:lpstr>'GVLA|0001-00'!LUMAFund</vt:lpstr>
      <vt:lpstr>'GVLA|0348-00'!LUMAFund</vt:lpstr>
      <vt:lpstr>'GVLA|0426-00'!LUMAFund</vt:lpstr>
      <vt:lpstr>LUMAFund</vt:lpstr>
      <vt:lpstr>MAXSSDI</vt:lpstr>
      <vt:lpstr>MAXSSDIBY</vt:lpstr>
      <vt:lpstr>'GVLA|0001-00'!NEW_AdjGroup</vt:lpstr>
      <vt:lpstr>'GVLA|0348-00'!NEW_AdjGroup</vt:lpstr>
      <vt:lpstr>'GVLA|0426-00'!NEW_AdjGroup</vt:lpstr>
      <vt:lpstr>NEW_AdjGroup</vt:lpstr>
      <vt:lpstr>'GVLA|0001-00'!NEW_AdjGroupSalary</vt:lpstr>
      <vt:lpstr>'GVLA|0348-00'!NEW_AdjGroupSalary</vt:lpstr>
      <vt:lpstr>'GVLA|0426-00'!NEW_AdjGroupSalary</vt:lpstr>
      <vt:lpstr>NEW_AdjGroupSalary</vt:lpstr>
      <vt:lpstr>'GVLA|0001-00'!NEW_AdjGroupVB</vt:lpstr>
      <vt:lpstr>'GVLA|0348-00'!NEW_AdjGroupVB</vt:lpstr>
      <vt:lpstr>'GVLA|0426-00'!NEW_AdjGroupVB</vt:lpstr>
      <vt:lpstr>NEW_AdjGroupVB</vt:lpstr>
      <vt:lpstr>'GVLA|0001-00'!NEW_AdjONLYGroup</vt:lpstr>
      <vt:lpstr>'GVLA|0348-00'!NEW_AdjONLYGroup</vt:lpstr>
      <vt:lpstr>'GVLA|0426-00'!NEW_AdjONLYGroup</vt:lpstr>
      <vt:lpstr>NEW_AdjONLYGroup</vt:lpstr>
      <vt:lpstr>'GVLA|0001-00'!NEW_AdjONLYGroupSalary</vt:lpstr>
      <vt:lpstr>'GVLA|0348-00'!NEW_AdjONLYGroupSalary</vt:lpstr>
      <vt:lpstr>'GVLA|0426-00'!NEW_AdjONLYGroupSalary</vt:lpstr>
      <vt:lpstr>NEW_AdjONLYGroupSalary</vt:lpstr>
      <vt:lpstr>'GVLA|0001-00'!NEW_AdjONLYGroupVB</vt:lpstr>
      <vt:lpstr>'GVLA|0348-00'!NEW_AdjONLYGroupVB</vt:lpstr>
      <vt:lpstr>'GVLA|0426-00'!NEW_AdjONLYGroupVB</vt:lpstr>
      <vt:lpstr>NEW_AdjONLYGroupVB</vt:lpstr>
      <vt:lpstr>'GVLA|0001-00'!NEW_AdjONLYPerm</vt:lpstr>
      <vt:lpstr>'GVLA|0348-00'!NEW_AdjONLYPerm</vt:lpstr>
      <vt:lpstr>'GVLA|0426-00'!NEW_AdjONLYPerm</vt:lpstr>
      <vt:lpstr>NEW_AdjONLYPerm</vt:lpstr>
      <vt:lpstr>'GVLA|0001-00'!NEW_AdjONLYPermSalary</vt:lpstr>
      <vt:lpstr>'GVLA|0348-00'!NEW_AdjONLYPermSalary</vt:lpstr>
      <vt:lpstr>'GVLA|0426-00'!NEW_AdjONLYPermSalary</vt:lpstr>
      <vt:lpstr>NEW_AdjONLYPermSalary</vt:lpstr>
      <vt:lpstr>'GVLA|0001-00'!NEW_AdjONLYPermVB</vt:lpstr>
      <vt:lpstr>'GVLA|0348-00'!NEW_AdjONLYPermVB</vt:lpstr>
      <vt:lpstr>'GVLA|0426-00'!NEW_AdjONLYPermVB</vt:lpstr>
      <vt:lpstr>NEW_AdjONLYPermVB</vt:lpstr>
      <vt:lpstr>'GVLA|0001-00'!NEW_AdjPerm</vt:lpstr>
      <vt:lpstr>'GVLA|0348-00'!NEW_AdjPerm</vt:lpstr>
      <vt:lpstr>'GVLA|0426-00'!NEW_AdjPerm</vt:lpstr>
      <vt:lpstr>NEW_AdjPerm</vt:lpstr>
      <vt:lpstr>'GVLA|0001-00'!NEW_AdjPermSalary</vt:lpstr>
      <vt:lpstr>'GVLA|0348-00'!NEW_AdjPermSalary</vt:lpstr>
      <vt:lpstr>'GVLA|0426-00'!NEW_AdjPermSalary</vt:lpstr>
      <vt:lpstr>NEW_AdjPermSalary</vt:lpstr>
      <vt:lpstr>'GVLA|0001-00'!NEW_AdjPermVB</vt:lpstr>
      <vt:lpstr>'GVLA|0348-00'!NEW_AdjPermVB</vt:lpstr>
      <vt:lpstr>'GVLA|0426-00'!NEW_AdjPermVB</vt:lpstr>
      <vt:lpstr>NEW_AdjPermVB</vt:lpstr>
      <vt:lpstr>'GVLA|0001-00'!NEW_GroupFilled</vt:lpstr>
      <vt:lpstr>'GVLA|0348-00'!NEW_GroupFilled</vt:lpstr>
      <vt:lpstr>'GVLA|0426-00'!NEW_GroupFilled</vt:lpstr>
      <vt:lpstr>NEW_GroupFilled</vt:lpstr>
      <vt:lpstr>'GVLA|0001-00'!NEW_GroupSalaryFilled</vt:lpstr>
      <vt:lpstr>'GVLA|0348-00'!NEW_GroupSalaryFilled</vt:lpstr>
      <vt:lpstr>'GVLA|0426-00'!NEW_GroupSalaryFilled</vt:lpstr>
      <vt:lpstr>NEW_GroupSalaryFilled</vt:lpstr>
      <vt:lpstr>'GVLA|0001-00'!NEW_GroupVBFilled</vt:lpstr>
      <vt:lpstr>'GVLA|0348-00'!NEW_GroupVBFilled</vt:lpstr>
      <vt:lpstr>'GVLA|0426-00'!NEW_GroupVBFilled</vt:lpstr>
      <vt:lpstr>NEW_GroupVBFilled</vt:lpstr>
      <vt:lpstr>'GVLA|0001-00'!NEW_PermFilled</vt:lpstr>
      <vt:lpstr>'GVLA|0348-00'!NEW_PermFilled</vt:lpstr>
      <vt:lpstr>'GVLA|0426-00'!NEW_PermFilled</vt:lpstr>
      <vt:lpstr>NEW_PermFilled</vt:lpstr>
      <vt:lpstr>'GVLA|0001-00'!NEW_PermSalaryFilled</vt:lpstr>
      <vt:lpstr>'GVLA|0348-00'!NEW_PermSalaryFilled</vt:lpstr>
      <vt:lpstr>'GVLA|0426-00'!NEW_PermSalaryFilled</vt:lpstr>
      <vt:lpstr>NEW_PermSalaryFilled</vt:lpstr>
      <vt:lpstr>'GVLA|0001-00'!NEW_PermVBFilled</vt:lpstr>
      <vt:lpstr>'GVLA|0348-00'!NEW_PermVBFilled</vt:lpstr>
      <vt:lpstr>'GVLA|0426-00'!NEW_PermVBFilled</vt:lpstr>
      <vt:lpstr>NEW_PermVBFilled</vt:lpstr>
      <vt:lpstr>'GVLA|0001-00'!OneTimePC_Total</vt:lpstr>
      <vt:lpstr>'GVLA|0348-00'!OneTimePC_Total</vt:lpstr>
      <vt:lpstr>'GVLA|0426-00'!OneTimePC_Total</vt:lpstr>
      <vt:lpstr>OneTimePC_Total</vt:lpstr>
      <vt:lpstr>'GVLA|0001-00'!OrigApprop</vt:lpstr>
      <vt:lpstr>'GVLA|0348-00'!OrigApprop</vt:lpstr>
      <vt:lpstr>'GVLA|0426-00'!OrigApprop</vt:lpstr>
      <vt:lpstr>OrigApprop</vt:lpstr>
      <vt:lpstr>'GVLA|0001-00'!perm_name</vt:lpstr>
      <vt:lpstr>'GVLA|0348-00'!perm_name</vt:lpstr>
      <vt:lpstr>'GVLA|0426-00'!perm_name</vt:lpstr>
      <vt:lpstr>perm_name</vt:lpstr>
      <vt:lpstr>'GVLA|0001-00'!PermFTP</vt:lpstr>
      <vt:lpstr>'GVLA|0348-00'!PermFTP</vt:lpstr>
      <vt:lpstr>'GVLA|0426-00'!PermFTP</vt:lpstr>
      <vt:lpstr>PermFTP</vt:lpstr>
      <vt:lpstr>'GVLA|0001-00'!PermFxdBen</vt:lpstr>
      <vt:lpstr>'GVLA|0348-00'!PermFxdBen</vt:lpstr>
      <vt:lpstr>'GVLA|0426-00'!PermFxdBen</vt:lpstr>
      <vt:lpstr>PermFxdBen</vt:lpstr>
      <vt:lpstr>'GVLA|0001-00'!PermFxdBenChg</vt:lpstr>
      <vt:lpstr>'GVLA|0348-00'!PermFxdBenChg</vt:lpstr>
      <vt:lpstr>'GVLA|0426-00'!PermFxdBenChg</vt:lpstr>
      <vt:lpstr>PermFxdBenChg</vt:lpstr>
      <vt:lpstr>'GVLA|0001-00'!PermFxdChg</vt:lpstr>
      <vt:lpstr>'GVLA|0348-00'!PermFxdChg</vt:lpstr>
      <vt:lpstr>'GVLA|0426-00'!PermFxdChg</vt:lpstr>
      <vt:lpstr>PermFxdChg</vt:lpstr>
      <vt:lpstr>'GVLA|0001-00'!PermSalary</vt:lpstr>
      <vt:lpstr>'GVLA|0348-00'!PermSalary</vt:lpstr>
      <vt:lpstr>'GVLA|0426-00'!PermSalary</vt:lpstr>
      <vt:lpstr>PermSalary</vt:lpstr>
      <vt:lpstr>'GVLA|0001-00'!PermVarBen</vt:lpstr>
      <vt:lpstr>'GVLA|0348-00'!PermVarBen</vt:lpstr>
      <vt:lpstr>'GVLA|0426-00'!PermVarBen</vt:lpstr>
      <vt:lpstr>PermVarBen</vt:lpstr>
      <vt:lpstr>'GVLA|0001-00'!PermVarBenChg</vt:lpstr>
      <vt:lpstr>'GVLA|0348-00'!PermVarBenChg</vt:lpstr>
      <vt:lpstr>'GVLA|0426-00'!PermVarBenChg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'GVLA|0001-00'!Print_Area</vt:lpstr>
      <vt:lpstr>'GVLA|0348-00'!Print_Area</vt:lpstr>
      <vt:lpstr>'GVLA|0426-00'!Print_Area</vt:lpstr>
      <vt:lpstr>'GVLA|0001-00'!Prog_Unadjusted_Total</vt:lpstr>
      <vt:lpstr>'GVLA|0348-00'!Prog_Unadjusted_Total</vt:lpstr>
      <vt:lpstr>'GVLA|0426-00'!Prog_Unadjusted_Total</vt:lpstr>
      <vt:lpstr>Prog_Unadjusted_Total</vt:lpstr>
      <vt:lpstr>'GVLA|0001-00'!Program</vt:lpstr>
      <vt:lpstr>'GVLA|0348-00'!Program</vt:lpstr>
      <vt:lpstr>'GVLA|0426-00'!Program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'GVLA|0001-00'!RoundedAppropSalary</vt:lpstr>
      <vt:lpstr>'GVLA|0348-00'!RoundedAppropSalary</vt:lpstr>
      <vt:lpstr>'GVLA|0426-00'!RoundedAppropSalary</vt:lpstr>
      <vt:lpstr>RoundedAppropSalary</vt:lpstr>
      <vt:lpstr>'GVLA|0001-00'!SalaryChg</vt:lpstr>
      <vt:lpstr>'GVLA|0348-00'!SalaryChg</vt:lpstr>
      <vt:lpstr>'GVLA|0426-00'!SalaryChg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190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2021-07-14T23:57:24Z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