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inslow\AppData\Local\Temp\B6Run\FY2023\"/>
    </mc:Choice>
  </mc:AlternateContent>
  <xr:revisionPtr revIDLastSave="0" documentId="13_ncr:1_{66A36613-E55A-4B93-BCE0-BD448EFA1686}" xr6:coauthVersionLast="45" xr6:coauthVersionMax="45" xr10:uidLastSave="{00000000-0000-0000-0000-000000000000}"/>
  <bookViews>
    <workbookView xWindow="4896" yWindow="1368" windowWidth="17280" windowHeight="8964" xr2:uid="{00000000-000D-0000-FFFF-FFFF00000000}"/>
  </bookViews>
  <sheets>
    <sheet name="GVHR|0475-12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'GVHR|0475-12'!$H$39</definedName>
    <definedName name="AdjGroupHlth">'B6'!$H$39</definedName>
    <definedName name="AdjGroupSalary" localSheetId="0">'GVHR|0475-12'!$G$39</definedName>
    <definedName name="AdjGroupSalary">'B6'!$G$39</definedName>
    <definedName name="AdjGroupVB" localSheetId="0">'GVHR|0475-12'!$I$39</definedName>
    <definedName name="AdjGroupVB">'B6'!$I$39</definedName>
    <definedName name="AdjGroupVBBY" localSheetId="0">'GVHR|0475-12'!$M$39</definedName>
    <definedName name="AdjGroupVBBY">'B6'!$M$39</definedName>
    <definedName name="AdjPermHlth" localSheetId="0">'GVHR|0475-12'!$H$38</definedName>
    <definedName name="AdjPermHlth">'B6'!$H$38</definedName>
    <definedName name="AdjPermHlthBY" localSheetId="0">'GVHR|0475-12'!$L$38</definedName>
    <definedName name="AdjPermHlthBY">'B6'!$L$38</definedName>
    <definedName name="AdjPermSalary" localSheetId="0">'GVHR|0475-12'!$G$38</definedName>
    <definedName name="AdjPermSalary">'B6'!$G$38</definedName>
    <definedName name="AdjPermVB" localSheetId="0">'GVHR|0475-12'!$I$38</definedName>
    <definedName name="AdjPermVB">'B6'!$I$38</definedName>
    <definedName name="AdjPermVBBY" localSheetId="0">'GVHR|0475-12'!$M$38</definedName>
    <definedName name="AdjPermVBBY">'B6'!$M$38</definedName>
    <definedName name="AdjustedTotal" localSheetId="0">'GVHR|0475-12'!$J$16</definedName>
    <definedName name="AdjustedTotal">'B6'!$J$16</definedName>
    <definedName name="AgencyNum" localSheetId="0">'GVHR|0475-12'!$M$1</definedName>
    <definedName name="AgencyNum">'B6'!$M$1</definedName>
    <definedName name="AppropFTP" localSheetId="0">'GVHR|0475-12'!$F$15</definedName>
    <definedName name="AppropFTP">'B6'!$F$15</definedName>
    <definedName name="AppropTotal" localSheetId="0">'GVHR|0475-12'!$J$15</definedName>
    <definedName name="AppropTotal">'B6'!$J$15</definedName>
    <definedName name="AtZHealth" localSheetId="0">'GVHR|0475-12'!$H$45</definedName>
    <definedName name="AtZHealth">'B6'!$H$45</definedName>
    <definedName name="AtZSalary" localSheetId="0">'GVHR|0475-12'!$G$45</definedName>
    <definedName name="AtZSalary">'B6'!$G$45</definedName>
    <definedName name="AtZTotal" localSheetId="0">'GVHR|0475-12'!$J$45</definedName>
    <definedName name="AtZTotal">'B6'!$J$45</definedName>
    <definedName name="AtZVarBen" localSheetId="0">'GVHR|0475-12'!$I$45</definedName>
    <definedName name="AtZVarBen">'B6'!$I$45</definedName>
    <definedName name="BudgetUnit" localSheetId="0">'GVHR|0475-12'!$M$3</definedName>
    <definedName name="BudgetUnit">'B6'!$M$3</definedName>
    <definedName name="BudgetYear">Benefits!$D$4</definedName>
    <definedName name="CECGroup">Benefits!$C$39</definedName>
    <definedName name="CECOrigElectSalary" localSheetId="0">'GVHR|0475-12'!$G$74</definedName>
    <definedName name="CECOrigElectSalary">'B6'!$G$74</definedName>
    <definedName name="CECOrigElectVB" localSheetId="0">'GVHR|0475-12'!$I$74</definedName>
    <definedName name="CECOrigElectVB">'B6'!$I$74</definedName>
    <definedName name="CECOrigGroupSalary" localSheetId="0">'GVHR|0475-12'!$G$73</definedName>
    <definedName name="CECOrigGroupSalary">'B6'!$G$73</definedName>
    <definedName name="CECOrigGroupVB" localSheetId="0">'GVHR|0475-12'!$I$73</definedName>
    <definedName name="CECOrigGroupVB">'B6'!$I$73</definedName>
    <definedName name="CECOrigPermSalary" localSheetId="0">'GVHR|0475-12'!$G$72</definedName>
    <definedName name="CECOrigPermSalary">'B6'!$G$72</definedName>
    <definedName name="CECOrigPermVB" localSheetId="0">'GVHR|0475-12'!$I$72</definedName>
    <definedName name="CECOrigPermVB">'B6'!$I$72</definedName>
    <definedName name="CECPerm">Benefits!$C$38</definedName>
    <definedName name="CECpermCalc" localSheetId="0">'GVHR|0475-12'!$E$72</definedName>
    <definedName name="CECpermCalc">'B6'!$E$72</definedName>
    <definedName name="Department" localSheetId="0">'GVHR|0475-12'!$D$1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'GVHR|0475-12'!$D$2</definedName>
    <definedName name="Division">'B6'!$D$2</definedName>
    <definedName name="DUCECElect" localSheetId="0">'GVHR|0475-12'!$J$74</definedName>
    <definedName name="DUCECElect">'B6'!$J$74</definedName>
    <definedName name="DUCECGroup" localSheetId="0">'GVHR|0475-12'!$J$73</definedName>
    <definedName name="DUCECGroup">'B6'!$J$73</definedName>
    <definedName name="DUCECPerm" localSheetId="0">'GVHR|0475-12'!$J$72</definedName>
    <definedName name="DUCECPerm">'B6'!$J$72</definedName>
    <definedName name="DUEleven" localSheetId="0">'GVHR|0475-12'!$J$75</definedName>
    <definedName name="DUEleven">'B6'!$J$75</definedName>
    <definedName name="DUHealthBen" localSheetId="0">'GVHR|0475-12'!$J$68</definedName>
    <definedName name="DUHealthBen">'B6'!$J$68</definedName>
    <definedName name="DUNine" localSheetId="0">'GVHR|0475-12'!$J$67</definedName>
    <definedName name="DUNine">'B6'!$J$67</definedName>
    <definedName name="DUThirteen" localSheetId="0">'GVHR|0475-12'!$J$80</definedName>
    <definedName name="DUThirteen">'B6'!$J$80</definedName>
    <definedName name="DUVariableBen" localSheetId="0">'GVHR|0475-12'!$J$69</definedName>
    <definedName name="DUVariableBen">'B6'!$J$69</definedName>
    <definedName name="Elect_chg_health" localSheetId="0">'GVHR|0475-12'!$L$12</definedName>
    <definedName name="Elect_chg_health">'B6'!$L$12</definedName>
    <definedName name="Elect_chg_Var" localSheetId="0">'GVHR|0475-12'!$M$12</definedName>
    <definedName name="Elect_chg_Var">'B6'!$M$12</definedName>
    <definedName name="elect_FTP" localSheetId="0">'GVHR|0475-12'!$F$12</definedName>
    <definedName name="elect_FTP">'B6'!$F$12</definedName>
    <definedName name="Elect_health" localSheetId="0">'GVHR|0475-12'!$H$12</definedName>
    <definedName name="Elect_health">'B6'!$H$12</definedName>
    <definedName name="Elect_name" localSheetId="0">'GVHR|0475-12'!$C$12</definedName>
    <definedName name="Elect_name">'B6'!$C$12</definedName>
    <definedName name="Elect_salary" localSheetId="0">'GVHR|0475-12'!$G$12</definedName>
    <definedName name="Elect_salary">'B6'!$G$12</definedName>
    <definedName name="Elect_Var" localSheetId="0">'GVHR|0475-12'!$I$12</definedName>
    <definedName name="Elect_Var">'B6'!$I$12</definedName>
    <definedName name="Elect_VarBen" localSheetId="0">'GVHR|0475-12'!$I$12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'GVHR|0475-12'!#REF!</definedName>
    <definedName name="FillRateAvg_B6">'B6'!#REF!</definedName>
    <definedName name="FiscalYear" localSheetId="0">'GVHR|0475-12'!$M$4</definedName>
    <definedName name="FiscalYear">'B6'!$M$4</definedName>
    <definedName name="FundName" localSheetId="0">'GVHR|0475-12'!$I$5</definedName>
    <definedName name="FundName">'B6'!$I$5</definedName>
    <definedName name="FundNum" localSheetId="0">'GVHR|0475-12'!$N$5</definedName>
    <definedName name="FundNum">'B6'!$N$5</definedName>
    <definedName name="FundNumber" localSheetId="0">'GVHR|0475-12'!$N$5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'GVHR|0475-12'!$C$11</definedName>
    <definedName name="Group_name">'B6'!$C$11</definedName>
    <definedName name="GroupFxdBen" localSheetId="0">'GVHR|0475-12'!$H$11</definedName>
    <definedName name="GroupFxdBen">'B6'!$H$11</definedName>
    <definedName name="GroupSalary" localSheetId="0">'GVHR|0475-12'!$G$11</definedName>
    <definedName name="GroupSalary">'B6'!$G$11</definedName>
    <definedName name="GroupVarBen" localSheetId="0">'GVHR|0475-12'!$I$11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HR047512col_1_27TH_PP">Data!$BA$24</definedName>
    <definedName name="GVHR047512col_DHR">Data!$BI$24</definedName>
    <definedName name="GVHR047512col_DHR_BY">Data!$BU$24</definedName>
    <definedName name="GVHR047512col_DHR_CHG">Data!$CG$24</definedName>
    <definedName name="GVHR047512col_FTI_SALARY_ELECT">Data!$AZ$24</definedName>
    <definedName name="GVHR047512col_FTI_SALARY_PERM">Data!$AY$24</definedName>
    <definedName name="GVHR047512col_FTI_SALARY_SSDI">Data!$AX$24</definedName>
    <definedName name="GVHR047512col_Group_Ben">Data!$CM$24</definedName>
    <definedName name="GVHR047512col_Group_Salary">Data!$CL$24</definedName>
    <definedName name="GVHR047512col_HEALTH_ELECT">Data!$BC$24</definedName>
    <definedName name="GVHR047512col_HEALTH_ELECT_BY">Data!$BO$24</definedName>
    <definedName name="GVHR047512col_HEALTH_ELECT_CHG">Data!$CA$24</definedName>
    <definedName name="GVHR047512col_HEALTH_PERM">Data!$BB$24</definedName>
    <definedName name="GVHR047512col_HEALTH_PERM_BY">Data!$BN$24</definedName>
    <definedName name="GVHR047512col_HEALTH_PERM_CHG">Data!$BZ$24</definedName>
    <definedName name="GVHR047512col_INC_FTI">Data!$AS$24</definedName>
    <definedName name="GVHR047512col_LIFE_INS">Data!$BG$24</definedName>
    <definedName name="GVHR047512col_LIFE_INS_BY">Data!$BS$24</definedName>
    <definedName name="GVHR047512col_LIFE_INS_CHG">Data!$CE$24</definedName>
    <definedName name="GVHR047512col_RETIREMENT">Data!$BF$24</definedName>
    <definedName name="GVHR047512col_RETIREMENT_BY">Data!$BR$24</definedName>
    <definedName name="GVHR047512col_RETIREMENT_CHG">Data!$CD$24</definedName>
    <definedName name="GVHR047512col_ROWS_PER_PCN">Data!$AW$24</definedName>
    <definedName name="GVHR047512col_SICK">Data!$BK$24</definedName>
    <definedName name="GVHR047512col_SICK_BY">Data!$BW$24</definedName>
    <definedName name="GVHR047512col_SICK_CHG">Data!$CI$24</definedName>
    <definedName name="GVHR047512col_SSDI">Data!$BD$24</definedName>
    <definedName name="GVHR047512col_SSDI_BY">Data!$BP$24</definedName>
    <definedName name="GVHR047512col_SSDI_CHG">Data!$CB$24</definedName>
    <definedName name="GVHR047512col_SSHI">Data!$BE$24</definedName>
    <definedName name="GVHR047512col_SSHI_BY">Data!$BQ$24</definedName>
    <definedName name="GVHR047512col_SSHI_CHGv">Data!$CC$24</definedName>
    <definedName name="GVHR047512col_TOT_VB_ELECT">Data!$BM$24</definedName>
    <definedName name="GVHR047512col_TOT_VB_ELECT_BY">Data!$BY$24</definedName>
    <definedName name="GVHR047512col_TOT_VB_ELECT_CHG">Data!$CK$24</definedName>
    <definedName name="GVHR047512col_TOT_VB_PERM">Data!$BL$24</definedName>
    <definedName name="GVHR047512col_TOT_VB_PERM_BY">Data!$BX$24</definedName>
    <definedName name="GVHR047512col_TOT_VB_PERM_CHG">Data!$CJ$24</definedName>
    <definedName name="GVHR047512col_TOTAL_ELECT_PCN_FTI">Data!$AT$24</definedName>
    <definedName name="GVHR047512col_TOTAL_ELECT_PCN_FTI_ALT">Data!$AV$24</definedName>
    <definedName name="GVHR047512col_TOTAL_PERM_PCN_FTI">Data!$AU$24</definedName>
    <definedName name="GVHR047512col_UNEMP_INS">Data!$BH$24</definedName>
    <definedName name="GVHR047512col_UNEMP_INS_BY">Data!$BT$24</definedName>
    <definedName name="GVHR047512col_UNEMP_INS_CHG">Data!$CF$24</definedName>
    <definedName name="GVHR047512col_WORKERS_COMP">Data!$BJ$24</definedName>
    <definedName name="GVHR047512col_WORKERS_COMP_BY">Data!$BV$24</definedName>
    <definedName name="GVHR047512col_WORKERS_COMP_CHG">Data!$CH$24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'GVHR|0475-12'!$M$2</definedName>
    <definedName name="LUMAFund">'B6'!$M$2</definedName>
    <definedName name="MAXSSDI">Benefits!$F$5</definedName>
    <definedName name="MAXSSDIBY">Benefits!$G$5</definedName>
    <definedName name="NEW_AdjGroup" localSheetId="0">'GVHR|0475-12'!$AC$39</definedName>
    <definedName name="NEW_AdjGroup">'B6'!$AC$39</definedName>
    <definedName name="NEW_AdjGroupSalary" localSheetId="0">'GVHR|0475-12'!$AA$39</definedName>
    <definedName name="NEW_AdjGroupSalary">'B6'!$AA$39</definedName>
    <definedName name="NEW_AdjGroupVB" localSheetId="0">'GVHR|0475-12'!$AB$39</definedName>
    <definedName name="NEW_AdjGroupVB">'B6'!$AB$39</definedName>
    <definedName name="NEW_AdjONLYGroup" localSheetId="0">'GVHR|0475-12'!$AC$45</definedName>
    <definedName name="NEW_AdjONLYGroup">'B6'!$AC$45</definedName>
    <definedName name="NEW_AdjONLYGroupSalary" localSheetId="0">'GVHR|0475-12'!$AA$45</definedName>
    <definedName name="NEW_AdjONLYGroupSalary">'B6'!$AA$45</definedName>
    <definedName name="NEW_AdjONLYGroupVB" localSheetId="0">'GVHR|0475-12'!$AB$45</definedName>
    <definedName name="NEW_AdjONLYGroupVB">'B6'!$AB$45</definedName>
    <definedName name="NEW_AdjONLYPerm" localSheetId="0">'GVHR|0475-12'!$AC$44</definedName>
    <definedName name="NEW_AdjONLYPerm">'B6'!$AC$44</definedName>
    <definedName name="NEW_AdjONLYPermSalary" localSheetId="0">'GVHR|0475-12'!$AA$44</definedName>
    <definedName name="NEW_AdjONLYPermSalary">'B6'!$AA$44</definedName>
    <definedName name="NEW_AdjONLYPermVB" localSheetId="0">'GVHR|0475-12'!$AB$44</definedName>
    <definedName name="NEW_AdjONLYPermVB">'B6'!$AB$44</definedName>
    <definedName name="NEW_AdjPerm" localSheetId="0">'GVHR|0475-12'!$AC$38</definedName>
    <definedName name="NEW_AdjPerm">'B6'!$AC$38</definedName>
    <definedName name="NEW_AdjPermSalary" localSheetId="0">'GVHR|0475-12'!$AA$38</definedName>
    <definedName name="NEW_AdjPermSalary">'B6'!$AA$38</definedName>
    <definedName name="NEW_AdjPermVB" localSheetId="0">'GVHR|0475-12'!$AB$38</definedName>
    <definedName name="NEW_AdjPermVB">'B6'!$AB$38</definedName>
    <definedName name="NEW_GroupFilled" localSheetId="0">'GVHR|0475-12'!$AC$11</definedName>
    <definedName name="NEW_GroupFilled">'B6'!$AC$11</definedName>
    <definedName name="NEW_GroupSalaryFilled" localSheetId="0">'GVHR|0475-12'!$AA$11</definedName>
    <definedName name="NEW_GroupSalaryFilled">'B6'!$AA$11</definedName>
    <definedName name="NEW_GroupVBFilled" localSheetId="0">'GVHR|0475-12'!$AB$11</definedName>
    <definedName name="NEW_GroupVBFilled">'B6'!$AB$11</definedName>
    <definedName name="NEW_PermFilled" localSheetId="0">'GVHR|0475-12'!$AC$10</definedName>
    <definedName name="NEW_PermFilled">'B6'!$AC$10</definedName>
    <definedName name="NEW_PermSalaryFilled" localSheetId="0">'GVHR|0475-12'!$AA$10</definedName>
    <definedName name="NEW_PermSalaryFilled">'B6'!$AA$10</definedName>
    <definedName name="NEW_PermVBFilled" localSheetId="0">'GVHR|0475-12'!$AB$10</definedName>
    <definedName name="NEW_PermVBFilled">'B6'!$AB$10</definedName>
    <definedName name="OneTimePC_Total" localSheetId="0">'GVHR|0475-12'!$J$63</definedName>
    <definedName name="OneTimePC_Total">'B6'!$J$63</definedName>
    <definedName name="OrigApprop" localSheetId="0">'GVHR|0475-12'!$E$15</definedName>
    <definedName name="OrigApprop">'B6'!$E$15</definedName>
    <definedName name="perm_name" localSheetId="0">'GVHR|0475-12'!$C$10</definedName>
    <definedName name="perm_name">'B6'!$C$10</definedName>
    <definedName name="PermFTP" localSheetId="0">'GVHR|0475-12'!$F$10</definedName>
    <definedName name="PermFTP">'B6'!$F$10</definedName>
    <definedName name="PermFxdBen" localSheetId="0">'GVHR|0475-12'!$H$10</definedName>
    <definedName name="PermFxdBen">'B6'!$H$10</definedName>
    <definedName name="PermFxdBenChg" localSheetId="0">'GVHR|0475-12'!$L$10</definedName>
    <definedName name="PermFxdBenChg">'B6'!$L$10</definedName>
    <definedName name="PermFxdChg" localSheetId="0">'GVHR|0475-12'!$L$10</definedName>
    <definedName name="PermFxdChg">'B6'!$L$10</definedName>
    <definedName name="PermSalary" localSheetId="0">'GVHR|0475-12'!$G$10</definedName>
    <definedName name="PermSalary">'B6'!$G$10</definedName>
    <definedName name="PermVarBen" localSheetId="0">'GVHR|0475-12'!$I$10</definedName>
    <definedName name="PermVarBen">'B6'!$I$10</definedName>
    <definedName name="PermVarBenChg" localSheetId="0">'GVHR|0475-12'!$M$10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'GVHR|0475-12'!$A$1:$N$81</definedName>
    <definedName name="Prog_Unadjusted_Total" localSheetId="0">'GVHR|0475-12'!$C$8:$N$16</definedName>
    <definedName name="Prog_Unadjusted_Total">'B6'!$C$8:$N$16</definedName>
    <definedName name="Program" localSheetId="0">'GVHR|0475-12'!$D$3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'GVHR|0475-12'!$G$52</definedName>
    <definedName name="RoundedAppropSalary">'B6'!$G$52</definedName>
    <definedName name="SalaryChg" localSheetId="0">'GVHR|0475-12'!$K$10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'GVHR|0475-12'!#REF!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BA41" i="5"/>
  <c r="AZ41" i="5"/>
  <c r="AY41" i="5"/>
  <c r="AX41" i="5"/>
  <c r="AW41" i="5"/>
  <c r="AV41" i="5"/>
  <c r="AU41" i="5"/>
  <c r="AT41" i="5"/>
  <c r="AS41" i="5"/>
  <c r="BA35" i="5"/>
  <c r="AZ35" i="5"/>
  <c r="AY35" i="5"/>
  <c r="AX35" i="5"/>
  <c r="AW35" i="5"/>
  <c r="AV35" i="5"/>
  <c r="AU35" i="5"/>
  <c r="AT35" i="5"/>
  <c r="AS35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N35" i="12" s="1"/>
  <c r="J35" i="12"/>
  <c r="I35" i="12"/>
  <c r="H35" i="12"/>
  <c r="M34" i="12"/>
  <c r="L34" i="12"/>
  <c r="N34" i="12" s="1"/>
  <c r="J34" i="12"/>
  <c r="I34" i="12"/>
  <c r="H34" i="12"/>
  <c r="M33" i="12"/>
  <c r="N33" i="12" s="1"/>
  <c r="L33" i="12"/>
  <c r="J33" i="12"/>
  <c r="I33" i="12"/>
  <c r="H33" i="12"/>
  <c r="N32" i="12"/>
  <c r="M32" i="12"/>
  <c r="L32" i="12"/>
  <c r="J32" i="12"/>
  <c r="I32" i="12"/>
  <c r="H32" i="12"/>
  <c r="M30" i="12"/>
  <c r="L30" i="12"/>
  <c r="N30" i="12" s="1"/>
  <c r="J30" i="12"/>
  <c r="I30" i="12"/>
  <c r="H30" i="12"/>
  <c r="M29" i="12"/>
  <c r="L29" i="12"/>
  <c r="N29" i="12" s="1"/>
  <c r="J29" i="12"/>
  <c r="I29" i="12"/>
  <c r="H29" i="12"/>
  <c r="M28" i="12"/>
  <c r="N28" i="12" s="1"/>
  <c r="L28" i="12"/>
  <c r="J28" i="12"/>
  <c r="I28" i="12"/>
  <c r="H28" i="12"/>
  <c r="N27" i="12"/>
  <c r="M27" i="12"/>
  <c r="L27" i="12"/>
  <c r="J27" i="12"/>
  <c r="I27" i="12"/>
  <c r="H27" i="12"/>
  <c r="M26" i="12"/>
  <c r="L26" i="12"/>
  <c r="N26" i="12" s="1"/>
  <c r="J26" i="12"/>
  <c r="I26" i="12"/>
  <c r="H26" i="12"/>
  <c r="M25" i="12"/>
  <c r="L25" i="12"/>
  <c r="N25" i="12" s="1"/>
  <c r="J25" i="12"/>
  <c r="I25" i="12"/>
  <c r="H25" i="12"/>
  <c r="M24" i="12"/>
  <c r="N24" i="12" s="1"/>
  <c r="L24" i="12"/>
  <c r="J24" i="12"/>
  <c r="I24" i="12"/>
  <c r="H24" i="12"/>
  <c r="N23" i="12"/>
  <c r="M23" i="12"/>
  <c r="L23" i="12"/>
  <c r="J23" i="12"/>
  <c r="I23" i="12"/>
  <c r="H23" i="12"/>
  <c r="M22" i="12"/>
  <c r="L22" i="12"/>
  <c r="N22" i="12" s="1"/>
  <c r="J22" i="12"/>
  <c r="I22" i="12"/>
  <c r="H22" i="12"/>
  <c r="M21" i="12"/>
  <c r="L21" i="12"/>
  <c r="N21" i="12" s="1"/>
  <c r="J21" i="12"/>
  <c r="I21" i="12"/>
  <c r="H21" i="12"/>
  <c r="M20" i="12"/>
  <c r="N20" i="12" s="1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" i="5"/>
  <c r="AT32" i="5" s="1"/>
  <c r="AT33" i="5" s="1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" i="5"/>
  <c r="CL3" i="5"/>
  <c r="CL23" i="5" s="1"/>
  <c r="CL24" i="5" s="1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W23" i="5" s="1"/>
  <c r="AW24" i="5" s="1"/>
  <c r="AS3" i="5"/>
  <c r="AT3" i="5" s="1"/>
  <c r="AS4" i="5"/>
  <c r="AT4" i="5" s="1"/>
  <c r="AS5" i="5"/>
  <c r="AT5" i="5" s="1"/>
  <c r="AS6" i="5"/>
  <c r="AT6" i="5" s="1"/>
  <c r="AS7" i="5"/>
  <c r="AX7" i="5" s="1"/>
  <c r="AS8" i="5"/>
  <c r="AX8" i="5" s="1"/>
  <c r="AS9" i="5"/>
  <c r="AX9" i="5" s="1"/>
  <c r="AS10" i="5"/>
  <c r="AX10" i="5" s="1"/>
  <c r="AS11" i="5"/>
  <c r="AS12" i="5"/>
  <c r="AT12" i="5" s="1"/>
  <c r="BA12" i="5" s="1"/>
  <c r="AS13" i="5"/>
  <c r="AT13" i="5" s="1"/>
  <c r="AS14" i="5"/>
  <c r="AT14" i="5" s="1"/>
  <c r="AS15" i="5"/>
  <c r="AX15" i="5" s="1"/>
  <c r="AS16" i="5"/>
  <c r="AX16" i="5" s="1"/>
  <c r="AS17" i="5"/>
  <c r="AX17" i="5" s="1"/>
  <c r="AS18" i="5"/>
  <c r="AX18" i="5" s="1"/>
  <c r="AS19" i="5"/>
  <c r="AS20" i="5"/>
  <c r="AS2" i="5"/>
  <c r="CM23" i="5" l="1"/>
  <c r="CM24" i="5" s="1"/>
  <c r="I11" i="12" s="1"/>
  <c r="I39" i="12" s="1"/>
  <c r="AB39" i="12" s="1"/>
  <c r="AT9" i="5"/>
  <c r="E5" i="10"/>
  <c r="G11" i="12"/>
  <c r="AU32" i="5"/>
  <c r="AU33" i="5" s="1"/>
  <c r="AT7" i="5"/>
  <c r="AZ7" i="5" s="1"/>
  <c r="N39" i="12"/>
  <c r="F52" i="12"/>
  <c r="F56" i="12" s="1"/>
  <c r="F60" i="12" s="1"/>
  <c r="BW6" i="5"/>
  <c r="AU6" i="5"/>
  <c r="AT16" i="5"/>
  <c r="AT10" i="5"/>
  <c r="AT8" i="5"/>
  <c r="BW8" i="5" s="1"/>
  <c r="AX6" i="5"/>
  <c r="AT18" i="5"/>
  <c r="BH18" i="5" s="1"/>
  <c r="AT17" i="5"/>
  <c r="AV17" i="5" s="1"/>
  <c r="CD14" i="5"/>
  <c r="CI14" i="5"/>
  <c r="CA14" i="5"/>
  <c r="BV14" i="5"/>
  <c r="CF14" i="5"/>
  <c r="BS14" i="5"/>
  <c r="BH14" i="5"/>
  <c r="AZ14" i="5"/>
  <c r="CC14" i="5"/>
  <c r="CK14" i="5"/>
  <c r="BU14" i="5"/>
  <c r="CE14" i="5"/>
  <c r="BY14" i="5"/>
  <c r="BT14" i="5"/>
  <c r="BI14" i="5"/>
  <c r="BA14" i="5"/>
  <c r="BM14" i="5"/>
  <c r="BK14" i="5"/>
  <c r="AV14" i="5"/>
  <c r="BC14" i="5" s="1"/>
  <c r="BG14" i="5"/>
  <c r="BR14" i="5"/>
  <c r="AY14" i="5"/>
  <c r="AU14" i="5"/>
  <c r="BB14" i="5" s="1"/>
  <c r="BW14" i="5"/>
  <c r="BJ14" i="5"/>
  <c r="BF14" i="5"/>
  <c r="BE14" i="5"/>
  <c r="BQ14" i="5"/>
  <c r="CI13" i="5"/>
  <c r="CA13" i="5"/>
  <c r="BX13" i="5"/>
  <c r="BV13" i="5"/>
  <c r="CF13" i="5"/>
  <c r="CH13" i="5"/>
  <c r="CC13" i="5"/>
  <c r="BE13" i="5"/>
  <c r="CK13" i="5"/>
  <c r="BZ13" i="5"/>
  <c r="BU13" i="5"/>
  <c r="CE13" i="5"/>
  <c r="BR13" i="5"/>
  <c r="CJ13" i="5"/>
  <c r="CG13" i="5"/>
  <c r="BW13" i="5"/>
  <c r="CD13" i="5"/>
  <c r="BQ13" i="5"/>
  <c r="BF13" i="5"/>
  <c r="BG13" i="5"/>
  <c r="BS13" i="5"/>
  <c r="AV13" i="5"/>
  <c r="BC13" i="5" s="1"/>
  <c r="BH13" i="5"/>
  <c r="AY13" i="5"/>
  <c r="BY13" i="5"/>
  <c r="CI5" i="5"/>
  <c r="CA5" i="5"/>
  <c r="BV5" i="5"/>
  <c r="CF5" i="5"/>
  <c r="BS5" i="5"/>
  <c r="CC5" i="5"/>
  <c r="BE5" i="5"/>
  <c r="CK5" i="5"/>
  <c r="BU5" i="5"/>
  <c r="CE5" i="5"/>
  <c r="BR5" i="5"/>
  <c r="BW5" i="5"/>
  <c r="BY5" i="5"/>
  <c r="CD5" i="5"/>
  <c r="BQ5" i="5"/>
  <c r="BF5" i="5"/>
  <c r="BA5" i="5"/>
  <c r="BG5" i="5"/>
  <c r="BM5" i="5"/>
  <c r="BK5" i="5"/>
  <c r="AV5" i="5"/>
  <c r="BO5" i="5" s="1"/>
  <c r="CK10" i="5"/>
  <c r="BU10" i="5"/>
  <c r="CE10" i="5"/>
  <c r="BW10" i="5"/>
  <c r="BD10" i="5"/>
  <c r="BY10" i="5"/>
  <c r="BT10" i="5"/>
  <c r="CD10" i="5"/>
  <c r="BQ10" i="5"/>
  <c r="CI10" i="5"/>
  <c r="CA10" i="5"/>
  <c r="BV10" i="5"/>
  <c r="CF10" i="5"/>
  <c r="CC10" i="5"/>
  <c r="BE10" i="5"/>
  <c r="BS10" i="5"/>
  <c r="BH10" i="5"/>
  <c r="AY10" i="5"/>
  <c r="BR10" i="5"/>
  <c r="BI10" i="5"/>
  <c r="AZ10" i="5"/>
  <c r="BJ10" i="5"/>
  <c r="AU5" i="5"/>
  <c r="BB5" i="5" s="1"/>
  <c r="AX14" i="5"/>
  <c r="BP14" i="5" s="1"/>
  <c r="AY9" i="5"/>
  <c r="AZ13" i="5"/>
  <c r="BA13" i="5"/>
  <c r="BE4" i="5"/>
  <c r="BF9" i="5"/>
  <c r="BG9" i="5"/>
  <c r="BI5" i="5"/>
  <c r="BJ3" i="5"/>
  <c r="AX3" i="5"/>
  <c r="AY7" i="5"/>
  <c r="AZ12" i="5"/>
  <c r="BC17" i="5"/>
  <c r="BD17" i="5"/>
  <c r="BE3" i="5"/>
  <c r="BF3" i="5"/>
  <c r="BG7" i="5"/>
  <c r="BH7" i="5"/>
  <c r="BI4" i="5"/>
  <c r="BR17" i="5"/>
  <c r="BT13" i="5"/>
  <c r="AX4" i="5"/>
  <c r="AY6" i="5"/>
  <c r="BD16" i="5"/>
  <c r="BE16" i="5"/>
  <c r="BG6" i="5"/>
  <c r="BH5" i="5"/>
  <c r="BI3" i="5"/>
  <c r="BT5" i="5"/>
  <c r="CF12" i="5"/>
  <c r="BS12" i="5"/>
  <c r="CC12" i="5"/>
  <c r="CK12" i="5"/>
  <c r="BU12" i="5"/>
  <c r="BM12" i="5"/>
  <c r="BJ12" i="5"/>
  <c r="CE12" i="5"/>
  <c r="BW12" i="5"/>
  <c r="BY12" i="5"/>
  <c r="BT12" i="5"/>
  <c r="CD12" i="5"/>
  <c r="CI12" i="5"/>
  <c r="CA12" i="5"/>
  <c r="BV12" i="5"/>
  <c r="BK12" i="5"/>
  <c r="BH12" i="5"/>
  <c r="AY12" i="5"/>
  <c r="BR12" i="5"/>
  <c r="AV12" i="5"/>
  <c r="BO12" i="5" s="1"/>
  <c r="BI12" i="5"/>
  <c r="CC3" i="5"/>
  <c r="CK3" i="5"/>
  <c r="BU3" i="5"/>
  <c r="CE3" i="5"/>
  <c r="BR3" i="5"/>
  <c r="BG3" i="5"/>
  <c r="AY3" i="5"/>
  <c r="BW3" i="5"/>
  <c r="BY3" i="5"/>
  <c r="BT3" i="5"/>
  <c r="CD3" i="5"/>
  <c r="CI3" i="5"/>
  <c r="CA3" i="5"/>
  <c r="CF3" i="5"/>
  <c r="BS3" i="5"/>
  <c r="BH3" i="5"/>
  <c r="AZ3" i="5"/>
  <c r="BQ3" i="5"/>
  <c r="BM3" i="5"/>
  <c r="BK3" i="5"/>
  <c r="BY7" i="5"/>
  <c r="BT7" i="5"/>
  <c r="CD7" i="5"/>
  <c r="CI7" i="5"/>
  <c r="CA7" i="5"/>
  <c r="BV7" i="5"/>
  <c r="BK7" i="5"/>
  <c r="CF7" i="5"/>
  <c r="CC7" i="5"/>
  <c r="CK7" i="5"/>
  <c r="BU7" i="5"/>
  <c r="CE7" i="5"/>
  <c r="BW7" i="5"/>
  <c r="BD7" i="5"/>
  <c r="BE7" i="5"/>
  <c r="BF7" i="5"/>
  <c r="BJ7" i="5"/>
  <c r="BA7" i="5"/>
  <c r="BP7" i="5" s="1"/>
  <c r="AU7" i="5"/>
  <c r="BN7" i="5" s="1"/>
  <c r="BQ7" i="5"/>
  <c r="BM7" i="5"/>
  <c r="AV3" i="5"/>
  <c r="BO3" i="5" s="1"/>
  <c r="AX5" i="5"/>
  <c r="BP5" i="5" s="1"/>
  <c r="AY5" i="5"/>
  <c r="AZ5" i="5"/>
  <c r="BA10" i="5"/>
  <c r="BP10" i="5" s="1"/>
  <c r="BK13" i="5"/>
  <c r="BM13" i="5"/>
  <c r="BR7" i="5"/>
  <c r="BV3" i="5"/>
  <c r="CF4" i="5"/>
  <c r="BS4" i="5"/>
  <c r="CC4" i="5"/>
  <c r="CK4" i="5"/>
  <c r="BU4" i="5"/>
  <c r="BM4" i="5"/>
  <c r="BJ4" i="5"/>
  <c r="CE4" i="5"/>
  <c r="BW4" i="5"/>
  <c r="BY4" i="5"/>
  <c r="BT4" i="5"/>
  <c r="CD4" i="5"/>
  <c r="CI4" i="5"/>
  <c r="CA4" i="5"/>
  <c r="BV4" i="5"/>
  <c r="BK4" i="5"/>
  <c r="BF4" i="5"/>
  <c r="BH4" i="5"/>
  <c r="BQ4" i="5"/>
  <c r="BG4" i="5"/>
  <c r="AV4" i="5"/>
  <c r="BO4" i="5" s="1"/>
  <c r="AT19" i="5"/>
  <c r="AX19" i="5"/>
  <c r="BF8" i="5"/>
  <c r="CG8" i="5"/>
  <c r="CK8" i="5"/>
  <c r="BR8" i="5"/>
  <c r="AU8" i="5"/>
  <c r="BN8" i="5" s="1"/>
  <c r="BJ8" i="5"/>
  <c r="AU10" i="5"/>
  <c r="BN10" i="5" s="1"/>
  <c r="AY4" i="5"/>
  <c r="AZ4" i="5"/>
  <c r="BA4" i="5"/>
  <c r="BG18" i="5"/>
  <c r="BN6" i="5"/>
  <c r="BQ12" i="5"/>
  <c r="BR6" i="5"/>
  <c r="CE9" i="5"/>
  <c r="BW9" i="5"/>
  <c r="BY9" i="5"/>
  <c r="BT9" i="5"/>
  <c r="BI9" i="5"/>
  <c r="BA9" i="5"/>
  <c r="BP9" i="5" s="1"/>
  <c r="CD9" i="5"/>
  <c r="CI9" i="5"/>
  <c r="CA9" i="5"/>
  <c r="BV9" i="5"/>
  <c r="CF9" i="5"/>
  <c r="BS9" i="5"/>
  <c r="CC9" i="5"/>
  <c r="CK9" i="5"/>
  <c r="BU9" i="5"/>
  <c r="BM9" i="5"/>
  <c r="BJ9" i="5"/>
  <c r="BR9" i="5"/>
  <c r="BD9" i="5"/>
  <c r="AU9" i="5"/>
  <c r="BB9" i="5" s="1"/>
  <c r="BE9" i="5"/>
  <c r="AZ9" i="5"/>
  <c r="AX11" i="5"/>
  <c r="AT11" i="5"/>
  <c r="CE18" i="5"/>
  <c r="BD18" i="5"/>
  <c r="CD18" i="5"/>
  <c r="CA18" i="5"/>
  <c r="CF18" i="5"/>
  <c r="AZ18" i="5"/>
  <c r="BA18" i="5"/>
  <c r="BP18" i="5" s="1"/>
  <c r="BS18" i="5"/>
  <c r="BW16" i="5"/>
  <c r="BY16" i="5"/>
  <c r="BT16" i="5"/>
  <c r="CD16" i="5"/>
  <c r="BQ16" i="5"/>
  <c r="BF16" i="5"/>
  <c r="CI16" i="5"/>
  <c r="CA16" i="5"/>
  <c r="BV16" i="5"/>
  <c r="CF16" i="5"/>
  <c r="BS16" i="5"/>
  <c r="CC16" i="5"/>
  <c r="CK16" i="5"/>
  <c r="CE16" i="5"/>
  <c r="BR16" i="5"/>
  <c r="BG16" i="5"/>
  <c r="AY16" i="5"/>
  <c r="BJ16" i="5"/>
  <c r="BA16" i="5"/>
  <c r="BM16" i="5"/>
  <c r="BK16" i="5"/>
  <c r="AU16" i="5"/>
  <c r="BN16" i="5" s="1"/>
  <c r="BU16" i="5"/>
  <c r="AU13" i="5"/>
  <c r="BB13" i="5" s="1"/>
  <c r="AY17" i="5"/>
  <c r="AZ17" i="5"/>
  <c r="BA3" i="5"/>
  <c r="BD8" i="5"/>
  <c r="BE12" i="5"/>
  <c r="BF12" i="5"/>
  <c r="BG17" i="5"/>
  <c r="BH17" i="5"/>
  <c r="BJ13" i="5"/>
  <c r="BK10" i="5"/>
  <c r="BM10" i="5"/>
  <c r="BN5" i="5"/>
  <c r="BR4" i="5"/>
  <c r="AX2" i="5"/>
  <c r="AT2" i="5"/>
  <c r="AX20" i="5"/>
  <c r="AT20" i="5"/>
  <c r="CE17" i="5"/>
  <c r="BW17" i="5"/>
  <c r="BY17" i="5"/>
  <c r="BT17" i="5"/>
  <c r="BI17" i="5"/>
  <c r="BA17" i="5"/>
  <c r="BP17" i="5" s="1"/>
  <c r="CD17" i="5"/>
  <c r="CI17" i="5"/>
  <c r="CA17" i="5"/>
  <c r="BV17" i="5"/>
  <c r="CF17" i="5"/>
  <c r="BS17" i="5"/>
  <c r="CG17" i="5"/>
  <c r="CC17" i="5"/>
  <c r="CK17" i="5"/>
  <c r="BU17" i="5"/>
  <c r="BM17" i="5"/>
  <c r="BJ17" i="5"/>
  <c r="BE17" i="5"/>
  <c r="AU17" i="5"/>
  <c r="BN17" i="5" s="1"/>
  <c r="BK17" i="5"/>
  <c r="BQ17" i="5"/>
  <c r="BO17" i="5"/>
  <c r="BF17" i="5"/>
  <c r="CD6" i="5"/>
  <c r="CI6" i="5"/>
  <c r="CA6" i="5"/>
  <c r="BV6" i="5"/>
  <c r="CF6" i="5"/>
  <c r="BS6" i="5"/>
  <c r="BH6" i="5"/>
  <c r="AZ6" i="5"/>
  <c r="CC6" i="5"/>
  <c r="CK6" i="5"/>
  <c r="BU6" i="5"/>
  <c r="CE6" i="5"/>
  <c r="BY6" i="5"/>
  <c r="BT6" i="5"/>
  <c r="BI6" i="5"/>
  <c r="BA6" i="5"/>
  <c r="BP6" i="5" s="1"/>
  <c r="BJ6" i="5"/>
  <c r="AV6" i="5"/>
  <c r="BO6" i="5" s="1"/>
  <c r="BQ6" i="5"/>
  <c r="BF6" i="5"/>
  <c r="BM6" i="5"/>
  <c r="BK6" i="5"/>
  <c r="BB6" i="5"/>
  <c r="AU12" i="5"/>
  <c r="BB12" i="5" s="1"/>
  <c r="AV7" i="5"/>
  <c r="BO7" i="5" s="1"/>
  <c r="AT15" i="5"/>
  <c r="AX12" i="5"/>
  <c r="BD12" i="5" s="1"/>
  <c r="AZ16" i="5"/>
  <c r="BD6" i="5"/>
  <c r="BG12" i="5"/>
  <c r="BH16" i="5"/>
  <c r="BI13" i="5"/>
  <c r="BP16" i="5"/>
  <c r="CB16" i="5" s="1"/>
  <c r="BQ9" i="5"/>
  <c r="AU3" i="5"/>
  <c r="BB3" i="5" s="1"/>
  <c r="AV9" i="5"/>
  <c r="BC9" i="5" s="1"/>
  <c r="BK9" i="5"/>
  <c r="AU4" i="5"/>
  <c r="BB4" i="5" s="1"/>
  <c r="AV10" i="5"/>
  <c r="BO10" i="5" s="1"/>
  <c r="AX13" i="5"/>
  <c r="BP13" i="5" s="1"/>
  <c r="BC5" i="5"/>
  <c r="BD5" i="5"/>
  <c r="BE6" i="5"/>
  <c r="BF10" i="5"/>
  <c r="BG10" i="5"/>
  <c r="BH9" i="5"/>
  <c r="BI7" i="5"/>
  <c r="BJ5" i="5"/>
  <c r="BL13" i="5"/>
  <c r="BS7" i="5"/>
  <c r="C12" i="7"/>
  <c r="C13" i="7"/>
  <c r="C14" i="7"/>
  <c r="E51" i="9"/>
  <c r="BF18" i="5" l="1"/>
  <c r="BV18" i="5"/>
  <c r="BW18" i="5"/>
  <c r="BU8" i="5"/>
  <c r="CE8" i="5"/>
  <c r="CI8" i="5"/>
  <c r="BJ18" i="5"/>
  <c r="CI18" i="5"/>
  <c r="BU18" i="5"/>
  <c r="BE8" i="5"/>
  <c r="CC8" i="5"/>
  <c r="BQ8" i="5"/>
  <c r="BI18" i="5"/>
  <c r="BR18" i="5"/>
  <c r="G5" i="10"/>
  <c r="BM8" i="5"/>
  <c r="AV18" i="5"/>
  <c r="BO18" i="5" s="1"/>
  <c r="AU18" i="5"/>
  <c r="BB18" i="5" s="1"/>
  <c r="BM18" i="5"/>
  <c r="BQ18" i="5"/>
  <c r="CK18" i="5"/>
  <c r="AY18" i="5"/>
  <c r="AZ8" i="5"/>
  <c r="BS8" i="5"/>
  <c r="CD8" i="5"/>
  <c r="CB10" i="5"/>
  <c r="BI8" i="5"/>
  <c r="CF8" i="5"/>
  <c r="BT8" i="5"/>
  <c r="AV8" i="5"/>
  <c r="BO8" i="5" s="1"/>
  <c r="BE18" i="5"/>
  <c r="BL18" i="5" s="1"/>
  <c r="BT18" i="5"/>
  <c r="BK8" i="5"/>
  <c r="BL8" i="5" s="1"/>
  <c r="AY8" i="5"/>
  <c r="BV8" i="5"/>
  <c r="BY8" i="5"/>
  <c r="BH8" i="5"/>
  <c r="BK18" i="5"/>
  <c r="CC18" i="5"/>
  <c r="BY18" i="5"/>
  <c r="BA8" i="5"/>
  <c r="BP8" i="5" s="1"/>
  <c r="CB8" i="5" s="1"/>
  <c r="BG8" i="5"/>
  <c r="CA8" i="5"/>
  <c r="BN9" i="5"/>
  <c r="AT23" i="5"/>
  <c r="AT24" i="5" s="1"/>
  <c r="AS23" i="5"/>
  <c r="AS24" i="5" s="1"/>
  <c r="AX23" i="5"/>
  <c r="AX24" i="5" s="1"/>
  <c r="AS32" i="5"/>
  <c r="AS33" i="5" s="1"/>
  <c r="G39" i="12"/>
  <c r="J11" i="12"/>
  <c r="AB11" i="12"/>
  <c r="AB45" i="12" s="1"/>
  <c r="AA11" i="12"/>
  <c r="BB17" i="5"/>
  <c r="BZ17" i="5" s="1"/>
  <c r="BB7" i="5"/>
  <c r="BZ7" i="5" s="1"/>
  <c r="H5" i="10"/>
  <c r="F67" i="12"/>
  <c r="BZ6" i="5"/>
  <c r="CB9" i="5"/>
  <c r="BX9" i="5"/>
  <c r="BL7" i="5"/>
  <c r="BN3" i="5"/>
  <c r="BZ3" i="5" s="1"/>
  <c r="BL17" i="5"/>
  <c r="BP3" i="5"/>
  <c r="CB6" i="5"/>
  <c r="CB18" i="5"/>
  <c r="BC4" i="5"/>
  <c r="BB8" i="5"/>
  <c r="BZ8" i="5" s="1"/>
  <c r="CB5" i="5"/>
  <c r="BI16" i="5"/>
  <c r="BL16" i="5" s="1"/>
  <c r="AV16" i="5"/>
  <c r="BP4" i="5"/>
  <c r="CB7" i="5"/>
  <c r="BX7" i="5"/>
  <c r="BZ9" i="5"/>
  <c r="CB17" i="5"/>
  <c r="BX17" i="5"/>
  <c r="BZ5" i="5"/>
  <c r="BC6" i="5"/>
  <c r="BL6" i="5"/>
  <c r="BX16" i="5"/>
  <c r="CC19" i="5"/>
  <c r="CK19" i="5"/>
  <c r="BU19" i="5"/>
  <c r="CE19" i="5"/>
  <c r="BR19" i="5"/>
  <c r="BG19" i="5"/>
  <c r="AY19" i="5"/>
  <c r="BW19" i="5"/>
  <c r="BY19" i="5"/>
  <c r="BT19" i="5"/>
  <c r="CD19" i="5"/>
  <c r="CI19" i="5"/>
  <c r="CA19" i="5"/>
  <c r="CF19" i="5"/>
  <c r="BS19" i="5"/>
  <c r="BH19" i="5"/>
  <c r="AZ19" i="5"/>
  <c r="BI19" i="5"/>
  <c r="BQ19" i="5"/>
  <c r="BJ19" i="5"/>
  <c r="BA19" i="5"/>
  <c r="BP19" i="5" s="1"/>
  <c r="BV19" i="5"/>
  <c r="BE19" i="5"/>
  <c r="AV19" i="5"/>
  <c r="BO19" i="5" s="1"/>
  <c r="BF19" i="5"/>
  <c r="BM19" i="5"/>
  <c r="BK19" i="5"/>
  <c r="BD19" i="5"/>
  <c r="AU19" i="5"/>
  <c r="BN19" i="5" s="1"/>
  <c r="BN4" i="5"/>
  <c r="BZ4" i="5" s="1"/>
  <c r="BC10" i="5"/>
  <c r="BC7" i="5"/>
  <c r="BC12" i="5"/>
  <c r="BD3" i="5"/>
  <c r="BL3" i="5" s="1"/>
  <c r="BD4" i="5"/>
  <c r="BX5" i="5"/>
  <c r="BD14" i="5"/>
  <c r="CB14" i="5" s="1"/>
  <c r="BO14" i="5"/>
  <c r="BL5" i="5"/>
  <c r="BC8" i="5"/>
  <c r="BX18" i="5"/>
  <c r="BB10" i="5"/>
  <c r="BZ10" i="5" s="1"/>
  <c r="BC3" i="5"/>
  <c r="BL12" i="5"/>
  <c r="BO13" i="5"/>
  <c r="BN13" i="5"/>
  <c r="BN14" i="5"/>
  <c r="BZ14" i="5" s="1"/>
  <c r="BN12" i="5"/>
  <c r="BZ12" i="5" s="1"/>
  <c r="BN18" i="5"/>
  <c r="BZ18" i="5" s="1"/>
  <c r="BL10" i="5"/>
  <c r="BY15" i="5"/>
  <c r="BT15" i="5"/>
  <c r="CD15" i="5"/>
  <c r="CI15" i="5"/>
  <c r="CA15" i="5"/>
  <c r="BV15" i="5"/>
  <c r="BK15" i="5"/>
  <c r="CF15" i="5"/>
  <c r="CC15" i="5"/>
  <c r="CK15" i="5"/>
  <c r="BU15" i="5"/>
  <c r="CE15" i="5"/>
  <c r="BW15" i="5"/>
  <c r="BD15" i="5"/>
  <c r="BQ15" i="5"/>
  <c r="BF15" i="5"/>
  <c r="BS15" i="5"/>
  <c r="BM15" i="5"/>
  <c r="BG15" i="5"/>
  <c r="AU15" i="5"/>
  <c r="BN15" i="5" s="1"/>
  <c r="BH15" i="5"/>
  <c r="BA15" i="5"/>
  <c r="BP15" i="5" s="1"/>
  <c r="AZ15" i="5"/>
  <c r="AY15" i="5"/>
  <c r="BI15" i="5"/>
  <c r="BJ15" i="5"/>
  <c r="BE15" i="5"/>
  <c r="BR15" i="5"/>
  <c r="AV15" i="5"/>
  <c r="BC15" i="5" s="1"/>
  <c r="CF20" i="5"/>
  <c r="BS20" i="5"/>
  <c r="CC20" i="5"/>
  <c r="CK20" i="5"/>
  <c r="BU20" i="5"/>
  <c r="BM20" i="5"/>
  <c r="BJ20" i="5"/>
  <c r="CE20" i="5"/>
  <c r="BW20" i="5"/>
  <c r="BY20" i="5"/>
  <c r="BT20" i="5"/>
  <c r="CD20" i="5"/>
  <c r="CI20" i="5"/>
  <c r="CA20" i="5"/>
  <c r="BV20" i="5"/>
  <c r="BK20" i="5"/>
  <c r="BD20" i="5"/>
  <c r="BI20" i="5"/>
  <c r="AZ20" i="5"/>
  <c r="BE20" i="5"/>
  <c r="AV20" i="5"/>
  <c r="BO20" i="5" s="1"/>
  <c r="BQ20" i="5"/>
  <c r="BR20" i="5"/>
  <c r="BA20" i="5"/>
  <c r="BP20" i="5"/>
  <c r="CB20" i="5" s="1"/>
  <c r="BH20" i="5"/>
  <c r="BG20" i="5"/>
  <c r="AY20" i="5"/>
  <c r="BF20" i="5"/>
  <c r="AU20" i="5"/>
  <c r="BN20" i="5" s="1"/>
  <c r="BB16" i="5"/>
  <c r="BZ16" i="5" s="1"/>
  <c r="BX3" i="5"/>
  <c r="BP12" i="5"/>
  <c r="CB12" i="5" s="1"/>
  <c r="BL4" i="5"/>
  <c r="BX6" i="5"/>
  <c r="CC11" i="5"/>
  <c r="CK11" i="5"/>
  <c r="CH11" i="5"/>
  <c r="BZ11" i="5"/>
  <c r="BU11" i="5"/>
  <c r="CE11" i="5"/>
  <c r="BR11" i="5"/>
  <c r="BG11" i="5"/>
  <c r="AY11" i="5"/>
  <c r="BW11" i="5"/>
  <c r="CJ11" i="5"/>
  <c r="CG11" i="5"/>
  <c r="BY11" i="5"/>
  <c r="BT11" i="5"/>
  <c r="CD11" i="5"/>
  <c r="CI11" i="5"/>
  <c r="CA11" i="5"/>
  <c r="CF11" i="5"/>
  <c r="BX11" i="5"/>
  <c r="BS11" i="5"/>
  <c r="BH11" i="5"/>
  <c r="AZ11" i="5"/>
  <c r="BV11" i="5"/>
  <c r="BD11" i="5"/>
  <c r="BI11" i="5"/>
  <c r="BJ11" i="5"/>
  <c r="BF11" i="5"/>
  <c r="BE11" i="5"/>
  <c r="BQ11" i="5"/>
  <c r="BM11" i="5"/>
  <c r="BK11" i="5"/>
  <c r="AU11" i="5"/>
  <c r="BB11" i="5" s="1"/>
  <c r="BA11" i="5"/>
  <c r="BP11" i="5" s="1"/>
  <c r="CB11" i="5" s="1"/>
  <c r="BL11" i="5"/>
  <c r="AV11" i="5"/>
  <c r="BC11" i="5" s="1"/>
  <c r="BD13" i="5"/>
  <c r="CB13" i="5" s="1"/>
  <c r="CI2" i="5"/>
  <c r="CA2" i="5"/>
  <c r="BV2" i="5"/>
  <c r="CF2" i="5"/>
  <c r="CC2" i="5"/>
  <c r="BE2" i="5"/>
  <c r="CK2" i="5"/>
  <c r="BU2" i="5"/>
  <c r="CE2" i="5"/>
  <c r="BR2" i="5"/>
  <c r="BW2" i="5"/>
  <c r="CD2" i="5"/>
  <c r="BQ2" i="5"/>
  <c r="BF2" i="5"/>
  <c r="BH2" i="5"/>
  <c r="AY2" i="5"/>
  <c r="BI2" i="5"/>
  <c r="AZ2" i="5"/>
  <c r="BD2" i="5"/>
  <c r="BJ2" i="5"/>
  <c r="BY2" i="5"/>
  <c r="BS2" i="5"/>
  <c r="BA2" i="5"/>
  <c r="AU2" i="5"/>
  <c r="AV2" i="5"/>
  <c r="BG2" i="5"/>
  <c r="BM2" i="5"/>
  <c r="BK2" i="5"/>
  <c r="BT2" i="5"/>
  <c r="BT23" i="5" s="1"/>
  <c r="BT24" i="5" s="1"/>
  <c r="BL9" i="5"/>
  <c r="BX4" i="5"/>
  <c r="BO9" i="5"/>
  <c r="BX10" i="5"/>
  <c r="BX14" i="5"/>
  <c r="D14" i="7"/>
  <c r="BY23" i="5" l="1"/>
  <c r="BY24" i="5" s="1"/>
  <c r="BC18" i="5"/>
  <c r="BK23" i="5"/>
  <c r="BK24" i="5" s="1"/>
  <c r="CD23" i="5"/>
  <c r="CD24" i="5" s="1"/>
  <c r="CF23" i="5"/>
  <c r="CF24" i="5" s="1"/>
  <c r="BX8" i="5"/>
  <c r="CC23" i="5"/>
  <c r="CC24" i="5" s="1"/>
  <c r="BJ23" i="5"/>
  <c r="BJ24" i="5" s="1"/>
  <c r="BQ23" i="5"/>
  <c r="BQ24" i="5" s="1"/>
  <c r="BO11" i="5"/>
  <c r="J39" i="12"/>
  <c r="AA39" i="12"/>
  <c r="BM23" i="5"/>
  <c r="BM24" i="5" s="1"/>
  <c r="BD23" i="5"/>
  <c r="BD24" i="5" s="1"/>
  <c r="BV23" i="5"/>
  <c r="BV24" i="5" s="1"/>
  <c r="AZ23" i="5"/>
  <c r="AZ24" i="5" s="1"/>
  <c r="BN2" i="5"/>
  <c r="AU23" i="5"/>
  <c r="AU24" i="5" s="1"/>
  <c r="AY23" i="5"/>
  <c r="AY24" i="5" s="1"/>
  <c r="AV32" i="5"/>
  <c r="AV33" i="5" s="1"/>
  <c r="AY32" i="5"/>
  <c r="AY33" i="5" s="1"/>
  <c r="D4" i="10"/>
  <c r="F10" i="12"/>
  <c r="BP2" i="5"/>
  <c r="BP23" i="5" s="1"/>
  <c r="BP24" i="5" s="1"/>
  <c r="BA23" i="5"/>
  <c r="BA24" i="5" s="1"/>
  <c r="F12" i="12"/>
  <c r="F40" i="12" s="1"/>
  <c r="D6" i="10"/>
  <c r="D7" i="10" s="1"/>
  <c r="D10" i="10" s="1"/>
  <c r="BO2" i="5"/>
  <c r="AV23" i="5"/>
  <c r="AV24" i="5" s="1"/>
  <c r="BW23" i="5"/>
  <c r="BW24" i="5" s="1"/>
  <c r="BG23" i="5"/>
  <c r="BG24" i="5" s="1"/>
  <c r="BR23" i="5"/>
  <c r="BR24" i="5" s="1"/>
  <c r="CA23" i="5"/>
  <c r="CA24" i="5" s="1"/>
  <c r="CB4" i="5"/>
  <c r="BI23" i="5"/>
  <c r="BI24" i="5" s="1"/>
  <c r="CE23" i="5"/>
  <c r="CE24" i="5" s="1"/>
  <c r="CI23" i="5"/>
  <c r="CI24" i="5" s="1"/>
  <c r="BU23" i="5"/>
  <c r="BU24" i="5" s="1"/>
  <c r="BH23" i="5"/>
  <c r="BH24" i="5" s="1"/>
  <c r="CK23" i="5"/>
  <c r="CK24" i="5" s="1"/>
  <c r="BS23" i="5"/>
  <c r="BS24" i="5" s="1"/>
  <c r="BF23" i="5"/>
  <c r="BF24" i="5" s="1"/>
  <c r="BE23" i="5"/>
  <c r="BE24" i="5" s="1"/>
  <c r="F75" i="12"/>
  <c r="F80" i="12" s="1"/>
  <c r="BN11" i="5"/>
  <c r="BN23" i="5" s="1"/>
  <c r="BN24" i="5" s="1"/>
  <c r="BO16" i="5"/>
  <c r="BC16" i="5"/>
  <c r="BB2" i="5"/>
  <c r="BO15" i="5"/>
  <c r="BO23" i="5" s="1"/>
  <c r="BO24" i="5" s="1"/>
  <c r="BL2" i="5"/>
  <c r="CB19" i="5"/>
  <c r="BX19" i="5"/>
  <c r="CB15" i="5"/>
  <c r="BX15" i="5"/>
  <c r="BX12" i="5"/>
  <c r="BC2" i="5"/>
  <c r="BC23" i="5" s="1"/>
  <c r="BC24" i="5" s="1"/>
  <c r="BL14" i="5"/>
  <c r="BB20" i="5"/>
  <c r="BZ20" i="5" s="1"/>
  <c r="BL20" i="5"/>
  <c r="BX20" i="5"/>
  <c r="BB19" i="5"/>
  <c r="BZ19" i="5" s="1"/>
  <c r="BL19" i="5"/>
  <c r="CB3" i="5"/>
  <c r="BX2" i="5"/>
  <c r="BC20" i="5"/>
  <c r="BB15" i="5"/>
  <c r="BZ15" i="5" s="1"/>
  <c r="BC19" i="5"/>
  <c r="BL15" i="5"/>
  <c r="AB10" i="9"/>
  <c r="J6" i="10" l="1"/>
  <c r="L12" i="12"/>
  <c r="CB2" i="5"/>
  <c r="I4" i="10"/>
  <c r="K10" i="12"/>
  <c r="AZ32" i="5"/>
  <c r="AZ33" i="5" s="1"/>
  <c r="G12" i="12"/>
  <c r="E6" i="10"/>
  <c r="BL23" i="5"/>
  <c r="BL24" i="5" s="1"/>
  <c r="AX32" i="5"/>
  <c r="AX33" i="5" s="1"/>
  <c r="F13" i="12"/>
  <c r="F16" i="12" s="1"/>
  <c r="F38" i="12"/>
  <c r="F41" i="12" s="1"/>
  <c r="I12" i="12"/>
  <c r="I40" i="12" s="1"/>
  <c r="G6" i="10"/>
  <c r="H12" i="12"/>
  <c r="H40" i="12" s="1"/>
  <c r="F6" i="10"/>
  <c r="BB23" i="5"/>
  <c r="BB24" i="5" s="1"/>
  <c r="AW32" i="5"/>
  <c r="AW33" i="5" s="1"/>
  <c r="AA45" i="12"/>
  <c r="AC45" i="12" s="1"/>
  <c r="AC39" i="12"/>
  <c r="BX23" i="5"/>
  <c r="BX24" i="5" s="1"/>
  <c r="BA32" i="5"/>
  <c r="BA33" i="5" s="1"/>
  <c r="M12" i="12"/>
  <c r="M40" i="12" s="1"/>
  <c r="K6" i="10"/>
  <c r="G10" i="12"/>
  <c r="E4" i="10"/>
  <c r="CB23" i="5"/>
  <c r="CB24" i="5" s="1"/>
  <c r="BZ2" i="5"/>
  <c r="BZ23" i="5" s="1"/>
  <c r="BZ24" i="5" s="1"/>
  <c r="AA11" i="9"/>
  <c r="AC11" i="9"/>
  <c r="AA10" i="9"/>
  <c r="H10" i="12" l="1"/>
  <c r="F4" i="10"/>
  <c r="F7" i="10" s="1"/>
  <c r="H6" i="10"/>
  <c r="J4" i="10"/>
  <c r="L10" i="12"/>
  <c r="G40" i="12"/>
  <c r="J40" i="12" s="1"/>
  <c r="J12" i="12"/>
  <c r="F43" i="12"/>
  <c r="F44" i="12"/>
  <c r="F45" i="12"/>
  <c r="L40" i="12"/>
  <c r="N40" i="12" s="1"/>
  <c r="N12" i="12"/>
  <c r="AA10" i="12"/>
  <c r="G13" i="12"/>
  <c r="G38" i="12"/>
  <c r="E7" i="10"/>
  <c r="I10" i="12"/>
  <c r="G4" i="10"/>
  <c r="G7" i="10" s="1"/>
  <c r="L6" i="10"/>
  <c r="AC10" i="9"/>
  <c r="H7" i="10" l="1"/>
  <c r="F9" i="10" s="1"/>
  <c r="F10" i="10" s="1"/>
  <c r="E9" i="10"/>
  <c r="AA38" i="12"/>
  <c r="G41" i="12"/>
  <c r="H13" i="12"/>
  <c r="H38" i="12"/>
  <c r="H41" i="12" s="1"/>
  <c r="J10" i="12"/>
  <c r="J7" i="10"/>
  <c r="I13" i="12"/>
  <c r="J13" i="12" s="1"/>
  <c r="I38" i="12"/>
  <c r="L13" i="12"/>
  <c r="L38" i="12"/>
  <c r="H4" i="10"/>
  <c r="E73" i="9"/>
  <c r="E72" i="9"/>
  <c r="H15" i="12" l="1"/>
  <c r="H16" i="12" s="1"/>
  <c r="G15" i="12"/>
  <c r="J15" i="12" s="1"/>
  <c r="J16" i="12" s="1"/>
  <c r="I15" i="12"/>
  <c r="I16" i="12" s="1"/>
  <c r="G9" i="10"/>
  <c r="G10" i="10" s="1"/>
  <c r="E10" i="10"/>
  <c r="L41" i="12"/>
  <c r="I41" i="12"/>
  <c r="J38" i="12"/>
  <c r="J41" i="12" s="1"/>
  <c r="I51" i="12" s="1"/>
  <c r="AA44" i="12"/>
  <c r="J79" i="9"/>
  <c r="J78" i="9"/>
  <c r="J77" i="9"/>
  <c r="H9" i="10" l="1"/>
  <c r="H10" i="10" s="1"/>
  <c r="G16" i="12"/>
  <c r="G51" i="12"/>
  <c r="G43" i="12" s="1"/>
  <c r="I52" i="12"/>
  <c r="I56" i="12" s="1"/>
  <c r="I60" i="12" s="1"/>
  <c r="I43" i="12"/>
  <c r="L16" i="12"/>
  <c r="J10" i="10"/>
  <c r="H51" i="12"/>
  <c r="H63" i="9"/>
  <c r="G52" i="12" l="1"/>
  <c r="G56" i="12" s="1"/>
  <c r="G60" i="12" s="1"/>
  <c r="J51" i="12"/>
  <c r="J52" i="12" s="1"/>
  <c r="J56" i="12" s="1"/>
  <c r="J60" i="12" s="1"/>
  <c r="J67" i="12" s="1"/>
  <c r="M72" i="12" s="1"/>
  <c r="G67" i="12"/>
  <c r="G44" i="12"/>
  <c r="H43" i="12"/>
  <c r="J43" i="12" s="1"/>
  <c r="K43" i="12" s="1"/>
  <c r="H52" i="12"/>
  <c r="H56" i="12" s="1"/>
  <c r="H60" i="12" s="1"/>
  <c r="I67" i="12"/>
  <c r="I44" i="12"/>
  <c r="K8" i="9"/>
  <c r="H68" i="12" l="1"/>
  <c r="J68" i="12" s="1"/>
  <c r="G72" i="12"/>
  <c r="I72" i="12" s="1"/>
  <c r="O72" i="12"/>
  <c r="G73" i="12"/>
  <c r="I73" i="12" s="1"/>
  <c r="J73" i="12" s="1"/>
  <c r="G45" i="12"/>
  <c r="I45" i="12"/>
  <c r="H44" i="12"/>
  <c r="J44" i="12" s="1"/>
  <c r="K44" i="12" s="1"/>
  <c r="H67" i="12"/>
  <c r="I35" i="9"/>
  <c r="G63" i="9"/>
  <c r="I63" i="9" s="1"/>
  <c r="J72" i="12" l="1"/>
  <c r="G75" i="12"/>
  <c r="G80" i="12" s="1"/>
  <c r="H45" i="12"/>
  <c r="J45" i="12" s="1"/>
  <c r="H75" i="12"/>
  <c r="H80" i="12" s="1"/>
  <c r="K50" i="9"/>
  <c r="K46" i="12" l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H17" i="5"/>
  <c r="CJ17" i="5" s="1"/>
  <c r="CH10" i="5"/>
  <c r="CH18" i="5"/>
  <c r="CH3" i="5"/>
  <c r="CH19" i="5"/>
  <c r="CH4" i="5"/>
  <c r="CH12" i="5"/>
  <c r="CH20" i="5"/>
  <c r="CH5" i="5"/>
  <c r="CH2" i="5"/>
  <c r="CH23" i="5" s="1"/>
  <c r="CH24" i="5" s="1"/>
  <c r="CH16" i="5"/>
  <c r="CH6" i="5"/>
  <c r="CH14" i="5"/>
  <c r="CH8" i="5"/>
  <c r="CJ8" i="5" s="1"/>
  <c r="CH7" i="5"/>
  <c r="CH15" i="5"/>
  <c r="CG6" i="5"/>
  <c r="CG14" i="5"/>
  <c r="CG7" i="5"/>
  <c r="CG15" i="5"/>
  <c r="CG16" i="5"/>
  <c r="CJ16" i="5" s="1"/>
  <c r="CG9" i="5"/>
  <c r="CG10" i="5"/>
  <c r="CG18" i="5"/>
  <c r="CJ18" i="5" s="1"/>
  <c r="CG3" i="5"/>
  <c r="CG19" i="5"/>
  <c r="CG4" i="5"/>
  <c r="CG12" i="5"/>
  <c r="CG20" i="5"/>
  <c r="CJ20" i="5" s="1"/>
  <c r="CG5" i="5"/>
  <c r="CG2" i="5"/>
  <c r="CG23" i="5" s="1"/>
  <c r="CG24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12" i="5" l="1"/>
  <c r="CJ5" i="5"/>
  <c r="CJ4" i="5"/>
  <c r="CJ2" i="5"/>
  <c r="CJ23" i="5" s="1"/>
  <c r="CJ24" i="5" s="1"/>
  <c r="CJ10" i="5"/>
  <c r="CJ9" i="5"/>
  <c r="CJ15" i="5"/>
  <c r="CJ7" i="5"/>
  <c r="CJ19" i="5"/>
  <c r="CJ14" i="5"/>
  <c r="CJ3" i="5"/>
  <c r="CJ6" i="5"/>
  <c r="F80" i="9"/>
  <c r="F45" i="9"/>
  <c r="N22" i="9"/>
  <c r="N21" i="9"/>
  <c r="H51" i="9"/>
  <c r="I51" i="9"/>
  <c r="G51" i="9"/>
  <c r="G43" i="9" s="1"/>
  <c r="M10" i="12" l="1"/>
  <c r="K4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3" i="12" l="1"/>
  <c r="M38" i="12"/>
  <c r="AB10" i="12"/>
  <c r="AC10" i="12" s="1"/>
  <c r="N10" i="12"/>
  <c r="N13" i="12" s="1"/>
  <c r="K7" i="10"/>
  <c r="L4" i="10"/>
  <c r="L7" i="10" s="1"/>
  <c r="H44" i="9"/>
  <c r="N41" i="9"/>
  <c r="N38" i="9"/>
  <c r="J43" i="9"/>
  <c r="K43" i="9" s="1"/>
  <c r="I44" i="9"/>
  <c r="I67" i="9"/>
  <c r="M41" i="12" l="1"/>
  <c r="AB38" i="12"/>
  <c r="N38" i="12"/>
  <c r="I45" i="9"/>
  <c r="J44" i="9"/>
  <c r="K44" i="9" s="1"/>
  <c r="N41" i="12" l="1"/>
  <c r="I69" i="12"/>
  <c r="AB44" i="12"/>
  <c r="AC44" i="12" s="1"/>
  <c r="AC38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E03C55C-9C2F-4B57-B3DF-0CF33A5C88E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ACF01D5F-056C-4127-BAF9-A662120EBF6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9A36A1A-0E2F-4484-B83F-A351E69A00A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15C1246-BE4C-41FC-969D-8FF5CA4B18C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EA279E4-96AD-4E4A-829D-3503B003611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7B11C8D3-4E82-413E-931C-78C67A1EEB1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E3DBF5D-D27A-4DB3-8BEA-E56FFF91F45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81DE38D-0194-44F4-851F-D968D4271E4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387B5B4-6F69-403B-8C25-99009D47192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A95A7F1C-55B2-438C-B7D1-CD10317EC65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<sst xmlns="http://schemas.openxmlformats.org/spreadsheetml/2006/main" count="823" uniqueCount="366">
  <si>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</si>
  <si>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</si>
  <si>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</si>
  <si>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</si>
  <si>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</si>
  <si>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</si>
  <si>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</si>
  <si>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</si>
  <si>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</si>
  <si>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</si>
  <si>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</si>
  <si>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</si>
  <si>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</si>
  <si>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</si>
  <si>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</si>
  <si>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</si>
  <si>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</si>
  <si>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</si>
  <si>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</si>
  <si>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</si>
  <si>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</si>
  <si>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</si>
  <si>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</si>
  <si>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</si>
  <si>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</si>
  <si>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</si>
  <si>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</si>
  <si>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</si>
  <si>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</si>
  <si>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</si>
  <si>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</si>
  <si>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</si>
  <si>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</si>
  <si>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</si>
  <si>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</si>
  <si>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</si>
  <si>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</si>
  <si>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</si>
  <si>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</si>
  <si>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</si>
  <si>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</si>
  <si>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</si>
  <si>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</si>
  <si>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</si>
  <si>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</si>
  <si>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</si>
  <si>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</si>
  <si>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</si>
  <si>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</si>
  <si>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</si>
  <si>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</si>
  <si>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</si>
  <si>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</si>
  <si>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</si>
  <si>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</si>
  <si>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</si>
  <si>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</si>
  <si>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</si>
  <si>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</si>
  <si>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</si>
  <si>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</si>
  <si>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</si>
  <si>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</si>
  <si>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</si>
  <si>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</si>
  <si>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</si>
  <si>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</si>
  <si>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</si>
  <si>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</si>
  <si>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</si>
  <si>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</si>
  <si>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</si>
  <si>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</si>
  <si>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</si>
  <si>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</si>
  <si>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</si>
  <si>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</si>
  <si>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</si>
  <si>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</si>
  <si>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</si>
  <si>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</si>
  <si>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</si>
  <si>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</si>
  <si>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</si>
  <si>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</si>
  <si>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</si>
  <si>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</si>
  <si>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</si>
  <si>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</si>
  <si>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</si>
  <si>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</si>
  <si>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</si>
  <si>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</si>
  <si>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</si>
  <si>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</si>
  <si>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</si>
  <si>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</si>
  <si>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</si>
  <si>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</si>
  <si>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</si>
  <si>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</si>
  <si>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</si>
  <si>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</si>
  <si>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</si>
  <si>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</si>
  <si>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</si>
  <si>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</si>
  <si>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</si>
  <si>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</si>
  <si>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</si>
  <si>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</si>
  <si>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</si>
  <si>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</si>
  <si>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</si>
  <si>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</si>
  <si>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</si>
  <si>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</si>
  <si>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</si>
  <si>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</si>
  <si>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</si>
  <si>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</si>
  <si>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</si>
  <si>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</si>
  <si>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</si>
  <si>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</si>
  <si>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</si>
  <si>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</si>
  <si>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</si>
  <si>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</si>
  <si>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</si>
  <si>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</si>
  <si>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</si>
  <si>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</si>
  <si>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</si>
  <si>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</si>
  <si>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</si>
  <si>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</si>
  <si>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</si>
  <si>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</si>
  <si>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</si>
  <si>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</si>
  <si>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</si>
  <si>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</si>
  <si>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</si>
  <si>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</si>
  <si>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</si>
  <si>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</si>
  <si>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</si>
  <si>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</si>
  <si>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</si>
  <si>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</si>
  <si>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</si>
  <si>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</si>
  <si>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</si>
  <si>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</si>
  <si>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</si>
  <si>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</si>
  <si>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</si>
  <si>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</si>
  <si>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</si>
  <si>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</si>
  <si>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</si>
  <si>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194</t>
  </si>
  <si>
    <t>2112</t>
  </si>
  <si>
    <t>BUREAU CHIEF, OPS DH</t>
  </si>
  <si>
    <t>0475</t>
  </si>
  <si>
    <t>12</t>
  </si>
  <si>
    <t>GVHR</t>
  </si>
  <si>
    <t>001</t>
  </si>
  <si>
    <t>04610</t>
  </si>
  <si>
    <t>P</t>
  </si>
  <si>
    <t>F</t>
  </si>
  <si>
    <t>CR</t>
  </si>
  <si>
    <t>WHITE, JANELLE D.</t>
  </si>
  <si>
    <t>WHITE</t>
  </si>
  <si>
    <t>JANELLE</t>
  </si>
  <si>
    <t>DEE</t>
  </si>
  <si>
    <t xml:space="preserve">HP   </t>
  </si>
  <si>
    <t>H</t>
  </si>
  <si>
    <t>FS</t>
  </si>
  <si>
    <t>E</t>
  </si>
  <si>
    <t>N</t>
  </si>
  <si>
    <t>Y</t>
  </si>
  <si>
    <t xml:space="preserve">    </t>
  </si>
  <si>
    <t>2110</t>
  </si>
  <si>
    <t>HR STRATEGIC BUS PAR</t>
  </si>
  <si>
    <t>05137</t>
  </si>
  <si>
    <t>O</t>
  </si>
  <si>
    <t>PEUGH, MICHELLE R.</t>
  </si>
  <si>
    <t>PEUGH</t>
  </si>
  <si>
    <t>MICHELLE</t>
  </si>
  <si>
    <t>RENEE</t>
  </si>
  <si>
    <t xml:space="preserve">HO   </t>
  </si>
  <si>
    <t>1514</t>
  </si>
  <si>
    <t xml:space="preserve">HUMAN RESOURCES PRG </t>
  </si>
  <si>
    <t>05932</t>
  </si>
  <si>
    <t>BUFFI, SHEENA D.</t>
  </si>
  <si>
    <t>BUFFI</t>
  </si>
  <si>
    <t>SHEENA</t>
  </si>
  <si>
    <t xml:space="preserve">HN   </t>
  </si>
  <si>
    <t>1513</t>
  </si>
  <si>
    <t>LOPEZ, ASHLEIGH K.</t>
  </si>
  <si>
    <t>LOPEZ</t>
  </si>
  <si>
    <t>ASHLEIGH</t>
  </si>
  <si>
    <t>K</t>
  </si>
  <si>
    <t>1512</t>
  </si>
  <si>
    <t>DUNCAN, SHARON L.</t>
  </si>
  <si>
    <t>DUNCAN</t>
  </si>
  <si>
    <t>SHARON</t>
  </si>
  <si>
    <t>L</t>
  </si>
  <si>
    <t>1223</t>
  </si>
  <si>
    <t xml:space="preserve">HUMAN RESOURCE SPEC </t>
  </si>
  <si>
    <t>05141</t>
  </si>
  <si>
    <t>EISMANN, CHRISTIAN H.</t>
  </si>
  <si>
    <t>EISMANN</t>
  </si>
  <si>
    <t>CHRISTIAN</t>
  </si>
  <si>
    <t xml:space="preserve">HK   </t>
  </si>
  <si>
    <t>1222</t>
  </si>
  <si>
    <t>GOVERNMENT LIAISON S</t>
  </si>
  <si>
    <t>04350</t>
  </si>
  <si>
    <t>J</t>
  </si>
  <si>
    <t>NR</t>
  </si>
  <si>
    <t>MINYARD, CATHERINE A.</t>
  </si>
  <si>
    <t>MINYARD</t>
  </si>
  <si>
    <t>CATHERINE</t>
  </si>
  <si>
    <t>ANNE</t>
  </si>
  <si>
    <t>00000</t>
  </si>
  <si>
    <t>1221</t>
  </si>
  <si>
    <t>HUMAN RESOURCE SPEC,</t>
  </si>
  <si>
    <t>05134</t>
  </si>
  <si>
    <t>M</t>
  </si>
  <si>
    <t>WESTENSKOW, HALEY N.</t>
  </si>
  <si>
    <t>WESTENSKOW</t>
  </si>
  <si>
    <t>HALEY</t>
  </si>
  <si>
    <t>NICHOLE</t>
  </si>
  <si>
    <t xml:space="preserve">HM   </t>
  </si>
  <si>
    <t>1214</t>
  </si>
  <si>
    <t>BATTEN, ANDREA M.</t>
  </si>
  <si>
    <t>BATTEN</t>
  </si>
  <si>
    <t>ANDREA</t>
  </si>
  <si>
    <t>9999</t>
  </si>
  <si>
    <t xml:space="preserve">GROUP POSITION      </t>
  </si>
  <si>
    <t>90000</t>
  </si>
  <si>
    <t>00</t>
  </si>
  <si>
    <t>V</t>
  </si>
  <si>
    <t>NG</t>
  </si>
  <si>
    <t>1213</t>
  </si>
  <si>
    <t>LOPEZ, HANNAH K.</t>
  </si>
  <si>
    <t>HANNAH</t>
  </si>
  <si>
    <t>KATHLEEN FELT</t>
  </si>
  <si>
    <t>9916</t>
  </si>
  <si>
    <t>IDAHO PERSONNEL COMM</t>
  </si>
  <si>
    <t>50300</t>
  </si>
  <si>
    <t>1212</t>
  </si>
  <si>
    <t>STEPHENS, LEANN C.</t>
  </si>
  <si>
    <t>STEPHENS</t>
  </si>
  <si>
    <t>LEANN</t>
  </si>
  <si>
    <t>CAROL</t>
  </si>
  <si>
    <t>1211</t>
  </si>
  <si>
    <t>ZIMMERMAN, CHRYSTELLE C.</t>
  </si>
  <si>
    <t>ZIMMERMAN</t>
  </si>
  <si>
    <t>CHRYSTELLE</t>
  </si>
  <si>
    <t>CATHRINE</t>
  </si>
  <si>
    <t>1117</t>
  </si>
  <si>
    <t xml:space="preserve">TRAINING &amp; DEV MGR  </t>
  </si>
  <si>
    <t>05120</t>
  </si>
  <si>
    <t>HUFFAKER, JANA L.</t>
  </si>
  <si>
    <t>HUFFAKER</t>
  </si>
  <si>
    <t>JANA</t>
  </si>
  <si>
    <t>LYNN</t>
  </si>
  <si>
    <t>1110</t>
  </si>
  <si>
    <t xml:space="preserve">ADMINISTRATOR       </t>
  </si>
  <si>
    <t>29000</t>
  </si>
  <si>
    <t>WOLFF, LORI A.</t>
  </si>
  <si>
    <t>WOLFF</t>
  </si>
  <si>
    <t>LORI</t>
  </si>
  <si>
    <t>ARFMANN</t>
  </si>
  <si>
    <t>0029</t>
  </si>
  <si>
    <t>HEALTH EDUCATION SPE</t>
  </si>
  <si>
    <t>02356</t>
  </si>
  <si>
    <t>KRAFT, ANGELA N.</t>
  </si>
  <si>
    <t>KRAFT</t>
  </si>
  <si>
    <t>ANGELA</t>
  </si>
  <si>
    <t xml:space="preserve">HL   </t>
  </si>
  <si>
    <t>0017</t>
  </si>
  <si>
    <t xml:space="preserve">TRAINING SPEC       </t>
  </si>
  <si>
    <t>05122</t>
  </si>
  <si>
    <t>CLOUD, CARRIE L.</t>
  </si>
  <si>
    <t>CLOUD</t>
  </si>
  <si>
    <t>CARRIE</t>
  </si>
  <si>
    <t>0005</t>
  </si>
  <si>
    <t>HUMAN RESOURCE ASSOC</t>
  </si>
  <si>
    <t>05158</t>
  </si>
  <si>
    <t>I</t>
  </si>
  <si>
    <t>HALL, RACHEAL R.</t>
  </si>
  <si>
    <t>HALL</t>
  </si>
  <si>
    <t>RACHEAL</t>
  </si>
  <si>
    <t>RENAE</t>
  </si>
  <si>
    <t xml:space="preserve">HI   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</si>
  <si>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</si>
  <si>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</si>
  <si>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</si>
  <si>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</si>
  <si>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</si>
  <si>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</si>
  <si>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</si>
  <si>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</si>
  <si>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</si>
  <si>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</si>
  <si>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</si>
  <si>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</si>
  <si>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</si>
  <si>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</si>
  <si>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</si>
  <si>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</si>
  <si>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</si>
  <si>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</si>
  <si>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</si>
  <si>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</si>
  <si>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</si>
  <si>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</si>
  <si>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</si>
  <si>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</si>
  <si>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</si>
  <si>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</si>
  <si>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</si>
  <si>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</si>
  <si>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</si>
  <si>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</si>
  <si>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</si>
  <si>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</si>
  <si>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</si>
  <si>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</si>
  <si>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</si>
  <si>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</si>
  <si>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</si>
  <si>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</si>
  <si>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</si>
  <si>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</si>
  <si>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</si>
  <si>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</si>
  <si>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</si>
  <si>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</si>
  <si>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</si>
  <si>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</si>
  <si>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</si>
  <si>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</si>
  <si>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GVHR 0475-12</t>
  </si>
  <si>
    <t>GVHR 0475</t>
  </si>
  <si>
    <t>Office of the Governor</t>
  </si>
  <si>
    <t>Division of Human Resources</t>
  </si>
  <si>
    <t>0475-12</t>
  </si>
  <si>
    <t>47512</t>
  </si>
  <si>
    <t>Division of Human Resources, Division of Human Resources   GVHR-0475-12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</si>
  <si>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</si>
  <si>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</si>
  <si>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</si>
  <si>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</si>
  <si>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</si>
  <si>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</si>
  <si>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</si>
  <si>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Fund-0475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</si>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</sst>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5" fontId="45" fillId="0" borderId="18" xfId="0" applyNumberFormat="1" applyFont="1" applyBorder="1" applyAlignment="1">
      <alignment vertical="top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7" fillId="0" borderId="0" xfId="7" applyFont="1" applyBorder="1" applyAlignment="1" applyProtection="1">
      <alignment horizontal="center" vertical="center" wrapText="1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BBD7-5D93-444C-BB96-08814E433928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349</v>
      </c>
      <c r="E1" s="15"/>
      <c r="F1" s="15"/>
      <c r="G1" s="15"/>
      <c r="H1" s="15"/>
      <c r="I1" s="15"/>
      <c r="J1" s="15"/>
      <c r="K1" s="15"/>
      <c r="L1" s="16" t="s">
        <v>14</v>
      </c>
      <c r="M1" s="399">
        <v>194</v>
      </c>
      <c r="N1" s="400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350</v>
      </c>
      <c r="E2" s="21"/>
      <c r="F2" s="21"/>
      <c r="G2" s="21"/>
      <c r="H2" s="21"/>
      <c r="I2" s="21"/>
      <c r="J2" s="20"/>
      <c r="K2" s="20"/>
      <c r="L2" s="22" t="s">
        <v>113</v>
      </c>
      <c r="M2" s="401" t="s">
        <v>352</v>
      </c>
      <c r="N2" s="402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350</v>
      </c>
      <c r="E3" s="24"/>
      <c r="F3" s="25"/>
      <c r="G3" s="25"/>
      <c r="H3" s="25"/>
      <c r="I3" s="26"/>
      <c r="J3" s="20"/>
      <c r="K3" s="20"/>
      <c r="L3" s="22" t="s">
        <v>114</v>
      </c>
      <c r="M3" s="399" t="s">
        <v>167</v>
      </c>
      <c r="N3" s="400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399">
        <v>2023</v>
      </c>
      <c r="N4" s="400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1" t="s">
        <v>350</v>
      </c>
      <c r="J5" s="403"/>
      <c r="K5" s="403"/>
      <c r="L5" s="402"/>
      <c r="M5" s="352" t="s">
        <v>115</v>
      </c>
      <c r="N5" s="32" t="s">
        <v>351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6" t="s">
        <v>22</v>
      </c>
      <c r="D8" s="387"/>
      <c r="E8" s="370" t="s">
        <v>23</v>
      </c>
      <c r="F8" s="49" t="s">
        <v>24</v>
      </c>
      <c r="G8" s="50" t="str">
        <f>"FY "&amp;'GVHR|0475-12'!FiscalYear-1&amp;" SALARY"</f>
        <v>FY 2022 SALARY</v>
      </c>
      <c r="H8" s="50" t="str">
        <f>"FY "&amp;'GVHR|0475-12'!FiscalYear-1&amp;" HEALTH BENEFITS"</f>
        <v>FY 2022 HEALTH BENEFITS</v>
      </c>
      <c r="I8" s="50" t="str">
        <f>"FY "&amp;'GVHR|0475-12'!FiscalYear-1&amp;" VAR BENEFITS"</f>
        <v>FY 2022 VAR BENEFITS</v>
      </c>
      <c r="J8" s="50" t="str">
        <f>"FY "&amp;'GVHR|0475-12'!FiscalYear-1&amp;" TOTAL"</f>
        <v>FY 2022 TOTAL</v>
      </c>
      <c r="K8" s="50" t="str">
        <f>"FY "&amp;'GVHR|0475-12'!FiscalYear&amp;" SALARY CHANGE"</f>
        <v>FY 2023 SALARY CHANGE</v>
      </c>
      <c r="L8" s="50" t="str">
        <f>"FY "&amp;'GVHR|0475-12'!FiscalYear&amp;" CHG HEALTH BENEFITS"</f>
        <v>FY 2023 CHG HEALTH BENEFITS</v>
      </c>
      <c r="M8" s="50" t="str">
        <f>"FY "&amp;'GVHR|0475-12'!FiscalYear&amp;"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7" t="s">
        <v>105</v>
      </c>
      <c r="AB8" s="437"/>
      <c r="AC8" s="43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8" t="s">
        <v>26</v>
      </c>
      <c r="D9" s="38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4" t="s">
        <v>27</v>
      </c>
      <c r="D10" s="390"/>
      <c r="E10" s="217">
        <v>1</v>
      </c>
      <c r="F10" s="288">
        <f>[0]!GVHR047512col_INC_FTI</f>
        <v>17</v>
      </c>
      <c r="G10" s="218">
        <f>[0]!GVHR047512col_FTI_SALARY_PERM</f>
        <v>1253012.8</v>
      </c>
      <c r="H10" s="218">
        <f>[0]!GVHR047512col_HEALTH_PERM</f>
        <v>198050</v>
      </c>
      <c r="I10" s="218">
        <f>[0]!GVHR047512col_TOT_VB_PERM</f>
        <v>266856.53681599995</v>
      </c>
      <c r="J10" s="219">
        <f>SUM(G10:I10)</f>
        <v>1717919.3368160001</v>
      </c>
      <c r="K10" s="219">
        <f>[0]!GVHR047512col_1_27TH_PP</f>
        <v>0</v>
      </c>
      <c r="L10" s="218">
        <f>[0]!GVHR047512col_HEALTH_PERM_CHG</f>
        <v>0</v>
      </c>
      <c r="M10" s="218">
        <f>[0]!GVHR047512col_TOT_VB_PERM_CHG</f>
        <v>-5464.4195199999986</v>
      </c>
      <c r="N10" s="218">
        <f>SUM(L10:M10)</f>
        <v>-5464.4195199999986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12500</v>
      </c>
      <c r="AB10" s="335">
        <f>ROUND(PermVarBen*CECPerm+(CECPerm*PermVarBenChg),-2)</f>
        <v>2600</v>
      </c>
      <c r="AC10" s="335">
        <f>SUM(AA10:AB10)</f>
        <v>15100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4" t="s">
        <v>28</v>
      </c>
      <c r="D11" s="390"/>
      <c r="E11" s="217">
        <v>2</v>
      </c>
      <c r="F11" s="288"/>
      <c r="G11" s="218">
        <f>[0]!GVHR047512col_Group_Salary</f>
        <v>0</v>
      </c>
      <c r="H11" s="218">
        <v>0</v>
      </c>
      <c r="I11" s="218">
        <f>[0]!GVHR047512col_Group_Ben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4" t="s">
        <v>29</v>
      </c>
      <c r="D12" s="385"/>
      <c r="E12" s="217">
        <v>3</v>
      </c>
      <c r="F12" s="288">
        <f>[0]!GVHR047512col_TOTAL_ELECT_PCN_FTI</f>
        <v>0</v>
      </c>
      <c r="G12" s="218">
        <f>[0]!GVHR047512col_FTI_SALARY_ELECT</f>
        <v>0</v>
      </c>
      <c r="H12" s="218">
        <f>[0]!GVHR047512col_HEALTH_ELECT</f>
        <v>0</v>
      </c>
      <c r="I12" s="218">
        <f>[0]!GVHR047512col_TOT_VB_ELECT</f>
        <v>0</v>
      </c>
      <c r="J12" s="219">
        <f>SUM(G12:I12)</f>
        <v>0</v>
      </c>
      <c r="K12" s="268"/>
      <c r="L12" s="218">
        <f>[0]!GVHR047512col_HEALTH_ELECT_CHG</f>
        <v>0</v>
      </c>
      <c r="M12" s="218">
        <f>[0]!GVHR047512col_TOT_VB_ELECT_CHG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4" t="s">
        <v>30</v>
      </c>
      <c r="D13" s="390"/>
      <c r="E13" s="217"/>
      <c r="F13" s="220">
        <f>SUM(F10:F12)</f>
        <v>17</v>
      </c>
      <c r="G13" s="221">
        <f>SUM(G10:G12)</f>
        <v>1253012.8</v>
      </c>
      <c r="H13" s="221">
        <f>SUM(H10:H12)</f>
        <v>198050</v>
      </c>
      <c r="I13" s="221">
        <f>SUM(I10:I12)</f>
        <v>266856.53681599995</v>
      </c>
      <c r="J13" s="219">
        <f>SUM(G13:I13)</f>
        <v>1717919.3368160001</v>
      </c>
      <c r="K13" s="268"/>
      <c r="L13" s="219">
        <f>SUM(L10:L12)</f>
        <v>0</v>
      </c>
      <c r="M13" s="219">
        <f>SUM(M10:M12)</f>
        <v>-5464.4195199999986</v>
      </c>
      <c r="N13" s="219">
        <f>SUM(N10:N12)</f>
        <v>-5464.4195199999986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"&amp;'GVHR|0475-12'!FiscalYear-1</f>
        <v>FY 2022</v>
      </c>
      <c r="D15" s="158" t="s">
        <v>31</v>
      </c>
      <c r="E15" s="355">
        <v>1717000</v>
      </c>
      <c r="F15" s="55">
        <v>17</v>
      </c>
      <c r="G15" s="223">
        <f>IF(OrigApprop=0,0,(G13/$J$13)*OrigApprop)</f>
        <v>1252342.255828762</v>
      </c>
      <c r="H15" s="223">
        <f>IF(OrigApprop=0,0,(H13/$J$13)*OrigApprop)</f>
        <v>197944.01443216405</v>
      </c>
      <c r="I15" s="223">
        <f>IF(G15=0,0,(I13/$J$13)*OrigApprop)</f>
        <v>266713.72973907401</v>
      </c>
      <c r="J15" s="223">
        <f>SUM(G15:I15)</f>
        <v>1717000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1" t="s">
        <v>32</v>
      </c>
      <c r="D16" s="392"/>
      <c r="E16" s="160" t="s">
        <v>33</v>
      </c>
      <c r="F16" s="161">
        <f>F15-F13</f>
        <v>0</v>
      </c>
      <c r="G16" s="162">
        <f>G15-G13</f>
        <v>-670.54417123808526</v>
      </c>
      <c r="H16" s="162">
        <f>H15-H13</f>
        <v>-105.9855678359454</v>
      </c>
      <c r="I16" s="162">
        <f>I15-I13</f>
        <v>-142.80707692593569</v>
      </c>
      <c r="J16" s="162">
        <f>J15-J13</f>
        <v>-919.33681600005366</v>
      </c>
      <c r="K16" s="269"/>
      <c r="L16" s="56" t="str">
        <f>IF('GVHR|0475-12'!OrigApprop=0,"ERROR! Enter Original Appropriation amount in DU 3.00!","Calculated "&amp;IF('GVHR|0475-12'!AdjustedTotal&gt;0,"overfunding ","underfunding ")&amp;"is "&amp;TEXT('GVHR|0475-12'!AdjustedTotal/'GVHR|0475-12'!AppropTotal,"#.0%;(#.0% );0% ;")&amp;" of Original Appropriation")</f>
        <v>Calculated underfunding is (.1%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3" t="s">
        <v>34</v>
      </c>
      <c r="D17" s="394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5" t="s">
        <v>35</v>
      </c>
      <c r="D18" s="396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7" t="s">
        <v>37</v>
      </c>
      <c r="D37" s="398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8" t="s">
        <v>107</v>
      </c>
      <c r="AB37" s="439"/>
      <c r="AC37" s="439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4" t="str">
        <f>perm_name</f>
        <v>Permanent Positions</v>
      </c>
      <c r="D38" s="385"/>
      <c r="E38" s="189">
        <v>1</v>
      </c>
      <c r="F38" s="190">
        <f>SUMIF($E9:$E35,$E38,$F9:$F35)</f>
        <v>17</v>
      </c>
      <c r="G38" s="191">
        <f>SUMIF($E10:$E35,$E38,$G10:$G35)</f>
        <v>1253012.8</v>
      </c>
      <c r="H38" s="192">
        <f>SUMIF($E10:$E35,$E38,$H10:$H35)</f>
        <v>198050</v>
      </c>
      <c r="I38" s="192">
        <f>SUMIF($E10:$E35,$E38,$I10:$I35)</f>
        <v>266856.53681599995</v>
      </c>
      <c r="J38" s="192">
        <f>SUM(G38:I38)</f>
        <v>1717919.3368160001</v>
      </c>
      <c r="K38" s="166"/>
      <c r="L38" s="191">
        <f>SUMIF($E10:$E35,$E38,$L10:$L35)</f>
        <v>0</v>
      </c>
      <c r="M38" s="192">
        <f>SUMIF($E10:$E35,$E38,$M10:$M35)</f>
        <v>-5464.4195199999986</v>
      </c>
      <c r="N38" s="192">
        <f>SUM(L38:M38)</f>
        <v>-5464.4195199999986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12500</v>
      </c>
      <c r="AB38" s="338">
        <f>ROUND((AdjPermVB*CECPerm+AdjPermVBBY*CECPerm),-2)</f>
        <v>2600</v>
      </c>
      <c r="AC38" s="338">
        <f>SUM(AA38:AB38)</f>
        <v>15100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4" t="str">
        <f>Group_name</f>
        <v>Board &amp; Group Positions</v>
      </c>
      <c r="D39" s="38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4" t="s">
        <v>38</v>
      </c>
      <c r="D41" s="385"/>
      <c r="E41" s="189"/>
      <c r="F41" s="161">
        <f>SUM(F38:F40)</f>
        <v>17</v>
      </c>
      <c r="G41" s="195">
        <f>SUM($G$38:$G$40)</f>
        <v>1253012.8</v>
      </c>
      <c r="H41" s="162">
        <f>SUM($H$38:$H$40)</f>
        <v>198050</v>
      </c>
      <c r="I41" s="162">
        <f>SUM($I$38:$I$40)</f>
        <v>266856.53681599995</v>
      </c>
      <c r="J41" s="162">
        <f>SUM($J$38:$J$40)</f>
        <v>1717919.3368160001</v>
      </c>
      <c r="K41" s="259"/>
      <c r="L41" s="195">
        <f>SUM($L$38:$L$40)</f>
        <v>0</v>
      </c>
      <c r="M41" s="162">
        <f>SUM($M$38:$M$40)</f>
        <v>-5464.4195199999986</v>
      </c>
      <c r="N41" s="162">
        <f>SUM(L41:M41)</f>
        <v>-5464.4195199999986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-700</v>
      </c>
      <c r="H43" s="159">
        <f>ROUND(H51-H41,-2)</f>
        <v>-100</v>
      </c>
      <c r="I43" s="159">
        <f>ROUND(I51-I41,-2)</f>
        <v>-100</v>
      </c>
      <c r="J43" s="159">
        <f>SUM(G43:I43)</f>
        <v>-900</v>
      </c>
      <c r="K43" s="412" t="str">
        <f>IF(E51=0,"ERROR! Enter Original Appropriation amount in DU 3.00!","Calculated "&amp;IF(J43&gt;0,"overfunding ","underfunding ")&amp;"is "&amp;TEXT(J43/J51,"#.0%;(#.0% );0% ;")&amp;" of Original Appropriation")</f>
        <v>Calculated underfunding is (.1% ) of Original Appropriation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0" t="s">
        <v>108</v>
      </c>
      <c r="AB43" s="441"/>
      <c r="AC43" s="44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-700</v>
      </c>
      <c r="H44" s="159">
        <f>ROUND(H60-H41,-2)</f>
        <v>-200</v>
      </c>
      <c r="I44" s="159">
        <f>ROUND(I60-I41,-2)</f>
        <v>-200</v>
      </c>
      <c r="J44" s="159">
        <f>SUM(G44:I44)</f>
        <v>-1100</v>
      </c>
      <c r="K44" s="412" t="str">
        <f>IF(E51=0,"ERROR! Enter Original Appropriation amount in DU 3.00!","Calculated "&amp;IF(J44&gt;0,"overfunding ","underfunding ")&amp;"is "&amp;TEXT(J44/J60,"#.0%;(#.0% );0% ;")&amp;" of Estimated Expenditures")</f>
        <v>Calculated underfunding is (.1% ) of Estimated Expenditures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-700</v>
      </c>
      <c r="H45" s="206">
        <f>ROUND(H67-H41-H63,-2)</f>
        <v>-200</v>
      </c>
      <c r="I45" s="206">
        <f>ROUND(I67-I41-I63,-2)</f>
        <v>-200</v>
      </c>
      <c r="J45" s="159">
        <f>SUM(G45:I45)</f>
        <v>-1100</v>
      </c>
      <c r="K45" s="412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(.1% ) of the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1" t="s">
        <v>100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1717000</v>
      </c>
      <c r="F51" s="272">
        <f>AppropFTP</f>
        <v>17</v>
      </c>
      <c r="G51" s="274">
        <f>IF(E51=0,0,(G41/$J$41)*$E$51)</f>
        <v>1252342.255828762</v>
      </c>
      <c r="H51" s="274">
        <f>IF(E51=0,0,(H41/$J$41)*$E$51)</f>
        <v>197944.01443216405</v>
      </c>
      <c r="I51" s="275">
        <f>IF(E51=0,0,(I41/$J$41)*$E$51)</f>
        <v>266713.72973907401</v>
      </c>
      <c r="J51" s="90">
        <f>SUM(G51:I51)</f>
        <v>1717000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17</v>
      </c>
      <c r="G52" s="79">
        <f>ROUND(G51,-2)</f>
        <v>1252300</v>
      </c>
      <c r="H52" s="79">
        <f>ROUND(H51,-2)</f>
        <v>197900</v>
      </c>
      <c r="I52" s="266">
        <f>ROUND(I51,-2)</f>
        <v>266700</v>
      </c>
      <c r="J52" s="80">
        <f>ROUND(J51,-2)</f>
        <v>1717000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0" t="s">
        <v>49</v>
      </c>
      <c r="D55" s="41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17</v>
      </c>
      <c r="G56" s="80">
        <f>SUM(G52:G55)</f>
        <v>1252300</v>
      </c>
      <c r="H56" s="80">
        <f>SUM(H52:H55)</f>
        <v>197900</v>
      </c>
      <c r="I56" s="260">
        <f>SUM(I52:I55)</f>
        <v>266700</v>
      </c>
      <c r="J56" s="80">
        <f>SUM(J52:J55)</f>
        <v>1717000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6" t="s">
        <v>51</v>
      </c>
      <c r="D57" s="407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0" t="s">
        <v>66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17</v>
      </c>
      <c r="G60" s="80">
        <f>SUM(G56:G59)</f>
        <v>1252300</v>
      </c>
      <c r="H60" s="80">
        <f>SUM(H56:H59)</f>
        <v>197900</v>
      </c>
      <c r="I60" s="260">
        <f>SUM(I56:I59)</f>
        <v>266700</v>
      </c>
      <c r="J60" s="80">
        <f>SUM(J56:J59)</f>
        <v>1717000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6" t="s">
        <v>54</v>
      </c>
      <c r="D61" s="407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4" t="s">
        <v>56</v>
      </c>
      <c r="D64" s="40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2"/>
      <c r="D65" s="443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17</v>
      </c>
      <c r="G67" s="80">
        <f>SUM(G60:G64)</f>
        <v>1252300</v>
      </c>
      <c r="H67" s="80">
        <f>SUM(H60:H64)</f>
        <v>197900</v>
      </c>
      <c r="I67" s="80">
        <f>SUM(I60:I64)</f>
        <v>266700</v>
      </c>
      <c r="J67" s="80">
        <f>SUM(J60:J64)</f>
        <v>1717000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6" t="s">
        <v>58</v>
      </c>
      <c r="D68" s="43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6" t="s">
        <v>59</v>
      </c>
      <c r="D69" s="431"/>
      <c r="E69" s="112"/>
      <c r="F69" s="288"/>
      <c r="G69" s="113"/>
      <c r="H69" s="113"/>
      <c r="I69" s="113">
        <f>IF(DUNine=0,0,ROUND(SUM(M41:M64),-2))</f>
        <v>-5500</v>
      </c>
      <c r="J69" s="287">
        <f>SUM(G69:I69)</f>
        <v>-5500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8" t="s">
        <v>101</v>
      </c>
      <c r="D72" s="434"/>
      <c r="E72" s="290">
        <f>CECPerm</f>
        <v>0.01</v>
      </c>
      <c r="F72" s="288"/>
      <c r="G72" s="356">
        <f>IF(DUNine=0,0,IF(DUNine&lt;0,0,ROUND(AdjPermSalary*CECPerm,-2)))</f>
        <v>12500</v>
      </c>
      <c r="H72" s="287"/>
      <c r="I72" s="287">
        <f>ROUND(($G72*PermVBBY+$G72*Retire1BY),-2)</f>
        <v>2600</v>
      </c>
      <c r="J72" s="113">
        <f>SUM(G72:I72)</f>
        <v>15100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8" t="s">
        <v>61</v>
      </c>
      <c r="D73" s="43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17</v>
      </c>
      <c r="G75" s="80">
        <f>SUM(G67:G74)</f>
        <v>1264800</v>
      </c>
      <c r="H75" s="80">
        <f>SUM(H67:H74)</f>
        <v>197900</v>
      </c>
      <c r="I75" s="80">
        <f>SUM(I67:I74)</f>
        <v>263800</v>
      </c>
      <c r="J75" s="80">
        <f>SUM(J67:K74)</f>
        <v>1726600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5" t="s">
        <v>64</v>
      </c>
      <c r="D76" s="43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17</v>
      </c>
      <c r="G80" s="80">
        <f>SUM(G75:G79)</f>
        <v>1264800</v>
      </c>
      <c r="H80" s="80">
        <f>SUM(H75:H79)</f>
        <v>197900</v>
      </c>
      <c r="I80" s="80">
        <f>SUM(I75:I79)</f>
        <v>263800</v>
      </c>
      <c r="J80" s="80">
        <f>SUM(J75:J79)</f>
        <v>1726600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92CBB3-4765-4C5D-A9C9-53785B4B16B4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41"/>
  <sheetViews>
    <sheetView workbookViewId="0">
      <pane xSplit="3" ySplit="1" topLeftCell="AM25" activePane="bottomRight" state="frozen"/>
      <selection pane="topRight" activeCell="D1" sqref="D1"/>
      <selection pane="bottomLeft" activeCell="A2" sqref="A2"/>
      <selection pane="bottomRight" activeCell="AS32" sqref="AS32:BA41"/>
    </sheetView>
  </sheetViews>
  <sheetFormatPr defaultRowHeight="14.4" x14ac:dyDescent="0.3"/>
  <cols>
    <col min="45" max="53" width="15.77734375" customWidth="1"/>
    <col min="54" max="54" width="11.6640625" bestFit="1" customWidth="1"/>
    <col min="55" max="55" width="9" bestFit="1" customWidth="1"/>
    <col min="56" max="57" width="10.5546875" bestFit="1" customWidth="1"/>
    <col min="58" max="58" width="11.6640625" bestFit="1" customWidth="1"/>
    <col min="59" max="62" width="9.44140625" bestFit="1" customWidth="1"/>
    <col min="63" max="63" width="9" bestFit="1" customWidth="1"/>
    <col min="64" max="64" width="11.6640625" bestFit="1" customWidth="1"/>
    <col min="65" max="65" width="9" bestFit="1" customWidth="1"/>
    <col min="66" max="66" width="11.6640625" bestFit="1" customWidth="1"/>
    <col min="67" max="67" width="9" bestFit="1" customWidth="1"/>
    <col min="68" max="69" width="10.5546875" bestFit="1" customWidth="1"/>
    <col min="70" max="70" width="11.6640625" bestFit="1" customWidth="1"/>
    <col min="71" max="71" width="9.44140625" bestFit="1" customWidth="1"/>
    <col min="72" max="72" width="9" bestFit="1" customWidth="1"/>
    <col min="73" max="74" width="9.44140625" bestFit="1" customWidth="1"/>
    <col min="75" max="75" width="9" bestFit="1" customWidth="1"/>
    <col min="76" max="76" width="11.6640625" bestFit="1" customWidth="1"/>
    <col min="77" max="83" width="9" bestFit="1" customWidth="1"/>
    <col min="84" max="84" width="10.109375" bestFit="1" customWidth="1"/>
    <col min="85" max="87" width="9" bestFit="1" customWidth="1"/>
    <col min="88" max="88" width="10.109375" bestFit="1" customWidth="1"/>
    <col min="89" max="91" width="9" bestFit="1" customWidth="1"/>
  </cols>
  <sheetData>
    <row r="1" spans="1:92" ht="12.75" customHeight="1" thickBot="1" x14ac:dyDescent="0.35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460" t="s">
        <v>299</v>
      </c>
      <c r="AT1" s="460" t="s">
        <v>300</v>
      </c>
      <c r="AU1" s="460" t="s">
        <v>301</v>
      </c>
      <c r="AV1" s="460" t="s">
        <v>302</v>
      </c>
      <c r="AW1" s="460" t="s">
        <v>303</v>
      </c>
      <c r="AX1" s="460" t="s">
        <v>304</v>
      </c>
      <c r="AY1" s="460" t="s">
        <v>305</v>
      </c>
      <c r="AZ1" s="460" t="s">
        <v>306</v>
      </c>
      <c r="BA1" s="462" t="s">
        <v>307</v>
      </c>
      <c r="BB1" s="463" t="s">
        <v>308</v>
      </c>
      <c r="BC1" s="463" t="s">
        <v>309</v>
      </c>
      <c r="BD1" s="463" t="s">
        <v>310</v>
      </c>
      <c r="BE1" s="463" t="s">
        <v>311</v>
      </c>
      <c r="BF1" s="463" t="s">
        <v>312</v>
      </c>
      <c r="BG1" s="463" t="s">
        <v>313</v>
      </c>
      <c r="BH1" s="463" t="s">
        <v>314</v>
      </c>
      <c r="BI1" s="463" t="s">
        <v>315</v>
      </c>
      <c r="BJ1" s="463" t="s">
        <v>316</v>
      </c>
      <c r="BK1" s="463" t="s">
        <v>317</v>
      </c>
      <c r="BL1" s="464" t="s">
        <v>318</v>
      </c>
      <c r="BM1" s="464" t="s">
        <v>319</v>
      </c>
      <c r="BN1" s="463" t="s">
        <v>320</v>
      </c>
      <c r="BO1" s="463" t="s">
        <v>321</v>
      </c>
      <c r="BP1" s="463" t="s">
        <v>322</v>
      </c>
      <c r="BQ1" s="463" t="s">
        <v>323</v>
      </c>
      <c r="BR1" s="463" t="s">
        <v>324</v>
      </c>
      <c r="BS1" s="463" t="s">
        <v>325</v>
      </c>
      <c r="BT1" s="463" t="s">
        <v>326</v>
      </c>
      <c r="BU1" s="463" t="s">
        <v>327</v>
      </c>
      <c r="BV1" s="463" t="s">
        <v>328</v>
      </c>
      <c r="BW1" s="463" t="s">
        <v>329</v>
      </c>
      <c r="BX1" s="464" t="s">
        <v>330</v>
      </c>
      <c r="BY1" s="464" t="s">
        <v>331</v>
      </c>
      <c r="BZ1" s="463" t="s">
        <v>332</v>
      </c>
      <c r="CA1" s="463" t="s">
        <v>333</v>
      </c>
      <c r="CB1" s="463" t="s">
        <v>334</v>
      </c>
      <c r="CC1" s="463" t="s">
        <v>335</v>
      </c>
      <c r="CD1" s="463" t="s">
        <v>336</v>
      </c>
      <c r="CE1" s="463" t="s">
        <v>337</v>
      </c>
      <c r="CF1" s="463" t="s">
        <v>338</v>
      </c>
      <c r="CG1" s="463" t="s">
        <v>339</v>
      </c>
      <c r="CH1" s="463" t="s">
        <v>340</v>
      </c>
      <c r="CI1" s="463" t="s">
        <v>341</v>
      </c>
      <c r="CJ1" s="464" t="s">
        <v>342</v>
      </c>
      <c r="CK1" s="464" t="s">
        <v>343</v>
      </c>
      <c r="CL1" s="465" t="s">
        <v>344</v>
      </c>
      <c r="CM1" s="465" t="s">
        <v>345</v>
      </c>
      <c r="CN1" s="465" t="s">
        <v>346</v>
      </c>
    </row>
    <row r="2" spans="1:92" ht="15" thickBot="1" x14ac:dyDescent="0.35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459">
        <v>1</v>
      </c>
      <c r="Q2" s="459">
        <v>1</v>
      </c>
      <c r="R2" s="380">
        <v>80</v>
      </c>
      <c r="S2" s="459">
        <v>1</v>
      </c>
      <c r="T2" s="380">
        <v>87234</v>
      </c>
      <c r="U2" s="380">
        <v>0</v>
      </c>
      <c r="V2" s="380">
        <v>29054.66</v>
      </c>
      <c r="W2" s="380">
        <v>89128</v>
      </c>
      <c r="X2" s="380">
        <v>30783.08</v>
      </c>
      <c r="Y2" s="380">
        <v>89128</v>
      </c>
      <c r="Z2" s="380">
        <v>30319.62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42.85</v>
      </c>
      <c r="AI2" s="379">
        <v>24419</v>
      </c>
      <c r="AJ2" s="376" t="s">
        <v>179</v>
      </c>
      <c r="AK2" s="376" t="s">
        <v>180</v>
      </c>
      <c r="AL2" s="376" t="s">
        <v>181</v>
      </c>
      <c r="AM2" s="376" t="s">
        <v>182</v>
      </c>
      <c r="AN2" s="376" t="s">
        <v>68</v>
      </c>
      <c r="AO2" s="379">
        <v>80</v>
      </c>
      <c r="AP2" s="459">
        <v>1</v>
      </c>
      <c r="AQ2" s="459">
        <v>1</v>
      </c>
      <c r="AR2" s="457" t="s">
        <v>183</v>
      </c>
      <c r="AS2" s="461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461">
        <f>IF(AT2=0,"",IF(AND(AT2=1,M2="F",SUMIF(C2:C20,C2,AS2:AS20)&lt;=1),SUMIF(C2:C20,C2,AS2:AS20),IF(AND(AT2=1,M2="F",SUMIF(C2:C20,C2,AS2:AS20)&gt;1),1,"")))</f>
        <v>1</v>
      </c>
      <c r="AV2" s="461" t="str">
        <f>IF(AT2=0,"",IF(AND(AT2=3,M2="F",SUMIF(C2:C20,C2,AS2:AS20)&lt;=1),SUMIF(C2:C20,C2,AS2:AS20),IF(AND(AT2=3,M2="F",SUMIF(C2:C20,C2,AS2:AS20)&gt;1),1,"")))</f>
        <v/>
      </c>
      <c r="AW2" s="461">
        <f>SUMIF(C2:C20,C2,O2:O20)</f>
        <v>1</v>
      </c>
      <c r="AX2" s="461">
        <f>IF(AND(M2="F",AS2&lt;&gt;0),SUMIF(C2:C20,C2,W2:W20),0)</f>
        <v>89128</v>
      </c>
      <c r="AY2" s="461">
        <f>IF(AT2=1,W2,"")</f>
        <v>89128</v>
      </c>
      <c r="AZ2" s="461" t="str">
        <f>IF(AT2=3,W2,"")</f>
        <v/>
      </c>
      <c r="BA2" s="461">
        <f>IF(AT2=1,Y2-W2,0)</f>
        <v>0</v>
      </c>
      <c r="BB2" s="461">
        <f>IF(AND(AT2=1,AK2="E",AU2&gt;=0.75,AW2=1),Health,IF(AND(AT2=1,AK2="E",AU2&gt;=0.75),Health*P2,IF(AND(AT2=1,AK2="E",AU2&gt;=0.5,AW2=1),PTHealth,IF(AND(AT2=1,AK2="E",AU2&gt;=0.5),PTHealth*P2,0))))</f>
        <v>11650</v>
      </c>
      <c r="BC2" s="461">
        <f>IF(AND(AT2=3,AK2="E",AV2&gt;=0.75,AW2=1),Health,IF(AND(AT2=3,AK2="E",AV2&gt;=0.75),Health*P2,IF(AND(AT2=3,AK2="E",AV2&gt;=0.5,AW2=1),PTHealth,IF(AND(AT2=3,AK2="E",AV2&gt;=0.5),PTHealth*P2,0))))</f>
        <v>0</v>
      </c>
      <c r="BD2" s="461">
        <f>IF(AND(AT2&lt;&gt;0,AX2&gt;=MAXSSDI),SSDI*MAXSSDI*P2,IF(AT2&lt;&gt;0,SSDI*W2,0))</f>
        <v>5525.9359999999997</v>
      </c>
      <c r="BE2" s="461">
        <f>IF(AT2&lt;&gt;0,SSHI*W2,0)</f>
        <v>1292.356</v>
      </c>
      <c r="BF2" s="461">
        <f>IF(AND(AT2&lt;&gt;0,AN2&lt;&gt;"NE"),VLOOKUP(AN2,Retirement_Rates,3,FALSE)*W2,0)</f>
        <v>10641.8832</v>
      </c>
      <c r="BG2" s="461">
        <f>IF(AND(AT2&lt;&gt;0,AJ2&lt;&gt;"PF"),Life*W2,0)</f>
        <v>642.61288000000002</v>
      </c>
      <c r="BH2" s="461">
        <f>IF(AND(AT2&lt;&gt;0,AM2="Y"),UI*W2,0)</f>
        <v>436.72719999999998</v>
      </c>
      <c r="BI2" s="461">
        <f>IF(AND(AT2&lt;&gt;0,N2&lt;&gt;"NR"),DHR*W2,0)</f>
        <v>272.73167999999998</v>
      </c>
      <c r="BJ2" s="461">
        <f>IF(AT2&lt;&gt;0,WC*W2,0)</f>
        <v>320.86079999999998</v>
      </c>
      <c r="BK2" s="461">
        <f>IF(OR(AND(AT2&lt;&gt;0,AJ2&lt;&gt;"PF",AN2&lt;&gt;"NE",AG2&lt;&gt;"A"),AND(AL2="E",OR(AT2=1,AT2=3))),Sick*W2,0)</f>
        <v>0</v>
      </c>
      <c r="BL2" s="461">
        <f>IF(AT2=1,SUM(BD2:BK2),0)</f>
        <v>19133.107759999999</v>
      </c>
      <c r="BM2" s="461">
        <f>IF(AT2=3,SUM(BD2:BK2),0)</f>
        <v>0</v>
      </c>
      <c r="BN2" s="461">
        <f>IF(AND(AT2=1,AK2="E",AU2&gt;=0.75,AW2=1),HealthBY,IF(AND(AT2=1,AK2="E",AU2&gt;=0.75),HealthBY*P2,IF(AND(AT2=1,AK2="E",AU2&gt;=0.5,AW2=1),PTHealthBY,IF(AND(AT2=1,AK2="E",AU2&gt;=0.5),PTHealthBY*P2,0))))</f>
        <v>11650</v>
      </c>
      <c r="BO2" s="461">
        <f>IF(AND(AT2=3,AK2="E",AV2&gt;=0.75,AW2=1),HealthBY,IF(AND(AT2=3,AK2="E",AV2&gt;=0.75),HealthBY*P2,IF(AND(AT2=3,AK2="E",AV2&gt;=0.5,AW2=1),PTHealthBY,IF(AND(AT2=3,AK2="E",AV2&gt;=0.5),PTHealthBY*P2,0))))</f>
        <v>0</v>
      </c>
      <c r="BP2" s="461">
        <f>IF(AND(AT2&lt;&gt;0,(AX2+BA2)&gt;=MAXSSDIBY),SSDIBY*MAXSSDIBY*P2,IF(AT2&lt;&gt;0,SSDIBY*W2,0))</f>
        <v>5525.9359999999997</v>
      </c>
      <c r="BQ2" s="461">
        <f>IF(AT2&lt;&gt;0,SSHIBY*W2,0)</f>
        <v>1292.356</v>
      </c>
      <c r="BR2" s="461">
        <f>IF(AND(AT2&lt;&gt;0,AN2&lt;&gt;"NE"),VLOOKUP(AN2,Retirement_Rates,4,FALSE)*W2,0)</f>
        <v>10641.8832</v>
      </c>
      <c r="BS2" s="461">
        <f>IF(AND(AT2&lt;&gt;0,AJ2&lt;&gt;"PF"),LifeBY*W2,0)</f>
        <v>642.61288000000002</v>
      </c>
      <c r="BT2" s="461">
        <f>IF(AND(AT2&lt;&gt;0,AM2="Y"),UIBY*W2,0)</f>
        <v>0</v>
      </c>
      <c r="BU2" s="461">
        <f>IF(AND(AT2&lt;&gt;0,N2&lt;&gt;"NR"),DHRBY*W2,0)</f>
        <v>272.73167999999998</v>
      </c>
      <c r="BV2" s="461">
        <f>IF(AT2&lt;&gt;0,WCBY*W2,0)</f>
        <v>294.12239999999997</v>
      </c>
      <c r="BW2" s="461">
        <f>IF(OR(AND(AT2&lt;&gt;0,AJ2&lt;&gt;"PF",AN2&lt;&gt;"NE",AG2&lt;&gt;"A"),AND(AL2="E",OR(AT2=1,AT2=3))),SickBY*W2,0)</f>
        <v>0</v>
      </c>
      <c r="BX2" s="461">
        <f>IF(AT2=1,SUM(BP2:BW2),0)</f>
        <v>18669.642159999999</v>
      </c>
      <c r="BY2" s="461">
        <f>IF(AT2=3,SUM(BP2:BW2),0)</f>
        <v>0</v>
      </c>
      <c r="BZ2" s="461">
        <f>IF(AT2=1,BN2-BB2,0)</f>
        <v>0</v>
      </c>
      <c r="CA2" s="461">
        <f>IF(AT2=3,BO2-BC2,0)</f>
        <v>0</v>
      </c>
      <c r="CB2" s="461">
        <f>BP2-BD2</f>
        <v>0</v>
      </c>
      <c r="CC2" s="461">
        <f>IF(AT2&lt;&gt;0,SSHICHG*Y2,0)</f>
        <v>0</v>
      </c>
      <c r="CD2" s="461">
        <f>IF(AND(AT2&lt;&gt;0,AN2&lt;&gt;"NE"),VLOOKUP(AN2,Retirement_Rates,5,FALSE)*Y2,0)</f>
        <v>0</v>
      </c>
      <c r="CE2" s="461">
        <f>IF(AND(AT2&lt;&gt;0,AJ2&lt;&gt;"PF"),LifeCHG*Y2,0)</f>
        <v>0</v>
      </c>
      <c r="CF2" s="461">
        <f>IF(AND(AT2&lt;&gt;0,AM2="Y"),UICHG*Y2,0)</f>
        <v>-436.72719999999998</v>
      </c>
      <c r="CG2" s="461">
        <f>IF(AND(AT2&lt;&gt;0,N2&lt;&gt;"NR"),DHRCHG*Y2,0)</f>
        <v>0</v>
      </c>
      <c r="CH2" s="461">
        <f>IF(AT2&lt;&gt;0,WCCHG*Y2,0)</f>
        <v>-26.738399999999992</v>
      </c>
      <c r="CI2" s="461">
        <f>IF(OR(AND(AT2&lt;&gt;0,AJ2&lt;&gt;"PF",AN2&lt;&gt;"NE",AG2&lt;&gt;"A"),AND(AL2="E",OR(AT2=1,AT2=3))),SickCHG*Y2,0)</f>
        <v>0</v>
      </c>
      <c r="CJ2" s="461">
        <f>IF(AT2=1,SUM(CB2:CI2),0)</f>
        <v>-463.46559999999999</v>
      </c>
      <c r="CK2" s="461" t="str">
        <f>IF(AT2=3,SUM(CB2:CI2),"")</f>
        <v/>
      </c>
      <c r="CL2" s="461" t="str">
        <f>IF(OR(N2="NG",AG2="D"),(T2+U2),"")</f>
        <v/>
      </c>
      <c r="CM2" s="461" t="str">
        <f>IF(OR(N2="NG",AG2="D"),V2,"")</f>
        <v/>
      </c>
      <c r="CN2" s="461" t="str">
        <f>E2 &amp; "-" &amp; F2</f>
        <v>0475-12</v>
      </c>
    </row>
    <row r="3" spans="1:92" ht="15" thickBot="1" x14ac:dyDescent="0.35">
      <c r="A3" s="376" t="s">
        <v>161</v>
      </c>
      <c r="B3" s="376" t="s">
        <v>162</v>
      </c>
      <c r="C3" s="376" t="s">
        <v>184</v>
      </c>
      <c r="D3" s="376" t="s">
        <v>185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186</v>
      </c>
      <c r="L3" s="376" t="s">
        <v>187</v>
      </c>
      <c r="M3" s="376" t="s">
        <v>171</v>
      </c>
      <c r="N3" s="376" t="s">
        <v>172</v>
      </c>
      <c r="O3" s="379">
        <v>1</v>
      </c>
      <c r="P3" s="459">
        <v>1</v>
      </c>
      <c r="Q3" s="459">
        <v>1</v>
      </c>
      <c r="R3" s="380">
        <v>80</v>
      </c>
      <c r="S3" s="459">
        <v>1</v>
      </c>
      <c r="T3" s="380">
        <v>76578.429999999993</v>
      </c>
      <c r="U3" s="380">
        <v>0</v>
      </c>
      <c r="V3" s="380">
        <v>27439.65</v>
      </c>
      <c r="W3" s="380">
        <v>77979.199999999997</v>
      </c>
      <c r="X3" s="380">
        <v>28389.759999999998</v>
      </c>
      <c r="Y3" s="380">
        <v>77979.199999999997</v>
      </c>
      <c r="Z3" s="380">
        <v>27984.28</v>
      </c>
      <c r="AA3" s="376" t="s">
        <v>188</v>
      </c>
      <c r="AB3" s="376" t="s">
        <v>189</v>
      </c>
      <c r="AC3" s="376" t="s">
        <v>190</v>
      </c>
      <c r="AD3" s="376" t="s">
        <v>191</v>
      </c>
      <c r="AE3" s="376" t="s">
        <v>186</v>
      </c>
      <c r="AF3" s="376" t="s">
        <v>192</v>
      </c>
      <c r="AG3" s="376" t="s">
        <v>178</v>
      </c>
      <c r="AH3" s="381">
        <v>37.49</v>
      </c>
      <c r="AI3" s="381">
        <v>17612.7</v>
      </c>
      <c r="AJ3" s="376" t="s">
        <v>179</v>
      </c>
      <c r="AK3" s="376" t="s">
        <v>180</v>
      </c>
      <c r="AL3" s="376" t="s">
        <v>181</v>
      </c>
      <c r="AM3" s="376" t="s">
        <v>182</v>
      </c>
      <c r="AN3" s="376" t="s">
        <v>68</v>
      </c>
      <c r="AO3" s="379">
        <v>80</v>
      </c>
      <c r="AP3" s="459">
        <v>1</v>
      </c>
      <c r="AQ3" s="459">
        <v>1</v>
      </c>
      <c r="AR3" s="457" t="s">
        <v>183</v>
      </c>
      <c r="AS3" s="461">
        <f t="shared" ref="AS3:AS20" si="0">IF(((AO3/80)*AP3*P3)&gt;1,AQ3,((AO3/80)*AP3*P3))</f>
        <v>1</v>
      </c>
      <c r="AT3">
        <f t="shared" ref="AT3:AT20" si="1">IF(AND(M3="F",N3&lt;&gt;"NG",AS3&lt;&gt;0,AND(AR3&lt;&gt;6,AR3&lt;&gt;36,AR3&lt;&gt;56),AG3&lt;&gt;"A",OR(AG3="H",AJ3="FS")),1,IF(AND(M3="F",N3&lt;&gt;"NG",AS3&lt;&gt;0,AG3="A"),3,0))</f>
        <v>1</v>
      </c>
      <c r="AU3" s="461">
        <f>IF(AT3=0,"",IF(AND(AT3=1,M3="F",SUMIF(C2:C20,C3,AS2:AS20)&lt;=1),SUMIF(C2:C20,C3,AS2:AS20),IF(AND(AT3=1,M3="F",SUMIF(C2:C20,C3,AS2:AS20)&gt;1),1,"")))</f>
        <v>1</v>
      </c>
      <c r="AV3" s="461" t="str">
        <f>IF(AT3=0,"",IF(AND(AT3=3,M3="F",SUMIF(C2:C20,C3,AS2:AS20)&lt;=1),SUMIF(C2:C20,C3,AS2:AS20),IF(AND(AT3=3,M3="F",SUMIF(C2:C20,C3,AS2:AS20)&gt;1),1,"")))</f>
        <v/>
      </c>
      <c r="AW3" s="461">
        <f>SUMIF(C2:C20,C3,O2:O20)</f>
        <v>1</v>
      </c>
      <c r="AX3" s="461">
        <f>IF(AND(M3="F",AS3&lt;&gt;0),SUMIF(C2:C20,C3,W2:W20),0)</f>
        <v>77979.199999999997</v>
      </c>
      <c r="AY3" s="461">
        <f t="shared" ref="AY3:AY20" si="2">IF(AT3=1,W3,"")</f>
        <v>77979.199999999997</v>
      </c>
      <c r="AZ3" s="461" t="str">
        <f t="shared" ref="AZ3:AZ20" si="3">IF(AT3=3,W3,"")</f>
        <v/>
      </c>
      <c r="BA3" s="461">
        <f t="shared" ref="BA3:BA20" si="4">IF(AT3=1,Y3-W3,0)</f>
        <v>0</v>
      </c>
      <c r="BB3" s="461">
        <f>IF(AND(AT3=1,AK3="E",AU3&gt;=0.75,AW3=1),Health,IF(AND(AT3=1,AK3="E",AU3&gt;=0.75),Health*P3,IF(AND(AT3=1,AK3="E",AU3&gt;=0.5,AW3=1),PTHealth,IF(AND(AT3=1,AK3="E",AU3&gt;=0.5),PTHealth*P3,0))))</f>
        <v>11650</v>
      </c>
      <c r="BC3" s="461">
        <f>IF(AND(AT3=3,AK3="E",AV3&gt;=0.75,AW3=1),Health,IF(AND(AT3=3,AK3="E",AV3&gt;=0.75),Health*P3,IF(AND(AT3=3,AK3="E",AV3&gt;=0.5,AW3=1),PTHealth,IF(AND(AT3=3,AK3="E",AV3&gt;=0.5),PTHealth*P3,0))))</f>
        <v>0</v>
      </c>
      <c r="BD3" s="461">
        <f>IF(AND(AT3&lt;&gt;0,AX3&gt;=MAXSSDI),SSDI*MAXSSDI*P3,IF(AT3&lt;&gt;0,SSDI*W3,0))</f>
        <v>4834.7103999999999</v>
      </c>
      <c r="BE3" s="461">
        <f>IF(AT3&lt;&gt;0,SSHI*W3,0)</f>
        <v>1130.6984</v>
      </c>
      <c r="BF3" s="461">
        <f>IF(AND(AT3&lt;&gt;0,AN3&lt;&gt;"NE"),VLOOKUP(AN3,Retirement_Rates,3,FALSE)*W3,0)</f>
        <v>9310.716480000001</v>
      </c>
      <c r="BG3" s="461">
        <f>IF(AND(AT3&lt;&gt;0,AJ3&lt;&gt;"PF"),Life*W3,0)</f>
        <v>562.23003200000005</v>
      </c>
      <c r="BH3" s="461">
        <f>IF(AND(AT3&lt;&gt;0,AM3="Y"),UI*W3,0)</f>
        <v>382.09807999999998</v>
      </c>
      <c r="BI3" s="461">
        <f>IF(AND(AT3&lt;&gt;0,N3&lt;&gt;"NR"),DHR*W3,0)</f>
        <v>238.61635199999998</v>
      </c>
      <c r="BJ3" s="461">
        <f>IF(AT3&lt;&gt;0,WC*W3,0)</f>
        <v>280.72512</v>
      </c>
      <c r="BK3" s="461">
        <f>IF(OR(AND(AT3&lt;&gt;0,AJ3&lt;&gt;"PF",AN3&lt;&gt;"NE",AG3&lt;&gt;"A"),AND(AL3="E",OR(AT3=1,AT3=3))),Sick*W3,0)</f>
        <v>0</v>
      </c>
      <c r="BL3" s="461">
        <f t="shared" ref="BL3:BL20" si="5">IF(AT3=1,SUM(BD3:BK3),0)</f>
        <v>16739.794864</v>
      </c>
      <c r="BM3" s="461">
        <f t="shared" ref="BM3:BM20" si="6">IF(AT3=3,SUM(BD3:BK3),0)</f>
        <v>0</v>
      </c>
      <c r="BN3" s="461">
        <f>IF(AND(AT3=1,AK3="E",AU3&gt;=0.75,AW3=1),HealthBY,IF(AND(AT3=1,AK3="E",AU3&gt;=0.75),HealthBY*P3,IF(AND(AT3=1,AK3="E",AU3&gt;=0.5,AW3=1),PTHealthBY,IF(AND(AT3=1,AK3="E",AU3&gt;=0.5),PTHealthBY*P3,0))))</f>
        <v>11650</v>
      </c>
      <c r="BO3" s="461">
        <f>IF(AND(AT3=3,AK3="E",AV3&gt;=0.75,AW3=1),HealthBY,IF(AND(AT3=3,AK3="E",AV3&gt;=0.75),HealthBY*P3,IF(AND(AT3=3,AK3="E",AV3&gt;=0.5,AW3=1),PTHealthBY,IF(AND(AT3=3,AK3="E",AV3&gt;=0.5),PTHealthBY*P3,0))))</f>
        <v>0</v>
      </c>
      <c r="BP3" s="461">
        <f>IF(AND(AT3&lt;&gt;0,(AX3+BA3)&gt;=MAXSSDIBY),SSDIBY*MAXSSDIBY*P3,IF(AT3&lt;&gt;0,SSDIBY*W3,0))</f>
        <v>4834.7103999999999</v>
      </c>
      <c r="BQ3" s="461">
        <f>IF(AT3&lt;&gt;0,SSHIBY*W3,0)</f>
        <v>1130.6984</v>
      </c>
      <c r="BR3" s="461">
        <f>IF(AND(AT3&lt;&gt;0,AN3&lt;&gt;"NE"),VLOOKUP(AN3,Retirement_Rates,4,FALSE)*W3,0)</f>
        <v>9310.716480000001</v>
      </c>
      <c r="BS3" s="461">
        <f>IF(AND(AT3&lt;&gt;0,AJ3&lt;&gt;"PF"),LifeBY*W3,0)</f>
        <v>562.23003200000005</v>
      </c>
      <c r="BT3" s="461">
        <f>IF(AND(AT3&lt;&gt;0,AM3="Y"),UIBY*W3,0)</f>
        <v>0</v>
      </c>
      <c r="BU3" s="461">
        <f>IF(AND(AT3&lt;&gt;0,N3&lt;&gt;"NR"),DHRBY*W3,0)</f>
        <v>238.61635199999998</v>
      </c>
      <c r="BV3" s="461">
        <f>IF(AT3&lt;&gt;0,WCBY*W3,0)</f>
        <v>257.33135999999996</v>
      </c>
      <c r="BW3" s="461">
        <f>IF(OR(AND(AT3&lt;&gt;0,AJ3&lt;&gt;"PF",AN3&lt;&gt;"NE",AG3&lt;&gt;"A"),AND(AL3="E",OR(AT3=1,AT3=3))),SickBY*W3,0)</f>
        <v>0</v>
      </c>
      <c r="BX3" s="461">
        <f t="shared" ref="BX3:BX20" si="7">IF(AT3=1,SUM(BP3:BW3),0)</f>
        <v>16334.303023999999</v>
      </c>
      <c r="BY3" s="461">
        <f t="shared" ref="BY3:BY20" si="8">IF(AT3=3,SUM(BP3:BW3),0)</f>
        <v>0</v>
      </c>
      <c r="BZ3" s="461">
        <f t="shared" ref="BZ3:BZ20" si="9">IF(AT3=1,BN3-BB3,0)</f>
        <v>0</v>
      </c>
      <c r="CA3" s="461">
        <f t="shared" ref="CA3:CA20" si="10">IF(AT3=3,BO3-BC3,0)</f>
        <v>0</v>
      </c>
      <c r="CB3" s="461">
        <f t="shared" ref="CB3:CB20" si="11">BP3-BD3</f>
        <v>0</v>
      </c>
      <c r="CC3" s="461">
        <f>IF(AT3&lt;&gt;0,SSHICHG*Y3,0)</f>
        <v>0</v>
      </c>
      <c r="CD3" s="461">
        <f>IF(AND(AT3&lt;&gt;0,AN3&lt;&gt;"NE"),VLOOKUP(AN3,Retirement_Rates,5,FALSE)*Y3,0)</f>
        <v>0</v>
      </c>
      <c r="CE3" s="461">
        <f>IF(AND(AT3&lt;&gt;0,AJ3&lt;&gt;"PF"),LifeCHG*Y3,0)</f>
        <v>0</v>
      </c>
      <c r="CF3" s="461">
        <f>IF(AND(AT3&lt;&gt;0,AM3="Y"),UICHG*Y3,0)</f>
        <v>-382.09807999999998</v>
      </c>
      <c r="CG3" s="461">
        <f>IF(AND(AT3&lt;&gt;0,N3&lt;&gt;"NR"),DHRCHG*Y3,0)</f>
        <v>0</v>
      </c>
      <c r="CH3" s="461">
        <f>IF(AT3&lt;&gt;0,WCCHG*Y3,0)</f>
        <v>-23.393759999999993</v>
      </c>
      <c r="CI3" s="461">
        <f>IF(OR(AND(AT3&lt;&gt;0,AJ3&lt;&gt;"PF",AN3&lt;&gt;"NE",AG3&lt;&gt;"A"),AND(AL3="E",OR(AT3=1,AT3=3))),SickCHG*Y3,0)</f>
        <v>0</v>
      </c>
      <c r="CJ3" s="461">
        <f t="shared" ref="CJ3:CJ20" si="12">IF(AT3=1,SUM(CB3:CI3),0)</f>
        <v>-405.49183999999997</v>
      </c>
      <c r="CK3" s="461" t="str">
        <f t="shared" ref="CK3:CK20" si="13">IF(AT3=3,SUM(CB3:CI3),"")</f>
        <v/>
      </c>
      <c r="CL3" s="461" t="str">
        <f t="shared" ref="CL3:CL20" si="14">IF(OR(N3="NG",AG3="D"),(T3+U3),"")</f>
        <v/>
      </c>
      <c r="CM3" s="461" t="str">
        <f t="shared" ref="CM3:CM20" si="15">IF(OR(N3="NG",AG3="D"),V3,"")</f>
        <v/>
      </c>
      <c r="CN3" s="461" t="str">
        <f t="shared" ref="CN3:CN20" si="16">E3 &amp; "-" &amp; F3</f>
        <v>0475-12</v>
      </c>
    </row>
    <row r="4" spans="1:92" ht="15" thickBot="1" x14ac:dyDescent="0.35">
      <c r="A4" s="376" t="s">
        <v>161</v>
      </c>
      <c r="B4" s="376" t="s">
        <v>162</v>
      </c>
      <c r="C4" s="376" t="s">
        <v>193</v>
      </c>
      <c r="D4" s="376" t="s">
        <v>194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195</v>
      </c>
      <c r="L4" s="376" t="s">
        <v>181</v>
      </c>
      <c r="M4" s="376" t="s">
        <v>171</v>
      </c>
      <c r="N4" s="376" t="s">
        <v>172</v>
      </c>
      <c r="O4" s="379">
        <v>1</v>
      </c>
      <c r="P4" s="459">
        <v>1</v>
      </c>
      <c r="Q4" s="459">
        <v>1</v>
      </c>
      <c r="R4" s="380">
        <v>80</v>
      </c>
      <c r="S4" s="459">
        <v>1</v>
      </c>
      <c r="T4" s="380">
        <v>76928.47</v>
      </c>
      <c r="U4" s="380">
        <v>0</v>
      </c>
      <c r="V4" s="380">
        <v>27710.53</v>
      </c>
      <c r="W4" s="380">
        <v>77979.199999999997</v>
      </c>
      <c r="X4" s="380">
        <v>28389.759999999998</v>
      </c>
      <c r="Y4" s="380">
        <v>77979.199999999997</v>
      </c>
      <c r="Z4" s="380">
        <v>27984.28</v>
      </c>
      <c r="AA4" s="376" t="s">
        <v>196</v>
      </c>
      <c r="AB4" s="376" t="s">
        <v>197</v>
      </c>
      <c r="AC4" s="376" t="s">
        <v>198</v>
      </c>
      <c r="AD4" s="376" t="s">
        <v>176</v>
      </c>
      <c r="AE4" s="376" t="s">
        <v>195</v>
      </c>
      <c r="AF4" s="376" t="s">
        <v>199</v>
      </c>
      <c r="AG4" s="376" t="s">
        <v>178</v>
      </c>
      <c r="AH4" s="381">
        <v>37.49</v>
      </c>
      <c r="AI4" s="379">
        <v>10109</v>
      </c>
      <c r="AJ4" s="376" t="s">
        <v>179</v>
      </c>
      <c r="AK4" s="376" t="s">
        <v>180</v>
      </c>
      <c r="AL4" s="376" t="s">
        <v>181</v>
      </c>
      <c r="AM4" s="376" t="s">
        <v>182</v>
      </c>
      <c r="AN4" s="376" t="s">
        <v>68</v>
      </c>
      <c r="AO4" s="379">
        <v>80</v>
      </c>
      <c r="AP4" s="459">
        <v>1</v>
      </c>
      <c r="AQ4" s="459">
        <v>1</v>
      </c>
      <c r="AR4" s="457" t="s">
        <v>183</v>
      </c>
      <c r="AS4" s="461">
        <f t="shared" si="0"/>
        <v>1</v>
      </c>
      <c r="AT4">
        <f t="shared" si="1"/>
        <v>1</v>
      </c>
      <c r="AU4" s="461">
        <f>IF(AT4=0,"",IF(AND(AT4=1,M4="F",SUMIF(C2:C20,C4,AS2:AS20)&lt;=1),SUMIF(C2:C20,C4,AS2:AS20),IF(AND(AT4=1,M4="F",SUMIF(C2:C20,C4,AS2:AS20)&gt;1),1,"")))</f>
        <v>1</v>
      </c>
      <c r="AV4" s="461" t="str">
        <f>IF(AT4=0,"",IF(AND(AT4=3,M4="F",SUMIF(C2:C20,C4,AS2:AS20)&lt;=1),SUMIF(C2:C20,C4,AS2:AS20),IF(AND(AT4=3,M4="F",SUMIF(C2:C20,C4,AS2:AS20)&gt;1),1,"")))</f>
        <v/>
      </c>
      <c r="AW4" s="461">
        <f>SUMIF(C2:C20,C4,O2:O20)</f>
        <v>1</v>
      </c>
      <c r="AX4" s="461">
        <f>IF(AND(M4="F",AS4&lt;&gt;0),SUMIF(C2:C20,C4,W2:W20),0)</f>
        <v>77979.199999999997</v>
      </c>
      <c r="AY4" s="461">
        <f t="shared" si="2"/>
        <v>77979.199999999997</v>
      </c>
      <c r="AZ4" s="461" t="str">
        <f t="shared" si="3"/>
        <v/>
      </c>
      <c r="BA4" s="461">
        <f t="shared" si="4"/>
        <v>0</v>
      </c>
      <c r="BB4" s="461">
        <f>IF(AND(AT4=1,AK4="E",AU4&gt;=0.75,AW4=1),Health,IF(AND(AT4=1,AK4="E",AU4&gt;=0.75),Health*P4,IF(AND(AT4=1,AK4="E",AU4&gt;=0.5,AW4=1),PTHealth,IF(AND(AT4=1,AK4="E",AU4&gt;=0.5),PTHealth*P4,0))))</f>
        <v>11650</v>
      </c>
      <c r="BC4" s="461">
        <f>IF(AND(AT4=3,AK4="E",AV4&gt;=0.75,AW4=1),Health,IF(AND(AT4=3,AK4="E",AV4&gt;=0.75),Health*P4,IF(AND(AT4=3,AK4="E",AV4&gt;=0.5,AW4=1),PTHealth,IF(AND(AT4=3,AK4="E",AV4&gt;=0.5),PTHealth*P4,0))))</f>
        <v>0</v>
      </c>
      <c r="BD4" s="461">
        <f>IF(AND(AT4&lt;&gt;0,AX4&gt;=MAXSSDI),SSDI*MAXSSDI*P4,IF(AT4&lt;&gt;0,SSDI*W4,0))</f>
        <v>4834.7103999999999</v>
      </c>
      <c r="BE4" s="461">
        <f>IF(AT4&lt;&gt;0,SSHI*W4,0)</f>
        <v>1130.6984</v>
      </c>
      <c r="BF4" s="461">
        <f>IF(AND(AT4&lt;&gt;0,AN4&lt;&gt;"NE"),VLOOKUP(AN4,Retirement_Rates,3,FALSE)*W4,0)</f>
        <v>9310.716480000001</v>
      </c>
      <c r="BG4" s="461">
        <f>IF(AND(AT4&lt;&gt;0,AJ4&lt;&gt;"PF"),Life*W4,0)</f>
        <v>562.23003200000005</v>
      </c>
      <c r="BH4" s="461">
        <f>IF(AND(AT4&lt;&gt;0,AM4="Y"),UI*W4,0)</f>
        <v>382.09807999999998</v>
      </c>
      <c r="BI4" s="461">
        <f>IF(AND(AT4&lt;&gt;0,N4&lt;&gt;"NR"),DHR*W4,0)</f>
        <v>238.61635199999998</v>
      </c>
      <c r="BJ4" s="461">
        <f>IF(AT4&lt;&gt;0,WC*W4,0)</f>
        <v>280.72512</v>
      </c>
      <c r="BK4" s="461">
        <f>IF(OR(AND(AT4&lt;&gt;0,AJ4&lt;&gt;"PF",AN4&lt;&gt;"NE",AG4&lt;&gt;"A"),AND(AL4="E",OR(AT4=1,AT4=3))),Sick*W4,0)</f>
        <v>0</v>
      </c>
      <c r="BL4" s="461">
        <f t="shared" si="5"/>
        <v>16739.794864</v>
      </c>
      <c r="BM4" s="461">
        <f t="shared" si="6"/>
        <v>0</v>
      </c>
      <c r="BN4" s="461">
        <f>IF(AND(AT4=1,AK4="E",AU4&gt;=0.75,AW4=1),HealthBY,IF(AND(AT4=1,AK4="E",AU4&gt;=0.75),HealthBY*P4,IF(AND(AT4=1,AK4="E",AU4&gt;=0.5,AW4=1),PTHealthBY,IF(AND(AT4=1,AK4="E",AU4&gt;=0.5),PTHealthBY*P4,0))))</f>
        <v>11650</v>
      </c>
      <c r="BO4" s="461">
        <f>IF(AND(AT4=3,AK4="E",AV4&gt;=0.75,AW4=1),HealthBY,IF(AND(AT4=3,AK4="E",AV4&gt;=0.75),HealthBY*P4,IF(AND(AT4=3,AK4="E",AV4&gt;=0.5,AW4=1),PTHealthBY,IF(AND(AT4=3,AK4="E",AV4&gt;=0.5),PTHealthBY*P4,0))))</f>
        <v>0</v>
      </c>
      <c r="BP4" s="461">
        <f>IF(AND(AT4&lt;&gt;0,(AX4+BA4)&gt;=MAXSSDIBY),SSDIBY*MAXSSDIBY*P4,IF(AT4&lt;&gt;0,SSDIBY*W4,0))</f>
        <v>4834.7103999999999</v>
      </c>
      <c r="BQ4" s="461">
        <f>IF(AT4&lt;&gt;0,SSHIBY*W4,0)</f>
        <v>1130.6984</v>
      </c>
      <c r="BR4" s="461">
        <f>IF(AND(AT4&lt;&gt;0,AN4&lt;&gt;"NE"),VLOOKUP(AN4,Retirement_Rates,4,FALSE)*W4,0)</f>
        <v>9310.716480000001</v>
      </c>
      <c r="BS4" s="461">
        <f>IF(AND(AT4&lt;&gt;0,AJ4&lt;&gt;"PF"),LifeBY*W4,0)</f>
        <v>562.23003200000005</v>
      </c>
      <c r="BT4" s="461">
        <f>IF(AND(AT4&lt;&gt;0,AM4="Y"),UIBY*W4,0)</f>
        <v>0</v>
      </c>
      <c r="BU4" s="461">
        <f>IF(AND(AT4&lt;&gt;0,N4&lt;&gt;"NR"),DHRBY*W4,0)</f>
        <v>238.61635199999998</v>
      </c>
      <c r="BV4" s="461">
        <f>IF(AT4&lt;&gt;0,WCBY*W4,0)</f>
        <v>257.33135999999996</v>
      </c>
      <c r="BW4" s="461">
        <f>IF(OR(AND(AT4&lt;&gt;0,AJ4&lt;&gt;"PF",AN4&lt;&gt;"NE",AG4&lt;&gt;"A"),AND(AL4="E",OR(AT4=1,AT4=3))),SickBY*W4,0)</f>
        <v>0</v>
      </c>
      <c r="BX4" s="461">
        <f t="shared" si="7"/>
        <v>16334.303023999999</v>
      </c>
      <c r="BY4" s="461">
        <f t="shared" si="8"/>
        <v>0</v>
      </c>
      <c r="BZ4" s="461">
        <f t="shared" si="9"/>
        <v>0</v>
      </c>
      <c r="CA4" s="461">
        <f t="shared" si="10"/>
        <v>0</v>
      </c>
      <c r="CB4" s="461">
        <f t="shared" si="11"/>
        <v>0</v>
      </c>
      <c r="CC4" s="461">
        <f>IF(AT4&lt;&gt;0,SSHICHG*Y4,0)</f>
        <v>0</v>
      </c>
      <c r="CD4" s="461">
        <f>IF(AND(AT4&lt;&gt;0,AN4&lt;&gt;"NE"),VLOOKUP(AN4,Retirement_Rates,5,FALSE)*Y4,0)</f>
        <v>0</v>
      </c>
      <c r="CE4" s="461">
        <f>IF(AND(AT4&lt;&gt;0,AJ4&lt;&gt;"PF"),LifeCHG*Y4,0)</f>
        <v>0</v>
      </c>
      <c r="CF4" s="461">
        <f>IF(AND(AT4&lt;&gt;0,AM4="Y"),UICHG*Y4,0)</f>
        <v>-382.09807999999998</v>
      </c>
      <c r="CG4" s="461">
        <f>IF(AND(AT4&lt;&gt;0,N4&lt;&gt;"NR"),DHRCHG*Y4,0)</f>
        <v>0</v>
      </c>
      <c r="CH4" s="461">
        <f>IF(AT4&lt;&gt;0,WCCHG*Y4,0)</f>
        <v>-23.393759999999993</v>
      </c>
      <c r="CI4" s="461">
        <f>IF(OR(AND(AT4&lt;&gt;0,AJ4&lt;&gt;"PF",AN4&lt;&gt;"NE",AG4&lt;&gt;"A"),AND(AL4="E",OR(AT4=1,AT4=3))),SickCHG*Y4,0)</f>
        <v>0</v>
      </c>
      <c r="CJ4" s="461">
        <f t="shared" si="12"/>
        <v>-405.49183999999997</v>
      </c>
      <c r="CK4" s="461" t="str">
        <f t="shared" si="13"/>
        <v/>
      </c>
      <c r="CL4" s="461" t="str">
        <f t="shared" si="14"/>
        <v/>
      </c>
      <c r="CM4" s="461" t="str">
        <f t="shared" si="15"/>
        <v/>
      </c>
      <c r="CN4" s="461" t="str">
        <f t="shared" si="16"/>
        <v>0475-12</v>
      </c>
    </row>
    <row r="5" spans="1:92" ht="15" thickBot="1" x14ac:dyDescent="0.35">
      <c r="A5" s="376" t="s">
        <v>161</v>
      </c>
      <c r="B5" s="376" t="s">
        <v>162</v>
      </c>
      <c r="C5" s="376" t="s">
        <v>200</v>
      </c>
      <c r="D5" s="376" t="s">
        <v>164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169</v>
      </c>
      <c r="L5" s="376" t="s">
        <v>170</v>
      </c>
      <c r="M5" s="376" t="s">
        <v>171</v>
      </c>
      <c r="N5" s="376" t="s">
        <v>172</v>
      </c>
      <c r="O5" s="379">
        <v>1</v>
      </c>
      <c r="P5" s="459">
        <v>1</v>
      </c>
      <c r="Q5" s="459">
        <v>1</v>
      </c>
      <c r="R5" s="380">
        <v>80</v>
      </c>
      <c r="S5" s="459">
        <v>1</v>
      </c>
      <c r="T5" s="380">
        <v>87234</v>
      </c>
      <c r="U5" s="380">
        <v>0</v>
      </c>
      <c r="V5" s="380">
        <v>29737.8</v>
      </c>
      <c r="W5" s="380">
        <v>89128</v>
      </c>
      <c r="X5" s="380">
        <v>30783.08</v>
      </c>
      <c r="Y5" s="380">
        <v>89128</v>
      </c>
      <c r="Z5" s="380">
        <v>30319.62</v>
      </c>
      <c r="AA5" s="376" t="s">
        <v>201</v>
      </c>
      <c r="AB5" s="376" t="s">
        <v>202</v>
      </c>
      <c r="AC5" s="376" t="s">
        <v>203</v>
      </c>
      <c r="AD5" s="376" t="s">
        <v>204</v>
      </c>
      <c r="AE5" s="376" t="s">
        <v>169</v>
      </c>
      <c r="AF5" s="376" t="s">
        <v>177</v>
      </c>
      <c r="AG5" s="376" t="s">
        <v>178</v>
      </c>
      <c r="AH5" s="381">
        <v>42.85</v>
      </c>
      <c r="AI5" s="381">
        <v>12273.5</v>
      </c>
      <c r="AJ5" s="376" t="s">
        <v>179</v>
      </c>
      <c r="AK5" s="376" t="s">
        <v>180</v>
      </c>
      <c r="AL5" s="376" t="s">
        <v>181</v>
      </c>
      <c r="AM5" s="376" t="s">
        <v>182</v>
      </c>
      <c r="AN5" s="376" t="s">
        <v>68</v>
      </c>
      <c r="AO5" s="379">
        <v>80</v>
      </c>
      <c r="AP5" s="459">
        <v>1</v>
      </c>
      <c r="AQ5" s="459">
        <v>1</v>
      </c>
      <c r="AR5" s="457" t="s">
        <v>183</v>
      </c>
      <c r="AS5" s="461">
        <f t="shared" si="0"/>
        <v>1</v>
      </c>
      <c r="AT5">
        <f t="shared" si="1"/>
        <v>1</v>
      </c>
      <c r="AU5" s="461">
        <f>IF(AT5=0,"",IF(AND(AT5=1,M5="F",SUMIF(C2:C20,C5,AS2:AS20)&lt;=1),SUMIF(C2:C20,C5,AS2:AS20),IF(AND(AT5=1,M5="F",SUMIF(C2:C20,C5,AS2:AS20)&gt;1),1,"")))</f>
        <v>1</v>
      </c>
      <c r="AV5" s="461" t="str">
        <f>IF(AT5=0,"",IF(AND(AT5=3,M5="F",SUMIF(C2:C20,C5,AS2:AS20)&lt;=1),SUMIF(C2:C20,C5,AS2:AS20),IF(AND(AT5=3,M5="F",SUMIF(C2:C20,C5,AS2:AS20)&gt;1),1,"")))</f>
        <v/>
      </c>
      <c r="AW5" s="461">
        <f>SUMIF(C2:C20,C5,O2:O20)</f>
        <v>1</v>
      </c>
      <c r="AX5" s="461">
        <f>IF(AND(M5="F",AS5&lt;&gt;0),SUMIF(C2:C20,C5,W2:W20),0)</f>
        <v>89128</v>
      </c>
      <c r="AY5" s="461">
        <f t="shared" si="2"/>
        <v>89128</v>
      </c>
      <c r="AZ5" s="461" t="str">
        <f t="shared" si="3"/>
        <v/>
      </c>
      <c r="BA5" s="461">
        <f t="shared" si="4"/>
        <v>0</v>
      </c>
      <c r="BB5" s="461">
        <f>IF(AND(AT5=1,AK5="E",AU5&gt;=0.75,AW5=1),Health,IF(AND(AT5=1,AK5="E",AU5&gt;=0.75),Health*P5,IF(AND(AT5=1,AK5="E",AU5&gt;=0.5,AW5=1),PTHealth,IF(AND(AT5=1,AK5="E",AU5&gt;=0.5),PTHealth*P5,0))))</f>
        <v>11650</v>
      </c>
      <c r="BC5" s="461">
        <f>IF(AND(AT5=3,AK5="E",AV5&gt;=0.75,AW5=1),Health,IF(AND(AT5=3,AK5="E",AV5&gt;=0.75),Health*P5,IF(AND(AT5=3,AK5="E",AV5&gt;=0.5,AW5=1),PTHealth,IF(AND(AT5=3,AK5="E",AV5&gt;=0.5),PTHealth*P5,0))))</f>
        <v>0</v>
      </c>
      <c r="BD5" s="461">
        <f>IF(AND(AT5&lt;&gt;0,AX5&gt;=MAXSSDI),SSDI*MAXSSDI*P5,IF(AT5&lt;&gt;0,SSDI*W5,0))</f>
        <v>5525.9359999999997</v>
      </c>
      <c r="BE5" s="461">
        <f>IF(AT5&lt;&gt;0,SSHI*W5,0)</f>
        <v>1292.356</v>
      </c>
      <c r="BF5" s="461">
        <f>IF(AND(AT5&lt;&gt;0,AN5&lt;&gt;"NE"),VLOOKUP(AN5,Retirement_Rates,3,FALSE)*W5,0)</f>
        <v>10641.8832</v>
      </c>
      <c r="BG5" s="461">
        <f>IF(AND(AT5&lt;&gt;0,AJ5&lt;&gt;"PF"),Life*W5,0)</f>
        <v>642.61288000000002</v>
      </c>
      <c r="BH5" s="461">
        <f>IF(AND(AT5&lt;&gt;0,AM5="Y"),UI*W5,0)</f>
        <v>436.72719999999998</v>
      </c>
      <c r="BI5" s="461">
        <f>IF(AND(AT5&lt;&gt;0,N5&lt;&gt;"NR"),DHR*W5,0)</f>
        <v>272.73167999999998</v>
      </c>
      <c r="BJ5" s="461">
        <f>IF(AT5&lt;&gt;0,WC*W5,0)</f>
        <v>320.86079999999998</v>
      </c>
      <c r="BK5" s="461">
        <f>IF(OR(AND(AT5&lt;&gt;0,AJ5&lt;&gt;"PF",AN5&lt;&gt;"NE",AG5&lt;&gt;"A"),AND(AL5="E",OR(AT5=1,AT5=3))),Sick*W5,0)</f>
        <v>0</v>
      </c>
      <c r="BL5" s="461">
        <f t="shared" si="5"/>
        <v>19133.107759999999</v>
      </c>
      <c r="BM5" s="461">
        <f t="shared" si="6"/>
        <v>0</v>
      </c>
      <c r="BN5" s="461">
        <f>IF(AND(AT5=1,AK5="E",AU5&gt;=0.75,AW5=1),HealthBY,IF(AND(AT5=1,AK5="E",AU5&gt;=0.75),HealthBY*P5,IF(AND(AT5=1,AK5="E",AU5&gt;=0.5,AW5=1),PTHealthBY,IF(AND(AT5=1,AK5="E",AU5&gt;=0.5),PTHealthBY*P5,0))))</f>
        <v>11650</v>
      </c>
      <c r="BO5" s="461">
        <f>IF(AND(AT5=3,AK5="E",AV5&gt;=0.75,AW5=1),HealthBY,IF(AND(AT5=3,AK5="E",AV5&gt;=0.75),HealthBY*P5,IF(AND(AT5=3,AK5="E",AV5&gt;=0.5,AW5=1),PTHealthBY,IF(AND(AT5=3,AK5="E",AV5&gt;=0.5),PTHealthBY*P5,0))))</f>
        <v>0</v>
      </c>
      <c r="BP5" s="461">
        <f>IF(AND(AT5&lt;&gt;0,(AX5+BA5)&gt;=MAXSSDIBY),SSDIBY*MAXSSDIBY*P5,IF(AT5&lt;&gt;0,SSDIBY*W5,0))</f>
        <v>5525.9359999999997</v>
      </c>
      <c r="BQ5" s="461">
        <f>IF(AT5&lt;&gt;0,SSHIBY*W5,0)</f>
        <v>1292.356</v>
      </c>
      <c r="BR5" s="461">
        <f>IF(AND(AT5&lt;&gt;0,AN5&lt;&gt;"NE"),VLOOKUP(AN5,Retirement_Rates,4,FALSE)*W5,0)</f>
        <v>10641.8832</v>
      </c>
      <c r="BS5" s="461">
        <f>IF(AND(AT5&lt;&gt;0,AJ5&lt;&gt;"PF"),LifeBY*W5,0)</f>
        <v>642.61288000000002</v>
      </c>
      <c r="BT5" s="461">
        <f>IF(AND(AT5&lt;&gt;0,AM5="Y"),UIBY*W5,0)</f>
        <v>0</v>
      </c>
      <c r="BU5" s="461">
        <f>IF(AND(AT5&lt;&gt;0,N5&lt;&gt;"NR"),DHRBY*W5,0)</f>
        <v>272.73167999999998</v>
      </c>
      <c r="BV5" s="461">
        <f>IF(AT5&lt;&gt;0,WCBY*W5,0)</f>
        <v>294.12239999999997</v>
      </c>
      <c r="BW5" s="461">
        <f>IF(OR(AND(AT5&lt;&gt;0,AJ5&lt;&gt;"PF",AN5&lt;&gt;"NE",AG5&lt;&gt;"A"),AND(AL5="E",OR(AT5=1,AT5=3))),SickBY*W5,0)</f>
        <v>0</v>
      </c>
      <c r="BX5" s="461">
        <f t="shared" si="7"/>
        <v>18669.642159999999</v>
      </c>
      <c r="BY5" s="461">
        <f t="shared" si="8"/>
        <v>0</v>
      </c>
      <c r="BZ5" s="461">
        <f t="shared" si="9"/>
        <v>0</v>
      </c>
      <c r="CA5" s="461">
        <f t="shared" si="10"/>
        <v>0</v>
      </c>
      <c r="CB5" s="461">
        <f t="shared" si="11"/>
        <v>0</v>
      </c>
      <c r="CC5" s="461">
        <f>IF(AT5&lt;&gt;0,SSHICHG*Y5,0)</f>
        <v>0</v>
      </c>
      <c r="CD5" s="461">
        <f>IF(AND(AT5&lt;&gt;0,AN5&lt;&gt;"NE"),VLOOKUP(AN5,Retirement_Rates,5,FALSE)*Y5,0)</f>
        <v>0</v>
      </c>
      <c r="CE5" s="461">
        <f>IF(AND(AT5&lt;&gt;0,AJ5&lt;&gt;"PF"),LifeCHG*Y5,0)</f>
        <v>0</v>
      </c>
      <c r="CF5" s="461">
        <f>IF(AND(AT5&lt;&gt;0,AM5="Y"),UICHG*Y5,0)</f>
        <v>-436.72719999999998</v>
      </c>
      <c r="CG5" s="461">
        <f>IF(AND(AT5&lt;&gt;0,N5&lt;&gt;"NR"),DHRCHG*Y5,0)</f>
        <v>0</v>
      </c>
      <c r="CH5" s="461">
        <f>IF(AT5&lt;&gt;0,WCCHG*Y5,0)</f>
        <v>-26.738399999999992</v>
      </c>
      <c r="CI5" s="461">
        <f>IF(OR(AND(AT5&lt;&gt;0,AJ5&lt;&gt;"PF",AN5&lt;&gt;"NE",AG5&lt;&gt;"A"),AND(AL5="E",OR(AT5=1,AT5=3))),SickCHG*Y5,0)</f>
        <v>0</v>
      </c>
      <c r="CJ5" s="461">
        <f t="shared" si="12"/>
        <v>-463.46559999999999</v>
      </c>
      <c r="CK5" s="461" t="str">
        <f t="shared" si="13"/>
        <v/>
      </c>
      <c r="CL5" s="461" t="str">
        <f t="shared" si="14"/>
        <v/>
      </c>
      <c r="CM5" s="461" t="str">
        <f t="shared" si="15"/>
        <v/>
      </c>
      <c r="CN5" s="461" t="str">
        <f t="shared" si="16"/>
        <v>0475-12</v>
      </c>
    </row>
    <row r="6" spans="1:92" ht="15" thickBot="1" x14ac:dyDescent="0.35">
      <c r="A6" s="376" t="s">
        <v>161</v>
      </c>
      <c r="B6" s="376" t="s">
        <v>162</v>
      </c>
      <c r="C6" s="376" t="s">
        <v>205</v>
      </c>
      <c r="D6" s="376" t="s">
        <v>164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169</v>
      </c>
      <c r="L6" s="376" t="s">
        <v>170</v>
      </c>
      <c r="M6" s="376" t="s">
        <v>171</v>
      </c>
      <c r="N6" s="376" t="s">
        <v>172</v>
      </c>
      <c r="O6" s="379">
        <v>1</v>
      </c>
      <c r="P6" s="459">
        <v>1</v>
      </c>
      <c r="Q6" s="459">
        <v>1</v>
      </c>
      <c r="R6" s="380">
        <v>80</v>
      </c>
      <c r="S6" s="459">
        <v>1</v>
      </c>
      <c r="T6" s="380">
        <v>113096.81</v>
      </c>
      <c r="U6" s="380">
        <v>0</v>
      </c>
      <c r="V6" s="380">
        <v>34993.14</v>
      </c>
      <c r="W6" s="380">
        <v>114296</v>
      </c>
      <c r="X6" s="380">
        <v>36185.9</v>
      </c>
      <c r="Y6" s="380">
        <v>114296</v>
      </c>
      <c r="Z6" s="380">
        <v>35591.56</v>
      </c>
      <c r="AA6" s="376" t="s">
        <v>206</v>
      </c>
      <c r="AB6" s="376" t="s">
        <v>207</v>
      </c>
      <c r="AC6" s="376" t="s">
        <v>208</v>
      </c>
      <c r="AD6" s="376" t="s">
        <v>209</v>
      </c>
      <c r="AE6" s="376" t="s">
        <v>169</v>
      </c>
      <c r="AF6" s="376" t="s">
        <v>177</v>
      </c>
      <c r="AG6" s="376" t="s">
        <v>178</v>
      </c>
      <c r="AH6" s="381">
        <v>54.95</v>
      </c>
      <c r="AI6" s="381">
        <v>55317.1</v>
      </c>
      <c r="AJ6" s="376" t="s">
        <v>179</v>
      </c>
      <c r="AK6" s="376" t="s">
        <v>180</v>
      </c>
      <c r="AL6" s="376" t="s">
        <v>181</v>
      </c>
      <c r="AM6" s="376" t="s">
        <v>182</v>
      </c>
      <c r="AN6" s="376" t="s">
        <v>68</v>
      </c>
      <c r="AO6" s="379">
        <v>80</v>
      </c>
      <c r="AP6" s="459">
        <v>1</v>
      </c>
      <c r="AQ6" s="459">
        <v>1</v>
      </c>
      <c r="AR6" s="457" t="s">
        <v>183</v>
      </c>
      <c r="AS6" s="461">
        <f t="shared" si="0"/>
        <v>1</v>
      </c>
      <c r="AT6">
        <f t="shared" si="1"/>
        <v>1</v>
      </c>
      <c r="AU6" s="461">
        <f>IF(AT6=0,"",IF(AND(AT6=1,M6="F",SUMIF(C2:C20,C6,AS2:AS20)&lt;=1),SUMIF(C2:C20,C6,AS2:AS20),IF(AND(AT6=1,M6="F",SUMIF(C2:C20,C6,AS2:AS20)&gt;1),1,"")))</f>
        <v>1</v>
      </c>
      <c r="AV6" s="461" t="str">
        <f>IF(AT6=0,"",IF(AND(AT6=3,M6="F",SUMIF(C2:C20,C6,AS2:AS20)&lt;=1),SUMIF(C2:C20,C6,AS2:AS20),IF(AND(AT6=3,M6="F",SUMIF(C2:C20,C6,AS2:AS20)&gt;1),1,"")))</f>
        <v/>
      </c>
      <c r="AW6" s="461">
        <f>SUMIF(C2:C20,C6,O2:O20)</f>
        <v>1</v>
      </c>
      <c r="AX6" s="461">
        <f>IF(AND(M6="F",AS6&lt;&gt;0),SUMIF(C2:C20,C6,W2:W20),0)</f>
        <v>114296</v>
      </c>
      <c r="AY6" s="461">
        <f t="shared" si="2"/>
        <v>114296</v>
      </c>
      <c r="AZ6" s="461" t="str">
        <f t="shared" si="3"/>
        <v/>
      </c>
      <c r="BA6" s="461">
        <f t="shared" si="4"/>
        <v>0</v>
      </c>
      <c r="BB6" s="461">
        <f>IF(AND(AT6=1,AK6="E",AU6&gt;=0.75,AW6=1),Health,IF(AND(AT6=1,AK6="E",AU6&gt;=0.75),Health*P6,IF(AND(AT6=1,AK6="E",AU6&gt;=0.5,AW6=1),PTHealth,IF(AND(AT6=1,AK6="E",AU6&gt;=0.5),PTHealth*P6,0))))</f>
        <v>11650</v>
      </c>
      <c r="BC6" s="461">
        <f>IF(AND(AT6=3,AK6="E",AV6&gt;=0.75,AW6=1),Health,IF(AND(AT6=3,AK6="E",AV6&gt;=0.75),Health*P6,IF(AND(AT6=3,AK6="E",AV6&gt;=0.5,AW6=1),PTHealth,IF(AND(AT6=3,AK6="E",AV6&gt;=0.5),PTHealth*P6,0))))</f>
        <v>0</v>
      </c>
      <c r="BD6" s="461">
        <f>IF(AND(AT6&lt;&gt;0,AX6&gt;=MAXSSDI),SSDI*MAXSSDI*P6,IF(AT6&lt;&gt;0,SSDI*W6,0))</f>
        <v>7086.3519999999999</v>
      </c>
      <c r="BE6" s="461">
        <f>IF(AT6&lt;&gt;0,SSHI*W6,0)</f>
        <v>1657.2920000000001</v>
      </c>
      <c r="BF6" s="461">
        <f>IF(AND(AT6&lt;&gt;0,AN6&lt;&gt;"NE"),VLOOKUP(AN6,Retirement_Rates,3,FALSE)*W6,0)</f>
        <v>13646.9424</v>
      </c>
      <c r="BG6" s="461">
        <f>IF(AND(AT6&lt;&gt;0,AJ6&lt;&gt;"PF"),Life*W6,0)</f>
        <v>824.07416000000001</v>
      </c>
      <c r="BH6" s="461">
        <f>IF(AND(AT6&lt;&gt;0,AM6="Y"),UI*W6,0)</f>
        <v>560.05039999999997</v>
      </c>
      <c r="BI6" s="461">
        <f>IF(AND(AT6&lt;&gt;0,N6&lt;&gt;"NR"),DHR*W6,0)</f>
        <v>349.74575999999996</v>
      </c>
      <c r="BJ6" s="461">
        <f>IF(AT6&lt;&gt;0,WC*W6,0)</f>
        <v>411.46559999999999</v>
      </c>
      <c r="BK6" s="461">
        <f>IF(OR(AND(AT6&lt;&gt;0,AJ6&lt;&gt;"PF",AN6&lt;&gt;"NE",AG6&lt;&gt;"A"),AND(AL6="E",OR(AT6=1,AT6=3))),Sick*W6,0)</f>
        <v>0</v>
      </c>
      <c r="BL6" s="461">
        <f t="shared" si="5"/>
        <v>24535.922320000001</v>
      </c>
      <c r="BM6" s="461">
        <f t="shared" si="6"/>
        <v>0</v>
      </c>
      <c r="BN6" s="461">
        <f>IF(AND(AT6=1,AK6="E",AU6&gt;=0.75,AW6=1),HealthBY,IF(AND(AT6=1,AK6="E",AU6&gt;=0.75),HealthBY*P6,IF(AND(AT6=1,AK6="E",AU6&gt;=0.5,AW6=1),PTHealthBY,IF(AND(AT6=1,AK6="E",AU6&gt;=0.5),PTHealthBY*P6,0))))</f>
        <v>11650</v>
      </c>
      <c r="BO6" s="461">
        <f>IF(AND(AT6=3,AK6="E",AV6&gt;=0.75,AW6=1),HealthBY,IF(AND(AT6=3,AK6="E",AV6&gt;=0.75),HealthBY*P6,IF(AND(AT6=3,AK6="E",AV6&gt;=0.5,AW6=1),PTHealthBY,IF(AND(AT6=3,AK6="E",AV6&gt;=0.5),PTHealthBY*P6,0))))</f>
        <v>0</v>
      </c>
      <c r="BP6" s="461">
        <f>IF(AND(AT6&lt;&gt;0,(AX6+BA6)&gt;=MAXSSDIBY),SSDIBY*MAXSSDIBY*P6,IF(AT6&lt;&gt;0,SSDIBY*W6,0))</f>
        <v>7086.3519999999999</v>
      </c>
      <c r="BQ6" s="461">
        <f>IF(AT6&lt;&gt;0,SSHIBY*W6,0)</f>
        <v>1657.2920000000001</v>
      </c>
      <c r="BR6" s="461">
        <f>IF(AND(AT6&lt;&gt;0,AN6&lt;&gt;"NE"),VLOOKUP(AN6,Retirement_Rates,4,FALSE)*W6,0)</f>
        <v>13646.9424</v>
      </c>
      <c r="BS6" s="461">
        <f>IF(AND(AT6&lt;&gt;0,AJ6&lt;&gt;"PF"),LifeBY*W6,0)</f>
        <v>824.07416000000001</v>
      </c>
      <c r="BT6" s="461">
        <f>IF(AND(AT6&lt;&gt;0,AM6="Y"),UIBY*W6,0)</f>
        <v>0</v>
      </c>
      <c r="BU6" s="461">
        <f>IF(AND(AT6&lt;&gt;0,N6&lt;&gt;"NR"),DHRBY*W6,0)</f>
        <v>349.74575999999996</v>
      </c>
      <c r="BV6" s="461">
        <f>IF(AT6&lt;&gt;0,WCBY*W6,0)</f>
        <v>377.17680000000001</v>
      </c>
      <c r="BW6" s="461">
        <f>IF(OR(AND(AT6&lt;&gt;0,AJ6&lt;&gt;"PF",AN6&lt;&gt;"NE",AG6&lt;&gt;"A"),AND(AL6="E",OR(AT6=1,AT6=3))),SickBY*W6,0)</f>
        <v>0</v>
      </c>
      <c r="BX6" s="461">
        <f t="shared" si="7"/>
        <v>23941.583120000003</v>
      </c>
      <c r="BY6" s="461">
        <f t="shared" si="8"/>
        <v>0</v>
      </c>
      <c r="BZ6" s="461">
        <f t="shared" si="9"/>
        <v>0</v>
      </c>
      <c r="CA6" s="461">
        <f t="shared" si="10"/>
        <v>0</v>
      </c>
      <c r="CB6" s="461">
        <f t="shared" si="11"/>
        <v>0</v>
      </c>
      <c r="CC6" s="461">
        <f>IF(AT6&lt;&gt;0,SSHICHG*Y6,0)</f>
        <v>0</v>
      </c>
      <c r="CD6" s="461">
        <f>IF(AND(AT6&lt;&gt;0,AN6&lt;&gt;"NE"),VLOOKUP(AN6,Retirement_Rates,5,FALSE)*Y6,0)</f>
        <v>0</v>
      </c>
      <c r="CE6" s="461">
        <f>IF(AND(AT6&lt;&gt;0,AJ6&lt;&gt;"PF"),LifeCHG*Y6,0)</f>
        <v>0</v>
      </c>
      <c r="CF6" s="461">
        <f>IF(AND(AT6&lt;&gt;0,AM6="Y"),UICHG*Y6,0)</f>
        <v>-560.05039999999997</v>
      </c>
      <c r="CG6" s="461">
        <f>IF(AND(AT6&lt;&gt;0,N6&lt;&gt;"NR"),DHRCHG*Y6,0)</f>
        <v>0</v>
      </c>
      <c r="CH6" s="461">
        <f>IF(AT6&lt;&gt;0,WCCHG*Y6,0)</f>
        <v>-34.288799999999988</v>
      </c>
      <c r="CI6" s="461">
        <f>IF(OR(AND(AT6&lt;&gt;0,AJ6&lt;&gt;"PF",AN6&lt;&gt;"NE",AG6&lt;&gt;"A"),AND(AL6="E",OR(AT6=1,AT6=3))),SickCHG*Y6,0)</f>
        <v>0</v>
      </c>
      <c r="CJ6" s="461">
        <f t="shared" si="12"/>
        <v>-594.33920000000001</v>
      </c>
      <c r="CK6" s="461" t="str">
        <f t="shared" si="13"/>
        <v/>
      </c>
      <c r="CL6" s="461" t="str">
        <f t="shared" si="14"/>
        <v/>
      </c>
      <c r="CM6" s="461" t="str">
        <f t="shared" si="15"/>
        <v/>
      </c>
      <c r="CN6" s="461" t="str">
        <f t="shared" si="16"/>
        <v>0475-12</v>
      </c>
    </row>
    <row r="7" spans="1:92" ht="15" thickBot="1" x14ac:dyDescent="0.35">
      <c r="A7" s="376" t="s">
        <v>161</v>
      </c>
      <c r="B7" s="376" t="s">
        <v>162</v>
      </c>
      <c r="C7" s="376" t="s">
        <v>210</v>
      </c>
      <c r="D7" s="376" t="s">
        <v>211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212</v>
      </c>
      <c r="L7" s="376" t="s">
        <v>204</v>
      </c>
      <c r="M7" s="376" t="s">
        <v>171</v>
      </c>
      <c r="N7" s="376" t="s">
        <v>172</v>
      </c>
      <c r="O7" s="379">
        <v>1</v>
      </c>
      <c r="P7" s="459">
        <v>1</v>
      </c>
      <c r="Q7" s="459">
        <v>1</v>
      </c>
      <c r="R7" s="380">
        <v>80</v>
      </c>
      <c r="S7" s="459">
        <v>1</v>
      </c>
      <c r="T7" s="380">
        <v>52483.199999999997</v>
      </c>
      <c r="U7" s="380">
        <v>0</v>
      </c>
      <c r="V7" s="380">
        <v>22506.86</v>
      </c>
      <c r="W7" s="380">
        <v>53996.800000000003</v>
      </c>
      <c r="X7" s="380">
        <v>23241.46</v>
      </c>
      <c r="Y7" s="380">
        <v>53996.800000000003</v>
      </c>
      <c r="Z7" s="380">
        <v>22960.68</v>
      </c>
      <c r="AA7" s="376" t="s">
        <v>213</v>
      </c>
      <c r="AB7" s="376" t="s">
        <v>214</v>
      </c>
      <c r="AC7" s="376" t="s">
        <v>215</v>
      </c>
      <c r="AD7" s="376" t="s">
        <v>178</v>
      </c>
      <c r="AE7" s="376" t="s">
        <v>212</v>
      </c>
      <c r="AF7" s="376" t="s">
        <v>216</v>
      </c>
      <c r="AG7" s="376" t="s">
        <v>178</v>
      </c>
      <c r="AH7" s="381">
        <v>25.96</v>
      </c>
      <c r="AI7" s="381">
        <v>57029.8</v>
      </c>
      <c r="AJ7" s="376" t="s">
        <v>179</v>
      </c>
      <c r="AK7" s="376" t="s">
        <v>180</v>
      </c>
      <c r="AL7" s="376" t="s">
        <v>181</v>
      </c>
      <c r="AM7" s="376" t="s">
        <v>182</v>
      </c>
      <c r="AN7" s="376" t="s">
        <v>68</v>
      </c>
      <c r="AO7" s="379">
        <v>80</v>
      </c>
      <c r="AP7" s="459">
        <v>1</v>
      </c>
      <c r="AQ7" s="459">
        <v>1</v>
      </c>
      <c r="AR7" s="457" t="s">
        <v>183</v>
      </c>
      <c r="AS7" s="461">
        <f t="shared" si="0"/>
        <v>1</v>
      </c>
      <c r="AT7">
        <f t="shared" si="1"/>
        <v>1</v>
      </c>
      <c r="AU7" s="461">
        <f>IF(AT7=0,"",IF(AND(AT7=1,M7="F",SUMIF(C2:C20,C7,AS2:AS20)&lt;=1),SUMIF(C2:C20,C7,AS2:AS20),IF(AND(AT7=1,M7="F",SUMIF(C2:C20,C7,AS2:AS20)&gt;1),1,"")))</f>
        <v>1</v>
      </c>
      <c r="AV7" s="461" t="str">
        <f>IF(AT7=0,"",IF(AND(AT7=3,M7="F",SUMIF(C2:C20,C7,AS2:AS20)&lt;=1),SUMIF(C2:C20,C7,AS2:AS20),IF(AND(AT7=3,M7="F",SUMIF(C2:C20,C7,AS2:AS20)&gt;1),1,"")))</f>
        <v/>
      </c>
      <c r="AW7" s="461">
        <f>SUMIF(C2:C20,C7,O2:O20)</f>
        <v>1</v>
      </c>
      <c r="AX7" s="461">
        <f>IF(AND(M7="F",AS7&lt;&gt;0),SUMIF(C2:C20,C7,W2:W20),0)</f>
        <v>53996.800000000003</v>
      </c>
      <c r="AY7" s="461">
        <f t="shared" si="2"/>
        <v>53996.800000000003</v>
      </c>
      <c r="AZ7" s="461" t="str">
        <f t="shared" si="3"/>
        <v/>
      </c>
      <c r="BA7" s="461">
        <f t="shared" si="4"/>
        <v>0</v>
      </c>
      <c r="BB7" s="461">
        <f>IF(AND(AT7=1,AK7="E",AU7&gt;=0.75,AW7=1),Health,IF(AND(AT7=1,AK7="E",AU7&gt;=0.75),Health*P7,IF(AND(AT7=1,AK7="E",AU7&gt;=0.5,AW7=1),PTHealth,IF(AND(AT7=1,AK7="E",AU7&gt;=0.5),PTHealth*P7,0))))</f>
        <v>11650</v>
      </c>
      <c r="BC7" s="461">
        <f>IF(AND(AT7=3,AK7="E",AV7&gt;=0.75,AW7=1),Health,IF(AND(AT7=3,AK7="E",AV7&gt;=0.75),Health*P7,IF(AND(AT7=3,AK7="E",AV7&gt;=0.5,AW7=1),PTHealth,IF(AND(AT7=3,AK7="E",AV7&gt;=0.5),PTHealth*P7,0))))</f>
        <v>0</v>
      </c>
      <c r="BD7" s="461">
        <f>IF(AND(AT7&lt;&gt;0,AX7&gt;=MAXSSDI),SSDI*MAXSSDI*P7,IF(AT7&lt;&gt;0,SSDI*W7,0))</f>
        <v>3347.8016000000002</v>
      </c>
      <c r="BE7" s="461">
        <f>IF(AT7&lt;&gt;0,SSHI*W7,0)</f>
        <v>782.95360000000005</v>
      </c>
      <c r="BF7" s="461">
        <f>IF(AND(AT7&lt;&gt;0,AN7&lt;&gt;"NE"),VLOOKUP(AN7,Retirement_Rates,3,FALSE)*W7,0)</f>
        <v>6447.217920000001</v>
      </c>
      <c r="BG7" s="461">
        <f>IF(AND(AT7&lt;&gt;0,AJ7&lt;&gt;"PF"),Life*W7,0)</f>
        <v>389.31692800000002</v>
      </c>
      <c r="BH7" s="461">
        <f>IF(AND(AT7&lt;&gt;0,AM7="Y"),UI*W7,0)</f>
        <v>264.58431999999999</v>
      </c>
      <c r="BI7" s="461">
        <f>IF(AND(AT7&lt;&gt;0,N7&lt;&gt;"NR"),DHR*W7,0)</f>
        <v>165.230208</v>
      </c>
      <c r="BJ7" s="461">
        <f>IF(AT7&lt;&gt;0,WC*W7,0)</f>
        <v>194.38848000000002</v>
      </c>
      <c r="BK7" s="461">
        <f>IF(OR(AND(AT7&lt;&gt;0,AJ7&lt;&gt;"PF",AN7&lt;&gt;"NE",AG7&lt;&gt;"A"),AND(AL7="E",OR(AT7=1,AT7=3))),Sick*W7,0)</f>
        <v>0</v>
      </c>
      <c r="BL7" s="461">
        <f t="shared" si="5"/>
        <v>11591.493056000003</v>
      </c>
      <c r="BM7" s="461">
        <f t="shared" si="6"/>
        <v>0</v>
      </c>
      <c r="BN7" s="461">
        <f>IF(AND(AT7=1,AK7="E",AU7&gt;=0.75,AW7=1),HealthBY,IF(AND(AT7=1,AK7="E",AU7&gt;=0.75),HealthBY*P7,IF(AND(AT7=1,AK7="E",AU7&gt;=0.5,AW7=1),PTHealthBY,IF(AND(AT7=1,AK7="E",AU7&gt;=0.5),PTHealthBY*P7,0))))</f>
        <v>11650</v>
      </c>
      <c r="BO7" s="461">
        <f>IF(AND(AT7=3,AK7="E",AV7&gt;=0.75,AW7=1),HealthBY,IF(AND(AT7=3,AK7="E",AV7&gt;=0.75),HealthBY*P7,IF(AND(AT7=3,AK7="E",AV7&gt;=0.5,AW7=1),PTHealthBY,IF(AND(AT7=3,AK7="E",AV7&gt;=0.5),PTHealthBY*P7,0))))</f>
        <v>0</v>
      </c>
      <c r="BP7" s="461">
        <f>IF(AND(AT7&lt;&gt;0,(AX7+BA7)&gt;=MAXSSDIBY),SSDIBY*MAXSSDIBY*P7,IF(AT7&lt;&gt;0,SSDIBY*W7,0))</f>
        <v>3347.8016000000002</v>
      </c>
      <c r="BQ7" s="461">
        <f>IF(AT7&lt;&gt;0,SSHIBY*W7,0)</f>
        <v>782.95360000000005</v>
      </c>
      <c r="BR7" s="461">
        <f>IF(AND(AT7&lt;&gt;0,AN7&lt;&gt;"NE"),VLOOKUP(AN7,Retirement_Rates,4,FALSE)*W7,0)</f>
        <v>6447.217920000001</v>
      </c>
      <c r="BS7" s="461">
        <f>IF(AND(AT7&lt;&gt;0,AJ7&lt;&gt;"PF"),LifeBY*W7,0)</f>
        <v>389.31692800000002</v>
      </c>
      <c r="BT7" s="461">
        <f>IF(AND(AT7&lt;&gt;0,AM7="Y"),UIBY*W7,0)</f>
        <v>0</v>
      </c>
      <c r="BU7" s="461">
        <f>IF(AND(AT7&lt;&gt;0,N7&lt;&gt;"NR"),DHRBY*W7,0)</f>
        <v>165.230208</v>
      </c>
      <c r="BV7" s="461">
        <f>IF(AT7&lt;&gt;0,WCBY*W7,0)</f>
        <v>178.18944000000002</v>
      </c>
      <c r="BW7" s="461">
        <f>IF(OR(AND(AT7&lt;&gt;0,AJ7&lt;&gt;"PF",AN7&lt;&gt;"NE",AG7&lt;&gt;"A"),AND(AL7="E",OR(AT7=1,AT7=3))),SickBY*W7,0)</f>
        <v>0</v>
      </c>
      <c r="BX7" s="461">
        <f t="shared" si="7"/>
        <v>11310.709696000004</v>
      </c>
      <c r="BY7" s="461">
        <f t="shared" si="8"/>
        <v>0</v>
      </c>
      <c r="BZ7" s="461">
        <f t="shared" si="9"/>
        <v>0</v>
      </c>
      <c r="CA7" s="461">
        <f t="shared" si="10"/>
        <v>0</v>
      </c>
      <c r="CB7" s="461">
        <f t="shared" si="11"/>
        <v>0</v>
      </c>
      <c r="CC7" s="461">
        <f>IF(AT7&lt;&gt;0,SSHICHG*Y7,0)</f>
        <v>0</v>
      </c>
      <c r="CD7" s="461">
        <f>IF(AND(AT7&lt;&gt;0,AN7&lt;&gt;"NE"),VLOOKUP(AN7,Retirement_Rates,5,FALSE)*Y7,0)</f>
        <v>0</v>
      </c>
      <c r="CE7" s="461">
        <f>IF(AND(AT7&lt;&gt;0,AJ7&lt;&gt;"PF"),LifeCHG*Y7,0)</f>
        <v>0</v>
      </c>
      <c r="CF7" s="461">
        <f>IF(AND(AT7&lt;&gt;0,AM7="Y"),UICHG*Y7,0)</f>
        <v>-264.58431999999999</v>
      </c>
      <c r="CG7" s="461">
        <f>IF(AND(AT7&lt;&gt;0,N7&lt;&gt;"NR"),DHRCHG*Y7,0)</f>
        <v>0</v>
      </c>
      <c r="CH7" s="461">
        <f>IF(AT7&lt;&gt;0,WCCHG*Y7,0)</f>
        <v>-16.199039999999997</v>
      </c>
      <c r="CI7" s="461">
        <f>IF(OR(AND(AT7&lt;&gt;0,AJ7&lt;&gt;"PF",AN7&lt;&gt;"NE",AG7&lt;&gt;"A"),AND(AL7="E",OR(AT7=1,AT7=3))),SickCHG*Y7,0)</f>
        <v>0</v>
      </c>
      <c r="CJ7" s="461">
        <f t="shared" si="12"/>
        <v>-280.78336000000002</v>
      </c>
      <c r="CK7" s="461" t="str">
        <f t="shared" si="13"/>
        <v/>
      </c>
      <c r="CL7" s="461" t="str">
        <f t="shared" si="14"/>
        <v/>
      </c>
      <c r="CM7" s="461" t="str">
        <f t="shared" si="15"/>
        <v/>
      </c>
      <c r="CN7" s="461" t="str">
        <f t="shared" si="16"/>
        <v>0475-12</v>
      </c>
    </row>
    <row r="8" spans="1:92" ht="15" thickBot="1" x14ac:dyDescent="0.35">
      <c r="A8" s="376" t="s">
        <v>161</v>
      </c>
      <c r="B8" s="376" t="s">
        <v>162</v>
      </c>
      <c r="C8" s="376" t="s">
        <v>217</v>
      </c>
      <c r="D8" s="376" t="s">
        <v>218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219</v>
      </c>
      <c r="L8" s="376" t="s">
        <v>220</v>
      </c>
      <c r="M8" s="376" t="s">
        <v>171</v>
      </c>
      <c r="N8" s="376" t="s">
        <v>221</v>
      </c>
      <c r="O8" s="379">
        <v>1</v>
      </c>
      <c r="P8" s="459">
        <v>1</v>
      </c>
      <c r="Q8" s="459">
        <v>1</v>
      </c>
      <c r="R8" s="380">
        <v>80</v>
      </c>
      <c r="S8" s="459">
        <v>1</v>
      </c>
      <c r="T8" s="380">
        <v>50566.8</v>
      </c>
      <c r="U8" s="380">
        <v>0</v>
      </c>
      <c r="V8" s="380">
        <v>21887.93</v>
      </c>
      <c r="W8" s="380">
        <v>55702.400000000001</v>
      </c>
      <c r="X8" s="380">
        <v>23437.15</v>
      </c>
      <c r="Y8" s="380">
        <v>55702.400000000001</v>
      </c>
      <c r="Z8" s="380">
        <v>23147.5</v>
      </c>
      <c r="AA8" s="376" t="s">
        <v>222</v>
      </c>
      <c r="AB8" s="376" t="s">
        <v>223</v>
      </c>
      <c r="AC8" s="376" t="s">
        <v>224</v>
      </c>
      <c r="AD8" s="376" t="s">
        <v>225</v>
      </c>
      <c r="AE8" s="376" t="s">
        <v>219</v>
      </c>
      <c r="AF8" s="376" t="s">
        <v>226</v>
      </c>
      <c r="AG8" s="376" t="s">
        <v>178</v>
      </c>
      <c r="AH8" s="381">
        <v>26.78</v>
      </c>
      <c r="AI8" s="381">
        <v>18918.900000000001</v>
      </c>
      <c r="AJ8" s="376" t="s">
        <v>179</v>
      </c>
      <c r="AK8" s="376" t="s">
        <v>180</v>
      </c>
      <c r="AL8" s="376" t="s">
        <v>181</v>
      </c>
      <c r="AM8" s="376" t="s">
        <v>182</v>
      </c>
      <c r="AN8" s="376" t="s">
        <v>68</v>
      </c>
      <c r="AO8" s="379">
        <v>80</v>
      </c>
      <c r="AP8" s="459">
        <v>1</v>
      </c>
      <c r="AQ8" s="459">
        <v>1</v>
      </c>
      <c r="AR8" s="457" t="s">
        <v>183</v>
      </c>
      <c r="AS8" s="461">
        <f t="shared" si="0"/>
        <v>1</v>
      </c>
      <c r="AT8">
        <f t="shared" si="1"/>
        <v>1</v>
      </c>
      <c r="AU8" s="461">
        <f>IF(AT8=0,"",IF(AND(AT8=1,M8="F",SUMIF(C2:C20,C8,AS2:AS20)&lt;=1),SUMIF(C2:C20,C8,AS2:AS20),IF(AND(AT8=1,M8="F",SUMIF(C2:C20,C8,AS2:AS20)&gt;1),1,"")))</f>
        <v>1</v>
      </c>
      <c r="AV8" s="461" t="str">
        <f>IF(AT8=0,"",IF(AND(AT8=3,M8="F",SUMIF(C2:C20,C8,AS2:AS20)&lt;=1),SUMIF(C2:C20,C8,AS2:AS20),IF(AND(AT8=3,M8="F",SUMIF(C2:C20,C8,AS2:AS20)&gt;1),1,"")))</f>
        <v/>
      </c>
      <c r="AW8" s="461">
        <f>SUMIF(C2:C20,C8,O2:O20)</f>
        <v>1</v>
      </c>
      <c r="AX8" s="461">
        <f>IF(AND(M8="F",AS8&lt;&gt;0),SUMIF(C2:C20,C8,W2:W20),0)</f>
        <v>55702.400000000001</v>
      </c>
      <c r="AY8" s="461">
        <f t="shared" si="2"/>
        <v>55702.400000000001</v>
      </c>
      <c r="AZ8" s="461" t="str">
        <f t="shared" si="3"/>
        <v/>
      </c>
      <c r="BA8" s="461">
        <f t="shared" si="4"/>
        <v>0</v>
      </c>
      <c r="BB8" s="461">
        <f>IF(AND(AT8=1,AK8="E",AU8&gt;=0.75,AW8=1),Health,IF(AND(AT8=1,AK8="E",AU8&gt;=0.75),Health*P8,IF(AND(AT8=1,AK8="E",AU8&gt;=0.5,AW8=1),PTHealth,IF(AND(AT8=1,AK8="E",AU8&gt;=0.5),PTHealth*P8,0))))</f>
        <v>11650</v>
      </c>
      <c r="BC8" s="461">
        <f>IF(AND(AT8=3,AK8="E",AV8&gt;=0.75,AW8=1),Health,IF(AND(AT8=3,AK8="E",AV8&gt;=0.75),Health*P8,IF(AND(AT8=3,AK8="E",AV8&gt;=0.5,AW8=1),PTHealth,IF(AND(AT8=3,AK8="E",AV8&gt;=0.5),PTHealth*P8,0))))</f>
        <v>0</v>
      </c>
      <c r="BD8" s="461">
        <f>IF(AND(AT8&lt;&gt;0,AX8&gt;=MAXSSDI),SSDI*MAXSSDI*P8,IF(AT8&lt;&gt;0,SSDI*W8,0))</f>
        <v>3453.5488</v>
      </c>
      <c r="BE8" s="461">
        <f>IF(AT8&lt;&gt;0,SSHI*W8,0)</f>
        <v>807.68480000000011</v>
      </c>
      <c r="BF8" s="461">
        <f>IF(AND(AT8&lt;&gt;0,AN8&lt;&gt;"NE"),VLOOKUP(AN8,Retirement_Rates,3,FALSE)*W8,0)</f>
        <v>6650.8665600000004</v>
      </c>
      <c r="BG8" s="461">
        <f>IF(AND(AT8&lt;&gt;0,AJ8&lt;&gt;"PF"),Life*W8,0)</f>
        <v>401.614304</v>
      </c>
      <c r="BH8" s="461">
        <f>IF(AND(AT8&lt;&gt;0,AM8="Y"),UI*W8,0)</f>
        <v>272.94175999999999</v>
      </c>
      <c r="BI8" s="461">
        <f>IF(AND(AT8&lt;&gt;0,N8&lt;&gt;"NR"),DHR*W8,0)</f>
        <v>0</v>
      </c>
      <c r="BJ8" s="461">
        <f>IF(AT8&lt;&gt;0,WC*W8,0)</f>
        <v>200.52864</v>
      </c>
      <c r="BK8" s="461">
        <f>IF(OR(AND(AT8&lt;&gt;0,AJ8&lt;&gt;"PF",AN8&lt;&gt;"NE",AG8&lt;&gt;"A"),AND(AL8="E",OR(AT8=1,AT8=3))),Sick*W8,0)</f>
        <v>0</v>
      </c>
      <c r="BL8" s="461">
        <f t="shared" si="5"/>
        <v>11787.184864000003</v>
      </c>
      <c r="BM8" s="461">
        <f t="shared" si="6"/>
        <v>0</v>
      </c>
      <c r="BN8" s="461">
        <f>IF(AND(AT8=1,AK8="E",AU8&gt;=0.75,AW8=1),HealthBY,IF(AND(AT8=1,AK8="E",AU8&gt;=0.75),HealthBY*P8,IF(AND(AT8=1,AK8="E",AU8&gt;=0.5,AW8=1),PTHealthBY,IF(AND(AT8=1,AK8="E",AU8&gt;=0.5),PTHealthBY*P8,0))))</f>
        <v>11650</v>
      </c>
      <c r="BO8" s="461">
        <f>IF(AND(AT8=3,AK8="E",AV8&gt;=0.75,AW8=1),HealthBY,IF(AND(AT8=3,AK8="E",AV8&gt;=0.75),HealthBY*P8,IF(AND(AT8=3,AK8="E",AV8&gt;=0.5,AW8=1),PTHealthBY,IF(AND(AT8=3,AK8="E",AV8&gt;=0.5),PTHealthBY*P8,0))))</f>
        <v>0</v>
      </c>
      <c r="BP8" s="461">
        <f>IF(AND(AT8&lt;&gt;0,(AX8+BA8)&gt;=MAXSSDIBY),SSDIBY*MAXSSDIBY*P8,IF(AT8&lt;&gt;0,SSDIBY*W8,0))</f>
        <v>3453.5488</v>
      </c>
      <c r="BQ8" s="461">
        <f>IF(AT8&lt;&gt;0,SSHIBY*W8,0)</f>
        <v>807.68480000000011</v>
      </c>
      <c r="BR8" s="461">
        <f>IF(AND(AT8&lt;&gt;0,AN8&lt;&gt;"NE"),VLOOKUP(AN8,Retirement_Rates,4,FALSE)*W8,0)</f>
        <v>6650.8665600000004</v>
      </c>
      <c r="BS8" s="461">
        <f>IF(AND(AT8&lt;&gt;0,AJ8&lt;&gt;"PF"),LifeBY*W8,0)</f>
        <v>401.614304</v>
      </c>
      <c r="BT8" s="461">
        <f>IF(AND(AT8&lt;&gt;0,AM8="Y"),UIBY*W8,0)</f>
        <v>0</v>
      </c>
      <c r="BU8" s="461">
        <f>IF(AND(AT8&lt;&gt;0,N8&lt;&gt;"NR"),DHRBY*W8,0)</f>
        <v>0</v>
      </c>
      <c r="BV8" s="461">
        <f>IF(AT8&lt;&gt;0,WCBY*W8,0)</f>
        <v>183.81792000000002</v>
      </c>
      <c r="BW8" s="461">
        <f>IF(OR(AND(AT8&lt;&gt;0,AJ8&lt;&gt;"PF",AN8&lt;&gt;"NE",AG8&lt;&gt;"A"),AND(AL8="E",OR(AT8=1,AT8=3))),SickBY*W8,0)</f>
        <v>0</v>
      </c>
      <c r="BX8" s="461">
        <f t="shared" si="7"/>
        <v>11497.532384000002</v>
      </c>
      <c r="BY8" s="461">
        <f t="shared" si="8"/>
        <v>0</v>
      </c>
      <c r="BZ8" s="461">
        <f t="shared" si="9"/>
        <v>0</v>
      </c>
      <c r="CA8" s="461">
        <f t="shared" si="10"/>
        <v>0</v>
      </c>
      <c r="CB8" s="461">
        <f t="shared" si="11"/>
        <v>0</v>
      </c>
      <c r="CC8" s="461">
        <f>IF(AT8&lt;&gt;0,SSHICHG*Y8,0)</f>
        <v>0</v>
      </c>
      <c r="CD8" s="461">
        <f>IF(AND(AT8&lt;&gt;0,AN8&lt;&gt;"NE"),VLOOKUP(AN8,Retirement_Rates,5,FALSE)*Y8,0)</f>
        <v>0</v>
      </c>
      <c r="CE8" s="461">
        <f>IF(AND(AT8&lt;&gt;0,AJ8&lt;&gt;"PF"),LifeCHG*Y8,0)</f>
        <v>0</v>
      </c>
      <c r="CF8" s="461">
        <f>IF(AND(AT8&lt;&gt;0,AM8="Y"),UICHG*Y8,0)</f>
        <v>-272.94175999999999</v>
      </c>
      <c r="CG8" s="461">
        <f>IF(AND(AT8&lt;&gt;0,N8&lt;&gt;"NR"),DHRCHG*Y8,0)</f>
        <v>0</v>
      </c>
      <c r="CH8" s="461">
        <f>IF(AT8&lt;&gt;0,WCCHG*Y8,0)</f>
        <v>-16.710719999999995</v>
      </c>
      <c r="CI8" s="461">
        <f>IF(OR(AND(AT8&lt;&gt;0,AJ8&lt;&gt;"PF",AN8&lt;&gt;"NE",AG8&lt;&gt;"A"),AND(AL8="E",OR(AT8=1,AT8=3))),SickCHG*Y8,0)</f>
        <v>0</v>
      </c>
      <c r="CJ8" s="461">
        <f t="shared" si="12"/>
        <v>-289.65247999999997</v>
      </c>
      <c r="CK8" s="461" t="str">
        <f t="shared" si="13"/>
        <v/>
      </c>
      <c r="CL8" s="461" t="str">
        <f t="shared" si="14"/>
        <v/>
      </c>
      <c r="CM8" s="461" t="str">
        <f t="shared" si="15"/>
        <v/>
      </c>
      <c r="CN8" s="461" t="str">
        <f t="shared" si="16"/>
        <v>0475-12</v>
      </c>
    </row>
    <row r="9" spans="1:92" ht="15" thickBot="1" x14ac:dyDescent="0.35">
      <c r="A9" s="376" t="s">
        <v>161</v>
      </c>
      <c r="B9" s="376" t="s">
        <v>162</v>
      </c>
      <c r="C9" s="376" t="s">
        <v>227</v>
      </c>
      <c r="D9" s="376" t="s">
        <v>228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229</v>
      </c>
      <c r="L9" s="376" t="s">
        <v>230</v>
      </c>
      <c r="M9" s="376" t="s">
        <v>171</v>
      </c>
      <c r="N9" s="376" t="s">
        <v>172</v>
      </c>
      <c r="O9" s="379">
        <v>1</v>
      </c>
      <c r="P9" s="459">
        <v>1</v>
      </c>
      <c r="Q9" s="459">
        <v>1</v>
      </c>
      <c r="R9" s="380">
        <v>80</v>
      </c>
      <c r="S9" s="459">
        <v>1</v>
      </c>
      <c r="T9" s="380">
        <v>49087.199999999997</v>
      </c>
      <c r="U9" s="380">
        <v>0</v>
      </c>
      <c r="V9" s="380">
        <v>20442.16</v>
      </c>
      <c r="W9" s="380">
        <v>62441.599999999999</v>
      </c>
      <c r="X9" s="380">
        <v>25054.3</v>
      </c>
      <c r="Y9" s="380">
        <v>62441.599999999999</v>
      </c>
      <c r="Z9" s="380">
        <v>24729.61</v>
      </c>
      <c r="AA9" s="376" t="s">
        <v>231</v>
      </c>
      <c r="AB9" s="376" t="s">
        <v>232</v>
      </c>
      <c r="AC9" s="376" t="s">
        <v>233</v>
      </c>
      <c r="AD9" s="376" t="s">
        <v>234</v>
      </c>
      <c r="AE9" s="376" t="s">
        <v>229</v>
      </c>
      <c r="AF9" s="376" t="s">
        <v>235</v>
      </c>
      <c r="AG9" s="376" t="s">
        <v>178</v>
      </c>
      <c r="AH9" s="381">
        <v>30.02</v>
      </c>
      <c r="AI9" s="379">
        <v>1762</v>
      </c>
      <c r="AJ9" s="376" t="s">
        <v>179</v>
      </c>
      <c r="AK9" s="376" t="s">
        <v>180</v>
      </c>
      <c r="AL9" s="376" t="s">
        <v>181</v>
      </c>
      <c r="AM9" s="376" t="s">
        <v>182</v>
      </c>
      <c r="AN9" s="376" t="s">
        <v>68</v>
      </c>
      <c r="AO9" s="379">
        <v>80</v>
      </c>
      <c r="AP9" s="459">
        <v>1</v>
      </c>
      <c r="AQ9" s="459">
        <v>1</v>
      </c>
      <c r="AR9" s="457" t="s">
        <v>183</v>
      </c>
      <c r="AS9" s="461">
        <f t="shared" si="0"/>
        <v>1</v>
      </c>
      <c r="AT9">
        <f t="shared" si="1"/>
        <v>1</v>
      </c>
      <c r="AU9" s="461">
        <f>IF(AT9=0,"",IF(AND(AT9=1,M9="F",SUMIF(C2:C20,C9,AS2:AS20)&lt;=1),SUMIF(C2:C20,C9,AS2:AS20),IF(AND(AT9=1,M9="F",SUMIF(C2:C20,C9,AS2:AS20)&gt;1),1,"")))</f>
        <v>1</v>
      </c>
      <c r="AV9" s="461" t="str">
        <f>IF(AT9=0,"",IF(AND(AT9=3,M9="F",SUMIF(C2:C20,C9,AS2:AS20)&lt;=1),SUMIF(C2:C20,C9,AS2:AS20),IF(AND(AT9=3,M9="F",SUMIF(C2:C20,C9,AS2:AS20)&gt;1),1,"")))</f>
        <v/>
      </c>
      <c r="AW9" s="461">
        <f>SUMIF(C2:C20,C9,O2:O20)</f>
        <v>1</v>
      </c>
      <c r="AX9" s="461">
        <f>IF(AND(M9="F",AS9&lt;&gt;0),SUMIF(C2:C20,C9,W2:W20),0)</f>
        <v>62441.599999999999</v>
      </c>
      <c r="AY9" s="461">
        <f t="shared" si="2"/>
        <v>62441.599999999999</v>
      </c>
      <c r="AZ9" s="461" t="str">
        <f t="shared" si="3"/>
        <v/>
      </c>
      <c r="BA9" s="461">
        <f t="shared" si="4"/>
        <v>0</v>
      </c>
      <c r="BB9" s="461">
        <f>IF(AND(AT9=1,AK9="E",AU9&gt;=0.75,AW9=1),Health,IF(AND(AT9=1,AK9="E",AU9&gt;=0.75),Health*P9,IF(AND(AT9=1,AK9="E",AU9&gt;=0.5,AW9=1),PTHealth,IF(AND(AT9=1,AK9="E",AU9&gt;=0.5),PTHealth*P9,0))))</f>
        <v>11650</v>
      </c>
      <c r="BC9" s="461">
        <f>IF(AND(AT9=3,AK9="E",AV9&gt;=0.75,AW9=1),Health,IF(AND(AT9=3,AK9="E",AV9&gt;=0.75),Health*P9,IF(AND(AT9=3,AK9="E",AV9&gt;=0.5,AW9=1),PTHealth,IF(AND(AT9=3,AK9="E",AV9&gt;=0.5),PTHealth*P9,0))))</f>
        <v>0</v>
      </c>
      <c r="BD9" s="461">
        <f>IF(AND(AT9&lt;&gt;0,AX9&gt;=MAXSSDI),SSDI*MAXSSDI*P9,IF(AT9&lt;&gt;0,SSDI*W9,0))</f>
        <v>3871.3791999999999</v>
      </c>
      <c r="BE9" s="461">
        <f>IF(AT9&lt;&gt;0,SSHI*W9,0)</f>
        <v>905.40319999999997</v>
      </c>
      <c r="BF9" s="461">
        <f>IF(AND(AT9&lt;&gt;0,AN9&lt;&gt;"NE"),VLOOKUP(AN9,Retirement_Rates,3,FALSE)*W9,0)</f>
        <v>7455.5270399999999</v>
      </c>
      <c r="BG9" s="461">
        <f>IF(AND(AT9&lt;&gt;0,AJ9&lt;&gt;"PF"),Life*W9,0)</f>
        <v>450.203936</v>
      </c>
      <c r="BH9" s="461">
        <f>IF(AND(AT9&lt;&gt;0,AM9="Y"),UI*W9,0)</f>
        <v>305.96384</v>
      </c>
      <c r="BI9" s="461">
        <f>IF(AND(AT9&lt;&gt;0,N9&lt;&gt;"NR"),DHR*W9,0)</f>
        <v>191.07129599999999</v>
      </c>
      <c r="BJ9" s="461">
        <f>IF(AT9&lt;&gt;0,WC*W9,0)</f>
        <v>224.78976</v>
      </c>
      <c r="BK9" s="461">
        <f>IF(OR(AND(AT9&lt;&gt;0,AJ9&lt;&gt;"PF",AN9&lt;&gt;"NE",AG9&lt;&gt;"A"),AND(AL9="E",OR(AT9=1,AT9=3))),Sick*W9,0)</f>
        <v>0</v>
      </c>
      <c r="BL9" s="461">
        <f t="shared" si="5"/>
        <v>13404.338272000001</v>
      </c>
      <c r="BM9" s="461">
        <f t="shared" si="6"/>
        <v>0</v>
      </c>
      <c r="BN9" s="461">
        <f>IF(AND(AT9=1,AK9="E",AU9&gt;=0.75,AW9=1),HealthBY,IF(AND(AT9=1,AK9="E",AU9&gt;=0.75),HealthBY*P9,IF(AND(AT9=1,AK9="E",AU9&gt;=0.5,AW9=1),PTHealthBY,IF(AND(AT9=1,AK9="E",AU9&gt;=0.5),PTHealthBY*P9,0))))</f>
        <v>11650</v>
      </c>
      <c r="BO9" s="461">
        <f>IF(AND(AT9=3,AK9="E",AV9&gt;=0.75,AW9=1),HealthBY,IF(AND(AT9=3,AK9="E",AV9&gt;=0.75),HealthBY*P9,IF(AND(AT9=3,AK9="E",AV9&gt;=0.5,AW9=1),PTHealthBY,IF(AND(AT9=3,AK9="E",AV9&gt;=0.5),PTHealthBY*P9,0))))</f>
        <v>0</v>
      </c>
      <c r="BP9" s="461">
        <f>IF(AND(AT9&lt;&gt;0,(AX9+BA9)&gt;=MAXSSDIBY),SSDIBY*MAXSSDIBY*P9,IF(AT9&lt;&gt;0,SSDIBY*W9,0))</f>
        <v>3871.3791999999999</v>
      </c>
      <c r="BQ9" s="461">
        <f>IF(AT9&lt;&gt;0,SSHIBY*W9,0)</f>
        <v>905.40319999999997</v>
      </c>
      <c r="BR9" s="461">
        <f>IF(AND(AT9&lt;&gt;0,AN9&lt;&gt;"NE"),VLOOKUP(AN9,Retirement_Rates,4,FALSE)*W9,0)</f>
        <v>7455.5270399999999</v>
      </c>
      <c r="BS9" s="461">
        <f>IF(AND(AT9&lt;&gt;0,AJ9&lt;&gt;"PF"),LifeBY*W9,0)</f>
        <v>450.203936</v>
      </c>
      <c r="BT9" s="461">
        <f>IF(AND(AT9&lt;&gt;0,AM9="Y"),UIBY*W9,0)</f>
        <v>0</v>
      </c>
      <c r="BU9" s="461">
        <f>IF(AND(AT9&lt;&gt;0,N9&lt;&gt;"NR"),DHRBY*W9,0)</f>
        <v>191.07129599999999</v>
      </c>
      <c r="BV9" s="461">
        <f>IF(AT9&lt;&gt;0,WCBY*W9,0)</f>
        <v>206.05727999999999</v>
      </c>
      <c r="BW9" s="461">
        <f>IF(OR(AND(AT9&lt;&gt;0,AJ9&lt;&gt;"PF",AN9&lt;&gt;"NE",AG9&lt;&gt;"A"),AND(AL9="E",OR(AT9=1,AT9=3))),SickBY*W9,0)</f>
        <v>0</v>
      </c>
      <c r="BX9" s="461">
        <f t="shared" si="7"/>
        <v>13079.641952000002</v>
      </c>
      <c r="BY9" s="461">
        <f t="shared" si="8"/>
        <v>0</v>
      </c>
      <c r="BZ9" s="461">
        <f t="shared" si="9"/>
        <v>0</v>
      </c>
      <c r="CA9" s="461">
        <f t="shared" si="10"/>
        <v>0</v>
      </c>
      <c r="CB9" s="461">
        <f t="shared" si="11"/>
        <v>0</v>
      </c>
      <c r="CC9" s="461">
        <f>IF(AT9&lt;&gt;0,SSHICHG*Y9,0)</f>
        <v>0</v>
      </c>
      <c r="CD9" s="461">
        <f>IF(AND(AT9&lt;&gt;0,AN9&lt;&gt;"NE"),VLOOKUP(AN9,Retirement_Rates,5,FALSE)*Y9,0)</f>
        <v>0</v>
      </c>
      <c r="CE9" s="461">
        <f>IF(AND(AT9&lt;&gt;0,AJ9&lt;&gt;"PF"),LifeCHG*Y9,0)</f>
        <v>0</v>
      </c>
      <c r="CF9" s="461">
        <f>IF(AND(AT9&lt;&gt;0,AM9="Y"),UICHG*Y9,0)</f>
        <v>-305.96384</v>
      </c>
      <c r="CG9" s="461">
        <f>IF(AND(AT9&lt;&gt;0,N9&lt;&gt;"NR"),DHRCHG*Y9,0)</f>
        <v>0</v>
      </c>
      <c r="CH9" s="461">
        <f>IF(AT9&lt;&gt;0,WCCHG*Y9,0)</f>
        <v>-18.732479999999995</v>
      </c>
      <c r="CI9" s="461">
        <f>IF(OR(AND(AT9&lt;&gt;0,AJ9&lt;&gt;"PF",AN9&lt;&gt;"NE",AG9&lt;&gt;"A"),AND(AL9="E",OR(AT9=1,AT9=3))),SickCHG*Y9,0)</f>
        <v>0</v>
      </c>
      <c r="CJ9" s="461">
        <f t="shared" si="12"/>
        <v>-324.69632000000001</v>
      </c>
      <c r="CK9" s="461" t="str">
        <f t="shared" si="13"/>
        <v/>
      </c>
      <c r="CL9" s="461" t="str">
        <f t="shared" si="14"/>
        <v/>
      </c>
      <c r="CM9" s="461" t="str">
        <f t="shared" si="15"/>
        <v/>
      </c>
      <c r="CN9" s="461" t="str">
        <f t="shared" si="16"/>
        <v>0475-12</v>
      </c>
    </row>
    <row r="10" spans="1:92" ht="15" thickBot="1" x14ac:dyDescent="0.35">
      <c r="A10" s="376" t="s">
        <v>161</v>
      </c>
      <c r="B10" s="376" t="s">
        <v>162</v>
      </c>
      <c r="C10" s="376" t="s">
        <v>236</v>
      </c>
      <c r="D10" s="376" t="s">
        <v>211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212</v>
      </c>
      <c r="L10" s="376" t="s">
        <v>204</v>
      </c>
      <c r="M10" s="376" t="s">
        <v>171</v>
      </c>
      <c r="N10" s="376" t="s">
        <v>172</v>
      </c>
      <c r="O10" s="379">
        <v>1</v>
      </c>
      <c r="P10" s="459">
        <v>1</v>
      </c>
      <c r="Q10" s="459">
        <v>1</v>
      </c>
      <c r="R10" s="380">
        <v>80</v>
      </c>
      <c r="S10" s="459">
        <v>1</v>
      </c>
      <c r="T10" s="380">
        <v>37144.800000000003</v>
      </c>
      <c r="U10" s="380">
        <v>0</v>
      </c>
      <c r="V10" s="380">
        <v>17497.939999999999</v>
      </c>
      <c r="W10" s="380">
        <v>48214.400000000001</v>
      </c>
      <c r="X10" s="380">
        <v>22000.15</v>
      </c>
      <c r="Y10" s="380">
        <v>48214.400000000001</v>
      </c>
      <c r="Z10" s="380">
        <v>21749.43</v>
      </c>
      <c r="AA10" s="376" t="s">
        <v>237</v>
      </c>
      <c r="AB10" s="376" t="s">
        <v>238</v>
      </c>
      <c r="AC10" s="376" t="s">
        <v>239</v>
      </c>
      <c r="AD10" s="376" t="s">
        <v>190</v>
      </c>
      <c r="AE10" s="376" t="s">
        <v>212</v>
      </c>
      <c r="AF10" s="376" t="s">
        <v>216</v>
      </c>
      <c r="AG10" s="376" t="s">
        <v>178</v>
      </c>
      <c r="AH10" s="381">
        <v>23.18</v>
      </c>
      <c r="AI10" s="381">
        <v>9310.7000000000007</v>
      </c>
      <c r="AJ10" s="376" t="s">
        <v>179</v>
      </c>
      <c r="AK10" s="376" t="s">
        <v>180</v>
      </c>
      <c r="AL10" s="376" t="s">
        <v>181</v>
      </c>
      <c r="AM10" s="376" t="s">
        <v>182</v>
      </c>
      <c r="AN10" s="376" t="s">
        <v>68</v>
      </c>
      <c r="AO10" s="379">
        <v>80</v>
      </c>
      <c r="AP10" s="459">
        <v>1</v>
      </c>
      <c r="AQ10" s="459">
        <v>1</v>
      </c>
      <c r="AR10" s="457" t="s">
        <v>183</v>
      </c>
      <c r="AS10" s="461">
        <f t="shared" si="0"/>
        <v>1</v>
      </c>
      <c r="AT10">
        <f t="shared" si="1"/>
        <v>1</v>
      </c>
      <c r="AU10" s="461">
        <f>IF(AT10=0,"",IF(AND(AT10=1,M10="F",SUMIF(C2:C20,C10,AS2:AS20)&lt;=1),SUMIF(C2:C20,C10,AS2:AS20),IF(AND(AT10=1,M10="F",SUMIF(C2:C20,C10,AS2:AS20)&gt;1),1,"")))</f>
        <v>1</v>
      </c>
      <c r="AV10" s="461" t="str">
        <f>IF(AT10=0,"",IF(AND(AT10=3,M10="F",SUMIF(C2:C20,C10,AS2:AS20)&lt;=1),SUMIF(C2:C20,C10,AS2:AS20),IF(AND(AT10=3,M10="F",SUMIF(C2:C20,C10,AS2:AS20)&gt;1),1,"")))</f>
        <v/>
      </c>
      <c r="AW10" s="461">
        <f>SUMIF(C2:C20,C10,O2:O20)</f>
        <v>1</v>
      </c>
      <c r="AX10" s="461">
        <f>IF(AND(M10="F",AS10&lt;&gt;0),SUMIF(C2:C20,C10,W2:W20),0)</f>
        <v>48214.400000000001</v>
      </c>
      <c r="AY10" s="461">
        <f t="shared" si="2"/>
        <v>48214.400000000001</v>
      </c>
      <c r="AZ10" s="461" t="str">
        <f t="shared" si="3"/>
        <v/>
      </c>
      <c r="BA10" s="461">
        <f t="shared" si="4"/>
        <v>0</v>
      </c>
      <c r="BB10" s="461">
        <f>IF(AND(AT10=1,AK10="E",AU10&gt;=0.75,AW10=1),Health,IF(AND(AT10=1,AK10="E",AU10&gt;=0.75),Health*P10,IF(AND(AT10=1,AK10="E",AU10&gt;=0.5,AW10=1),PTHealth,IF(AND(AT10=1,AK10="E",AU10&gt;=0.5),PTHealth*P10,0))))</f>
        <v>11650</v>
      </c>
      <c r="BC10" s="461">
        <f>IF(AND(AT10=3,AK10="E",AV10&gt;=0.75,AW10=1),Health,IF(AND(AT10=3,AK10="E",AV10&gt;=0.75),Health*P10,IF(AND(AT10=3,AK10="E",AV10&gt;=0.5,AW10=1),PTHealth,IF(AND(AT10=3,AK10="E",AV10&gt;=0.5),PTHealth*P10,0))))</f>
        <v>0</v>
      </c>
      <c r="BD10" s="461">
        <f>IF(AND(AT10&lt;&gt;0,AX10&gt;=MAXSSDI),SSDI*MAXSSDI*P10,IF(AT10&lt;&gt;0,SSDI*W10,0))</f>
        <v>2989.2928000000002</v>
      </c>
      <c r="BE10" s="461">
        <f>IF(AT10&lt;&gt;0,SSHI*W10,0)</f>
        <v>699.10880000000009</v>
      </c>
      <c r="BF10" s="461">
        <f>IF(AND(AT10&lt;&gt;0,AN10&lt;&gt;"NE"),VLOOKUP(AN10,Retirement_Rates,3,FALSE)*W10,0)</f>
        <v>5756.7993600000009</v>
      </c>
      <c r="BG10" s="461">
        <f>IF(AND(AT10&lt;&gt;0,AJ10&lt;&gt;"PF"),Life*W10,0)</f>
        <v>347.62582400000002</v>
      </c>
      <c r="BH10" s="461">
        <f>IF(AND(AT10&lt;&gt;0,AM10="Y"),UI*W10,0)</f>
        <v>236.25056000000001</v>
      </c>
      <c r="BI10" s="461">
        <f>IF(AND(AT10&lt;&gt;0,N10&lt;&gt;"NR"),DHR*W10,0)</f>
        <v>147.53606399999998</v>
      </c>
      <c r="BJ10" s="461">
        <f>IF(AT10&lt;&gt;0,WC*W10,0)</f>
        <v>173.57184000000001</v>
      </c>
      <c r="BK10" s="461">
        <f>IF(OR(AND(AT10&lt;&gt;0,AJ10&lt;&gt;"PF",AN10&lt;&gt;"NE",AG10&lt;&gt;"A"),AND(AL10="E",OR(AT10=1,AT10=3))),Sick*W10,0)</f>
        <v>0</v>
      </c>
      <c r="BL10" s="461">
        <f t="shared" si="5"/>
        <v>10350.185248000003</v>
      </c>
      <c r="BM10" s="461">
        <f t="shared" si="6"/>
        <v>0</v>
      </c>
      <c r="BN10" s="461">
        <f>IF(AND(AT10=1,AK10="E",AU10&gt;=0.75,AW10=1),HealthBY,IF(AND(AT10=1,AK10="E",AU10&gt;=0.75),HealthBY*P10,IF(AND(AT10=1,AK10="E",AU10&gt;=0.5,AW10=1),PTHealthBY,IF(AND(AT10=1,AK10="E",AU10&gt;=0.5),PTHealthBY*P10,0))))</f>
        <v>11650</v>
      </c>
      <c r="BO10" s="461">
        <f>IF(AND(AT10=3,AK10="E",AV10&gt;=0.75,AW10=1),HealthBY,IF(AND(AT10=3,AK10="E",AV10&gt;=0.75),HealthBY*P10,IF(AND(AT10=3,AK10="E",AV10&gt;=0.5,AW10=1),PTHealthBY,IF(AND(AT10=3,AK10="E",AV10&gt;=0.5),PTHealthBY*P10,0))))</f>
        <v>0</v>
      </c>
      <c r="BP10" s="461">
        <f>IF(AND(AT10&lt;&gt;0,(AX10+BA10)&gt;=MAXSSDIBY),SSDIBY*MAXSSDIBY*P10,IF(AT10&lt;&gt;0,SSDIBY*W10,0))</f>
        <v>2989.2928000000002</v>
      </c>
      <c r="BQ10" s="461">
        <f>IF(AT10&lt;&gt;0,SSHIBY*W10,0)</f>
        <v>699.10880000000009</v>
      </c>
      <c r="BR10" s="461">
        <f>IF(AND(AT10&lt;&gt;0,AN10&lt;&gt;"NE"),VLOOKUP(AN10,Retirement_Rates,4,FALSE)*W10,0)</f>
        <v>5756.7993600000009</v>
      </c>
      <c r="BS10" s="461">
        <f>IF(AND(AT10&lt;&gt;0,AJ10&lt;&gt;"PF"),LifeBY*W10,0)</f>
        <v>347.62582400000002</v>
      </c>
      <c r="BT10" s="461">
        <f>IF(AND(AT10&lt;&gt;0,AM10="Y"),UIBY*W10,0)</f>
        <v>0</v>
      </c>
      <c r="BU10" s="461">
        <f>IF(AND(AT10&lt;&gt;0,N10&lt;&gt;"NR"),DHRBY*W10,0)</f>
        <v>147.53606399999998</v>
      </c>
      <c r="BV10" s="461">
        <f>IF(AT10&lt;&gt;0,WCBY*W10,0)</f>
        <v>159.10751999999999</v>
      </c>
      <c r="BW10" s="461">
        <f>IF(OR(AND(AT10&lt;&gt;0,AJ10&lt;&gt;"PF",AN10&lt;&gt;"NE",AG10&lt;&gt;"A"),AND(AL10="E",OR(AT10=1,AT10=3))),SickBY*W10,0)</f>
        <v>0</v>
      </c>
      <c r="BX10" s="461">
        <f t="shared" si="7"/>
        <v>10099.470368000002</v>
      </c>
      <c r="BY10" s="461">
        <f t="shared" si="8"/>
        <v>0</v>
      </c>
      <c r="BZ10" s="461">
        <f t="shared" si="9"/>
        <v>0</v>
      </c>
      <c r="CA10" s="461">
        <f t="shared" si="10"/>
        <v>0</v>
      </c>
      <c r="CB10" s="461">
        <f t="shared" si="11"/>
        <v>0</v>
      </c>
      <c r="CC10" s="461">
        <f>IF(AT10&lt;&gt;0,SSHICHG*Y10,0)</f>
        <v>0</v>
      </c>
      <c r="CD10" s="461">
        <f>IF(AND(AT10&lt;&gt;0,AN10&lt;&gt;"NE"),VLOOKUP(AN10,Retirement_Rates,5,FALSE)*Y10,0)</f>
        <v>0</v>
      </c>
      <c r="CE10" s="461">
        <f>IF(AND(AT10&lt;&gt;0,AJ10&lt;&gt;"PF"),LifeCHG*Y10,0)</f>
        <v>0</v>
      </c>
      <c r="CF10" s="461">
        <f>IF(AND(AT10&lt;&gt;0,AM10="Y"),UICHG*Y10,0)</f>
        <v>-236.25056000000001</v>
      </c>
      <c r="CG10" s="461">
        <f>IF(AND(AT10&lt;&gt;0,N10&lt;&gt;"NR"),DHRCHG*Y10,0)</f>
        <v>0</v>
      </c>
      <c r="CH10" s="461">
        <f>IF(AT10&lt;&gt;0,WCCHG*Y10,0)</f>
        <v>-14.464319999999997</v>
      </c>
      <c r="CI10" s="461">
        <f>IF(OR(AND(AT10&lt;&gt;0,AJ10&lt;&gt;"PF",AN10&lt;&gt;"NE",AG10&lt;&gt;"A"),AND(AL10="E",OR(AT10=1,AT10=3))),SickCHG*Y10,0)</f>
        <v>0</v>
      </c>
      <c r="CJ10" s="461">
        <f t="shared" si="12"/>
        <v>-250.71487999999999</v>
      </c>
      <c r="CK10" s="461" t="str">
        <f t="shared" si="13"/>
        <v/>
      </c>
      <c r="CL10" s="461" t="str">
        <f t="shared" si="14"/>
        <v/>
      </c>
      <c r="CM10" s="461" t="str">
        <f t="shared" si="15"/>
        <v/>
      </c>
      <c r="CN10" s="461" t="str">
        <f t="shared" si="16"/>
        <v>0475-12</v>
      </c>
    </row>
    <row r="11" spans="1:92" ht="15" thickBot="1" x14ac:dyDescent="0.35">
      <c r="A11" s="376" t="s">
        <v>161</v>
      </c>
      <c r="B11" s="376" t="s">
        <v>162</v>
      </c>
      <c r="C11" s="376" t="s">
        <v>240</v>
      </c>
      <c r="D11" s="376" t="s">
        <v>241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242</v>
      </c>
      <c r="L11" s="376" t="s">
        <v>243</v>
      </c>
      <c r="M11" s="376" t="s">
        <v>244</v>
      </c>
      <c r="N11" s="376" t="s">
        <v>245</v>
      </c>
      <c r="O11" s="379">
        <v>0</v>
      </c>
      <c r="P11" s="459">
        <v>1</v>
      </c>
      <c r="Q11" s="459">
        <v>0</v>
      </c>
      <c r="R11" s="380">
        <v>0</v>
      </c>
      <c r="S11" s="459">
        <v>0</v>
      </c>
      <c r="T11" s="380">
        <v>0</v>
      </c>
      <c r="U11" s="380">
        <v>0</v>
      </c>
      <c r="V11" s="380">
        <v>0</v>
      </c>
      <c r="W11" s="380">
        <v>0</v>
      </c>
      <c r="X11" s="380">
        <v>0</v>
      </c>
      <c r="Y11" s="380">
        <v>0</v>
      </c>
      <c r="Z11" s="380">
        <v>0</v>
      </c>
      <c r="AA11" s="378"/>
      <c r="AB11" s="376" t="s">
        <v>45</v>
      </c>
      <c r="AC11" s="376" t="s">
        <v>45</v>
      </c>
      <c r="AD11" s="378"/>
      <c r="AE11" s="378"/>
      <c r="AF11" s="378"/>
      <c r="AG11" s="378"/>
      <c r="AH11" s="379">
        <v>0</v>
      </c>
      <c r="AI11" s="379">
        <v>0</v>
      </c>
      <c r="AJ11" s="378"/>
      <c r="AK11" s="378"/>
      <c r="AL11" s="376" t="s">
        <v>181</v>
      </c>
      <c r="AM11" s="378"/>
      <c r="AN11" s="378"/>
      <c r="AO11" s="379">
        <v>0</v>
      </c>
      <c r="AP11" s="459">
        <v>0</v>
      </c>
      <c r="AQ11" s="459">
        <v>0</v>
      </c>
      <c r="AR11" s="458"/>
      <c r="AS11" s="461">
        <f t="shared" si="0"/>
        <v>0</v>
      </c>
      <c r="AT11">
        <f t="shared" si="1"/>
        <v>0</v>
      </c>
      <c r="AU11" s="461" t="str">
        <f>IF(AT11=0,"",IF(AND(AT11=1,M11="F",SUMIF(C2:C20,C11,AS2:AS20)&lt;=1),SUMIF(C2:C20,C11,AS2:AS20),IF(AND(AT11=1,M11="F",SUMIF(C2:C20,C11,AS2:AS20)&gt;1),1,"")))</f>
        <v/>
      </c>
      <c r="AV11" s="461" t="str">
        <f>IF(AT11=0,"",IF(AND(AT11=3,M11="F",SUMIF(C2:C20,C11,AS2:AS20)&lt;=1),SUMIF(C2:C20,C11,AS2:AS20),IF(AND(AT11=3,M11="F",SUMIF(C2:C20,C11,AS2:AS20)&gt;1),1,"")))</f>
        <v/>
      </c>
      <c r="AW11" s="461">
        <f>SUMIF(C2:C20,C11,O2:O20)</f>
        <v>0</v>
      </c>
      <c r="AX11" s="461">
        <f>IF(AND(M11="F",AS11&lt;&gt;0),SUMIF(C2:C20,C11,W2:W20),0)</f>
        <v>0</v>
      </c>
      <c r="AY11" s="461" t="str">
        <f t="shared" si="2"/>
        <v/>
      </c>
      <c r="AZ11" s="461" t="str">
        <f t="shared" si="3"/>
        <v/>
      </c>
      <c r="BA11" s="461">
        <f t="shared" si="4"/>
        <v>0</v>
      </c>
      <c r="BB11" s="461">
        <f>IF(AND(AT11=1,AK11="E",AU11&gt;=0.75,AW11=1),Health,IF(AND(AT11=1,AK11="E",AU11&gt;=0.75),Health*P11,IF(AND(AT11=1,AK11="E",AU11&gt;=0.5,AW11=1),PTHealth,IF(AND(AT11=1,AK11="E",AU11&gt;=0.5),PTHealth*P11,0))))</f>
        <v>0</v>
      </c>
      <c r="BC11" s="461">
        <f>IF(AND(AT11=3,AK11="E",AV11&gt;=0.75,AW11=1),Health,IF(AND(AT11=3,AK11="E",AV11&gt;=0.75),Health*P11,IF(AND(AT11=3,AK11="E",AV11&gt;=0.5,AW11=1),PTHealth,IF(AND(AT11=3,AK11="E",AV11&gt;=0.5),PTHealth*P11,0))))</f>
        <v>0</v>
      </c>
      <c r="BD11" s="461">
        <f>IF(AND(AT11&lt;&gt;0,AX11&gt;=MAXSSDI),SSDI*MAXSSDI*P11,IF(AT11&lt;&gt;0,SSDI*W11,0))</f>
        <v>0</v>
      </c>
      <c r="BE11" s="461">
        <f>IF(AT11&lt;&gt;0,SSHI*W11,0)</f>
        <v>0</v>
      </c>
      <c r="BF11" s="461">
        <f>IF(AND(AT11&lt;&gt;0,AN11&lt;&gt;"NE"),VLOOKUP(AN11,Retirement_Rates,3,FALSE)*W11,0)</f>
        <v>0</v>
      </c>
      <c r="BG11" s="461">
        <f>IF(AND(AT11&lt;&gt;0,AJ11&lt;&gt;"PF"),Life*W11,0)</f>
        <v>0</v>
      </c>
      <c r="BH11" s="461">
        <f>IF(AND(AT11&lt;&gt;0,AM11="Y"),UI*W11,0)</f>
        <v>0</v>
      </c>
      <c r="BI11" s="461">
        <f>IF(AND(AT11&lt;&gt;0,N11&lt;&gt;"NR"),DHR*W11,0)</f>
        <v>0</v>
      </c>
      <c r="BJ11" s="461">
        <f>IF(AT11&lt;&gt;0,WC*W11,0)</f>
        <v>0</v>
      </c>
      <c r="BK11" s="461">
        <f>IF(OR(AND(AT11&lt;&gt;0,AJ11&lt;&gt;"PF",AN11&lt;&gt;"NE",AG11&lt;&gt;"A"),AND(AL11="E",OR(AT11=1,AT11=3))),Sick*W11,0)</f>
        <v>0</v>
      </c>
      <c r="BL11" s="461">
        <f t="shared" si="5"/>
        <v>0</v>
      </c>
      <c r="BM11" s="461">
        <f t="shared" si="6"/>
        <v>0</v>
      </c>
      <c r="BN11" s="461">
        <f>IF(AND(AT11=1,AK11="E",AU11&gt;=0.75,AW11=1),HealthBY,IF(AND(AT11=1,AK11="E",AU11&gt;=0.75),HealthBY*P11,IF(AND(AT11=1,AK11="E",AU11&gt;=0.5,AW11=1),PTHealthBY,IF(AND(AT11=1,AK11="E",AU11&gt;=0.5),PTHealthBY*P11,0))))</f>
        <v>0</v>
      </c>
      <c r="BO11" s="461">
        <f>IF(AND(AT11=3,AK11="E",AV11&gt;=0.75,AW11=1),HealthBY,IF(AND(AT11=3,AK11="E",AV11&gt;=0.75),HealthBY*P11,IF(AND(AT11=3,AK11="E",AV11&gt;=0.5,AW11=1),PTHealthBY,IF(AND(AT11=3,AK11="E",AV11&gt;=0.5),PTHealthBY*P11,0))))</f>
        <v>0</v>
      </c>
      <c r="BP11" s="461">
        <f>IF(AND(AT11&lt;&gt;0,(AX11+BA11)&gt;=MAXSSDIBY),SSDIBY*MAXSSDIBY*P11,IF(AT11&lt;&gt;0,SSDIBY*W11,0))</f>
        <v>0</v>
      </c>
      <c r="BQ11" s="461">
        <f>IF(AT11&lt;&gt;0,SSHIBY*W11,0)</f>
        <v>0</v>
      </c>
      <c r="BR11" s="461">
        <f>IF(AND(AT11&lt;&gt;0,AN11&lt;&gt;"NE"),VLOOKUP(AN11,Retirement_Rates,4,FALSE)*W11,0)</f>
        <v>0</v>
      </c>
      <c r="BS11" s="461">
        <f>IF(AND(AT11&lt;&gt;0,AJ11&lt;&gt;"PF"),LifeBY*W11,0)</f>
        <v>0</v>
      </c>
      <c r="BT11" s="461">
        <f>IF(AND(AT11&lt;&gt;0,AM11="Y"),UIBY*W11,0)</f>
        <v>0</v>
      </c>
      <c r="BU11" s="461">
        <f>IF(AND(AT11&lt;&gt;0,N11&lt;&gt;"NR"),DHRBY*W11,0)</f>
        <v>0</v>
      </c>
      <c r="BV11" s="461">
        <f>IF(AT11&lt;&gt;0,WCBY*W11,0)</f>
        <v>0</v>
      </c>
      <c r="BW11" s="461">
        <f>IF(OR(AND(AT11&lt;&gt;0,AJ11&lt;&gt;"PF",AN11&lt;&gt;"NE",AG11&lt;&gt;"A"),AND(AL11="E",OR(AT11=1,AT11=3))),SickBY*W11,0)</f>
        <v>0</v>
      </c>
      <c r="BX11" s="461">
        <f t="shared" si="7"/>
        <v>0</v>
      </c>
      <c r="BY11" s="461">
        <f t="shared" si="8"/>
        <v>0</v>
      </c>
      <c r="BZ11" s="461">
        <f t="shared" si="9"/>
        <v>0</v>
      </c>
      <c r="CA11" s="461">
        <f t="shared" si="10"/>
        <v>0</v>
      </c>
      <c r="CB11" s="461">
        <f t="shared" si="11"/>
        <v>0</v>
      </c>
      <c r="CC11" s="461">
        <f>IF(AT11&lt;&gt;0,SSHICHG*Y11,0)</f>
        <v>0</v>
      </c>
      <c r="CD11" s="461">
        <f>IF(AND(AT11&lt;&gt;0,AN11&lt;&gt;"NE"),VLOOKUP(AN11,Retirement_Rates,5,FALSE)*Y11,0)</f>
        <v>0</v>
      </c>
      <c r="CE11" s="461">
        <f>IF(AND(AT11&lt;&gt;0,AJ11&lt;&gt;"PF"),LifeCHG*Y11,0)</f>
        <v>0</v>
      </c>
      <c r="CF11" s="461">
        <f>IF(AND(AT11&lt;&gt;0,AM11="Y"),UICHG*Y11,0)</f>
        <v>0</v>
      </c>
      <c r="CG11" s="461">
        <f>IF(AND(AT11&lt;&gt;0,N11&lt;&gt;"NR"),DHRCHG*Y11,0)</f>
        <v>0</v>
      </c>
      <c r="CH11" s="461">
        <f>IF(AT11&lt;&gt;0,WCCHG*Y11,0)</f>
        <v>0</v>
      </c>
      <c r="CI11" s="461">
        <f>IF(OR(AND(AT11&lt;&gt;0,AJ11&lt;&gt;"PF",AN11&lt;&gt;"NE",AG11&lt;&gt;"A"),AND(AL11="E",OR(AT11=1,AT11=3))),SickCHG*Y11,0)</f>
        <v>0</v>
      </c>
      <c r="CJ11" s="461">
        <f t="shared" si="12"/>
        <v>0</v>
      </c>
      <c r="CK11" s="461" t="str">
        <f t="shared" si="13"/>
        <v/>
      </c>
      <c r="CL11" s="461">
        <f t="shared" si="14"/>
        <v>0</v>
      </c>
      <c r="CM11" s="461">
        <f t="shared" si="15"/>
        <v>0</v>
      </c>
      <c r="CN11" s="461" t="str">
        <f t="shared" si="16"/>
        <v>0475-12</v>
      </c>
    </row>
    <row r="12" spans="1:92" ht="15" thickBot="1" x14ac:dyDescent="0.35">
      <c r="A12" s="376" t="s">
        <v>161</v>
      </c>
      <c r="B12" s="376" t="s">
        <v>162</v>
      </c>
      <c r="C12" s="376" t="s">
        <v>246</v>
      </c>
      <c r="D12" s="376" t="s">
        <v>228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229</v>
      </c>
      <c r="L12" s="376" t="s">
        <v>230</v>
      </c>
      <c r="M12" s="376" t="s">
        <v>171</v>
      </c>
      <c r="N12" s="376" t="s">
        <v>172</v>
      </c>
      <c r="O12" s="379">
        <v>1</v>
      </c>
      <c r="P12" s="459">
        <v>1</v>
      </c>
      <c r="Q12" s="459">
        <v>1</v>
      </c>
      <c r="R12" s="380">
        <v>80</v>
      </c>
      <c r="S12" s="459">
        <v>1</v>
      </c>
      <c r="T12" s="380">
        <v>55408</v>
      </c>
      <c r="U12" s="380">
        <v>0</v>
      </c>
      <c r="V12" s="380">
        <v>23033.87</v>
      </c>
      <c r="W12" s="380">
        <v>56784</v>
      </c>
      <c r="X12" s="380">
        <v>23839.78</v>
      </c>
      <c r="Y12" s="380">
        <v>56784</v>
      </c>
      <c r="Z12" s="380">
        <v>23544.5</v>
      </c>
      <c r="AA12" s="376" t="s">
        <v>247</v>
      </c>
      <c r="AB12" s="376" t="s">
        <v>202</v>
      </c>
      <c r="AC12" s="376" t="s">
        <v>248</v>
      </c>
      <c r="AD12" s="376" t="s">
        <v>249</v>
      </c>
      <c r="AE12" s="376" t="s">
        <v>229</v>
      </c>
      <c r="AF12" s="376" t="s">
        <v>235</v>
      </c>
      <c r="AG12" s="376" t="s">
        <v>178</v>
      </c>
      <c r="AH12" s="381">
        <v>27.3</v>
      </c>
      <c r="AI12" s="381">
        <v>11810.9</v>
      </c>
      <c r="AJ12" s="376" t="s">
        <v>179</v>
      </c>
      <c r="AK12" s="376" t="s">
        <v>180</v>
      </c>
      <c r="AL12" s="376" t="s">
        <v>181</v>
      </c>
      <c r="AM12" s="376" t="s">
        <v>182</v>
      </c>
      <c r="AN12" s="376" t="s">
        <v>68</v>
      </c>
      <c r="AO12" s="379">
        <v>80</v>
      </c>
      <c r="AP12" s="459">
        <v>1</v>
      </c>
      <c r="AQ12" s="459">
        <v>1</v>
      </c>
      <c r="AR12" s="457" t="s">
        <v>183</v>
      </c>
      <c r="AS12" s="461">
        <f t="shared" si="0"/>
        <v>1</v>
      </c>
      <c r="AT12">
        <f t="shared" si="1"/>
        <v>1</v>
      </c>
      <c r="AU12" s="461">
        <f>IF(AT12=0,"",IF(AND(AT12=1,M12="F",SUMIF(C2:C20,C12,AS2:AS20)&lt;=1),SUMIF(C2:C20,C12,AS2:AS20),IF(AND(AT12=1,M12="F",SUMIF(C2:C20,C12,AS2:AS20)&gt;1),1,"")))</f>
        <v>1</v>
      </c>
      <c r="AV12" s="461" t="str">
        <f>IF(AT12=0,"",IF(AND(AT12=3,M12="F",SUMIF(C2:C20,C12,AS2:AS20)&lt;=1),SUMIF(C2:C20,C12,AS2:AS20),IF(AND(AT12=3,M12="F",SUMIF(C2:C20,C12,AS2:AS20)&gt;1),1,"")))</f>
        <v/>
      </c>
      <c r="AW12" s="461">
        <f>SUMIF(C2:C20,C12,O2:O20)</f>
        <v>1</v>
      </c>
      <c r="AX12" s="461">
        <f>IF(AND(M12="F",AS12&lt;&gt;0),SUMIF(C2:C20,C12,W2:W20),0)</f>
        <v>56784</v>
      </c>
      <c r="AY12" s="461">
        <f t="shared" si="2"/>
        <v>56784</v>
      </c>
      <c r="AZ12" s="461" t="str">
        <f t="shared" si="3"/>
        <v/>
      </c>
      <c r="BA12" s="461">
        <f t="shared" si="4"/>
        <v>0</v>
      </c>
      <c r="BB12" s="461">
        <f>IF(AND(AT12=1,AK12="E",AU12&gt;=0.75,AW12=1),Health,IF(AND(AT12=1,AK12="E",AU12&gt;=0.75),Health*P12,IF(AND(AT12=1,AK12="E",AU12&gt;=0.5,AW12=1),PTHealth,IF(AND(AT12=1,AK12="E",AU12&gt;=0.5),PTHealth*P12,0))))</f>
        <v>11650</v>
      </c>
      <c r="BC12" s="461">
        <f>IF(AND(AT12=3,AK12="E",AV12&gt;=0.75,AW12=1),Health,IF(AND(AT12=3,AK12="E",AV12&gt;=0.75),Health*P12,IF(AND(AT12=3,AK12="E",AV12&gt;=0.5,AW12=1),PTHealth,IF(AND(AT12=3,AK12="E",AV12&gt;=0.5),PTHealth*P12,0))))</f>
        <v>0</v>
      </c>
      <c r="BD12" s="461">
        <f>IF(AND(AT12&lt;&gt;0,AX12&gt;=MAXSSDI),SSDI*MAXSSDI*P12,IF(AT12&lt;&gt;0,SSDI*W12,0))</f>
        <v>3520.6080000000002</v>
      </c>
      <c r="BE12" s="461">
        <f>IF(AT12&lt;&gt;0,SSHI*W12,0)</f>
        <v>823.36800000000005</v>
      </c>
      <c r="BF12" s="461">
        <f>IF(AND(AT12&lt;&gt;0,AN12&lt;&gt;"NE"),VLOOKUP(AN12,Retirement_Rates,3,FALSE)*W12,0)</f>
        <v>6780.0096000000003</v>
      </c>
      <c r="BG12" s="461">
        <f>IF(AND(AT12&lt;&gt;0,AJ12&lt;&gt;"PF"),Life*W12,0)</f>
        <v>409.41264000000001</v>
      </c>
      <c r="BH12" s="461">
        <f>IF(AND(AT12&lt;&gt;0,AM12="Y"),UI*W12,0)</f>
        <v>278.24160000000001</v>
      </c>
      <c r="BI12" s="461">
        <f>IF(AND(AT12&lt;&gt;0,N12&lt;&gt;"NR"),DHR*W12,0)</f>
        <v>173.75904</v>
      </c>
      <c r="BJ12" s="461">
        <f>IF(AT12&lt;&gt;0,WC*W12,0)</f>
        <v>204.42239999999998</v>
      </c>
      <c r="BK12" s="461">
        <f>IF(OR(AND(AT12&lt;&gt;0,AJ12&lt;&gt;"PF",AN12&lt;&gt;"NE",AG12&lt;&gt;"A"),AND(AL12="E",OR(AT12=1,AT12=3))),Sick*W12,0)</f>
        <v>0</v>
      </c>
      <c r="BL12" s="461">
        <f t="shared" si="5"/>
        <v>12189.82128</v>
      </c>
      <c r="BM12" s="461">
        <f t="shared" si="6"/>
        <v>0</v>
      </c>
      <c r="BN12" s="461">
        <f>IF(AND(AT12=1,AK12="E",AU12&gt;=0.75,AW12=1),HealthBY,IF(AND(AT12=1,AK12="E",AU12&gt;=0.75),HealthBY*P12,IF(AND(AT12=1,AK12="E",AU12&gt;=0.5,AW12=1),PTHealthBY,IF(AND(AT12=1,AK12="E",AU12&gt;=0.5),PTHealthBY*P12,0))))</f>
        <v>11650</v>
      </c>
      <c r="BO12" s="461">
        <f>IF(AND(AT12=3,AK12="E",AV12&gt;=0.75,AW12=1),HealthBY,IF(AND(AT12=3,AK12="E",AV12&gt;=0.75),HealthBY*P12,IF(AND(AT12=3,AK12="E",AV12&gt;=0.5,AW12=1),PTHealthBY,IF(AND(AT12=3,AK12="E",AV12&gt;=0.5),PTHealthBY*P12,0))))</f>
        <v>0</v>
      </c>
      <c r="BP12" s="461">
        <f>IF(AND(AT12&lt;&gt;0,(AX12+BA12)&gt;=MAXSSDIBY),SSDIBY*MAXSSDIBY*P12,IF(AT12&lt;&gt;0,SSDIBY*W12,0))</f>
        <v>3520.6080000000002</v>
      </c>
      <c r="BQ12" s="461">
        <f>IF(AT12&lt;&gt;0,SSHIBY*W12,0)</f>
        <v>823.36800000000005</v>
      </c>
      <c r="BR12" s="461">
        <f>IF(AND(AT12&lt;&gt;0,AN12&lt;&gt;"NE"),VLOOKUP(AN12,Retirement_Rates,4,FALSE)*W12,0)</f>
        <v>6780.0096000000003</v>
      </c>
      <c r="BS12" s="461">
        <f>IF(AND(AT12&lt;&gt;0,AJ12&lt;&gt;"PF"),LifeBY*W12,0)</f>
        <v>409.41264000000001</v>
      </c>
      <c r="BT12" s="461">
        <f>IF(AND(AT12&lt;&gt;0,AM12="Y"),UIBY*W12,0)</f>
        <v>0</v>
      </c>
      <c r="BU12" s="461">
        <f>IF(AND(AT12&lt;&gt;0,N12&lt;&gt;"NR"),DHRBY*W12,0)</f>
        <v>173.75904</v>
      </c>
      <c r="BV12" s="461">
        <f>IF(AT12&lt;&gt;0,WCBY*W12,0)</f>
        <v>187.38720000000001</v>
      </c>
      <c r="BW12" s="461">
        <f>IF(OR(AND(AT12&lt;&gt;0,AJ12&lt;&gt;"PF",AN12&lt;&gt;"NE",AG12&lt;&gt;"A"),AND(AL12="E",OR(AT12=1,AT12=3))),SickBY*W12,0)</f>
        <v>0</v>
      </c>
      <c r="BX12" s="461">
        <f t="shared" si="7"/>
        <v>11894.54448</v>
      </c>
      <c r="BY12" s="461">
        <f t="shared" si="8"/>
        <v>0</v>
      </c>
      <c r="BZ12" s="461">
        <f t="shared" si="9"/>
        <v>0</v>
      </c>
      <c r="CA12" s="461">
        <f t="shared" si="10"/>
        <v>0</v>
      </c>
      <c r="CB12" s="461">
        <f t="shared" si="11"/>
        <v>0</v>
      </c>
      <c r="CC12" s="461">
        <f>IF(AT12&lt;&gt;0,SSHICHG*Y12,0)</f>
        <v>0</v>
      </c>
      <c r="CD12" s="461">
        <f>IF(AND(AT12&lt;&gt;0,AN12&lt;&gt;"NE"),VLOOKUP(AN12,Retirement_Rates,5,FALSE)*Y12,0)</f>
        <v>0</v>
      </c>
      <c r="CE12" s="461">
        <f>IF(AND(AT12&lt;&gt;0,AJ12&lt;&gt;"PF"),LifeCHG*Y12,0)</f>
        <v>0</v>
      </c>
      <c r="CF12" s="461">
        <f>IF(AND(AT12&lt;&gt;0,AM12="Y"),UICHG*Y12,0)</f>
        <v>-278.24160000000001</v>
      </c>
      <c r="CG12" s="461">
        <f>IF(AND(AT12&lt;&gt;0,N12&lt;&gt;"NR"),DHRCHG*Y12,0)</f>
        <v>0</v>
      </c>
      <c r="CH12" s="461">
        <f>IF(AT12&lt;&gt;0,WCCHG*Y12,0)</f>
        <v>-17.035199999999996</v>
      </c>
      <c r="CI12" s="461">
        <f>IF(OR(AND(AT12&lt;&gt;0,AJ12&lt;&gt;"PF",AN12&lt;&gt;"NE",AG12&lt;&gt;"A"),AND(AL12="E",OR(AT12=1,AT12=3))),SickCHG*Y12,0)</f>
        <v>0</v>
      </c>
      <c r="CJ12" s="461">
        <f t="shared" si="12"/>
        <v>-295.27679999999998</v>
      </c>
      <c r="CK12" s="461" t="str">
        <f t="shared" si="13"/>
        <v/>
      </c>
      <c r="CL12" s="461" t="str">
        <f t="shared" si="14"/>
        <v/>
      </c>
      <c r="CM12" s="461" t="str">
        <f t="shared" si="15"/>
        <v/>
      </c>
      <c r="CN12" s="461" t="str">
        <f t="shared" si="16"/>
        <v>0475-12</v>
      </c>
    </row>
    <row r="13" spans="1:92" ht="15" thickBot="1" x14ac:dyDescent="0.35">
      <c r="A13" s="376" t="s">
        <v>161</v>
      </c>
      <c r="B13" s="376" t="s">
        <v>162</v>
      </c>
      <c r="C13" s="376" t="s">
        <v>250</v>
      </c>
      <c r="D13" s="376" t="s">
        <v>251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252</v>
      </c>
      <c r="L13" s="376" t="s">
        <v>243</v>
      </c>
      <c r="M13" s="376" t="s">
        <v>171</v>
      </c>
      <c r="N13" s="376" t="s">
        <v>245</v>
      </c>
      <c r="O13" s="379">
        <v>0</v>
      </c>
      <c r="P13" s="459">
        <v>1</v>
      </c>
      <c r="Q13" s="459">
        <v>0</v>
      </c>
      <c r="R13" s="380">
        <v>0</v>
      </c>
      <c r="S13" s="459">
        <v>0</v>
      </c>
      <c r="T13" s="380">
        <v>0</v>
      </c>
      <c r="U13" s="380">
        <v>0</v>
      </c>
      <c r="V13" s="380">
        <v>0</v>
      </c>
      <c r="W13" s="380">
        <v>0</v>
      </c>
      <c r="X13" s="380">
        <v>0</v>
      </c>
      <c r="Y13" s="380">
        <v>0</v>
      </c>
      <c r="Z13" s="380">
        <v>0</v>
      </c>
      <c r="AA13" s="378"/>
      <c r="AB13" s="376" t="s">
        <v>45</v>
      </c>
      <c r="AC13" s="376" t="s">
        <v>45</v>
      </c>
      <c r="AD13" s="378"/>
      <c r="AE13" s="378"/>
      <c r="AF13" s="378"/>
      <c r="AG13" s="378"/>
      <c r="AH13" s="379">
        <v>0</v>
      </c>
      <c r="AI13" s="379">
        <v>0</v>
      </c>
      <c r="AJ13" s="378"/>
      <c r="AK13" s="378"/>
      <c r="AL13" s="376" t="s">
        <v>181</v>
      </c>
      <c r="AM13" s="378"/>
      <c r="AN13" s="378"/>
      <c r="AO13" s="379">
        <v>0</v>
      </c>
      <c r="AP13" s="459">
        <v>0</v>
      </c>
      <c r="AQ13" s="459">
        <v>0</v>
      </c>
      <c r="AR13" s="458"/>
      <c r="AS13" s="461">
        <f t="shared" si="0"/>
        <v>0</v>
      </c>
      <c r="AT13">
        <f t="shared" si="1"/>
        <v>0</v>
      </c>
      <c r="AU13" s="461" t="str">
        <f>IF(AT13=0,"",IF(AND(AT13=1,M13="F",SUMIF(C2:C20,C13,AS2:AS20)&lt;=1),SUMIF(C2:C20,C13,AS2:AS20),IF(AND(AT13=1,M13="F",SUMIF(C2:C20,C13,AS2:AS20)&gt;1),1,"")))</f>
        <v/>
      </c>
      <c r="AV13" s="461" t="str">
        <f>IF(AT13=0,"",IF(AND(AT13=3,M13="F",SUMIF(C2:C20,C13,AS2:AS20)&lt;=1),SUMIF(C2:C20,C13,AS2:AS20),IF(AND(AT13=3,M13="F",SUMIF(C2:C20,C13,AS2:AS20)&gt;1),1,"")))</f>
        <v/>
      </c>
      <c r="AW13" s="461">
        <f>SUMIF(C2:C20,C13,O2:O20)</f>
        <v>0</v>
      </c>
      <c r="AX13" s="461">
        <f>IF(AND(M13="F",AS13&lt;&gt;0),SUMIF(C2:C20,C13,W2:W20),0)</f>
        <v>0</v>
      </c>
      <c r="AY13" s="461" t="str">
        <f t="shared" si="2"/>
        <v/>
      </c>
      <c r="AZ13" s="461" t="str">
        <f t="shared" si="3"/>
        <v/>
      </c>
      <c r="BA13" s="461">
        <f t="shared" si="4"/>
        <v>0</v>
      </c>
      <c r="BB13" s="461">
        <f>IF(AND(AT13=1,AK13="E",AU13&gt;=0.75,AW13=1),Health,IF(AND(AT13=1,AK13="E",AU13&gt;=0.75),Health*P13,IF(AND(AT13=1,AK13="E",AU13&gt;=0.5,AW13=1),PTHealth,IF(AND(AT13=1,AK13="E",AU13&gt;=0.5),PTHealth*P13,0))))</f>
        <v>0</v>
      </c>
      <c r="BC13" s="461">
        <f>IF(AND(AT13=3,AK13="E",AV13&gt;=0.75,AW13=1),Health,IF(AND(AT13=3,AK13="E",AV13&gt;=0.75),Health*P13,IF(AND(AT13=3,AK13="E",AV13&gt;=0.5,AW13=1),PTHealth,IF(AND(AT13=3,AK13="E",AV13&gt;=0.5),PTHealth*P13,0))))</f>
        <v>0</v>
      </c>
      <c r="BD13" s="461">
        <f>IF(AND(AT13&lt;&gt;0,AX13&gt;=MAXSSDI),SSDI*MAXSSDI*P13,IF(AT13&lt;&gt;0,SSDI*W13,0))</f>
        <v>0</v>
      </c>
      <c r="BE13" s="461">
        <f>IF(AT13&lt;&gt;0,SSHI*W13,0)</f>
        <v>0</v>
      </c>
      <c r="BF13" s="461">
        <f>IF(AND(AT13&lt;&gt;0,AN13&lt;&gt;"NE"),VLOOKUP(AN13,Retirement_Rates,3,FALSE)*W13,0)</f>
        <v>0</v>
      </c>
      <c r="BG13" s="461">
        <f>IF(AND(AT13&lt;&gt;0,AJ13&lt;&gt;"PF"),Life*W13,0)</f>
        <v>0</v>
      </c>
      <c r="BH13" s="461">
        <f>IF(AND(AT13&lt;&gt;0,AM13="Y"),UI*W13,0)</f>
        <v>0</v>
      </c>
      <c r="BI13" s="461">
        <f>IF(AND(AT13&lt;&gt;0,N13&lt;&gt;"NR"),DHR*W13,0)</f>
        <v>0</v>
      </c>
      <c r="BJ13" s="461">
        <f>IF(AT13&lt;&gt;0,WC*W13,0)</f>
        <v>0</v>
      </c>
      <c r="BK13" s="461">
        <f>IF(OR(AND(AT13&lt;&gt;0,AJ13&lt;&gt;"PF",AN13&lt;&gt;"NE",AG13&lt;&gt;"A"),AND(AL13="E",OR(AT13=1,AT13=3))),Sick*W13,0)</f>
        <v>0</v>
      </c>
      <c r="BL13" s="461">
        <f t="shared" si="5"/>
        <v>0</v>
      </c>
      <c r="BM13" s="461">
        <f t="shared" si="6"/>
        <v>0</v>
      </c>
      <c r="BN13" s="461">
        <f>IF(AND(AT13=1,AK13="E",AU13&gt;=0.75,AW13=1),HealthBY,IF(AND(AT13=1,AK13="E",AU13&gt;=0.75),HealthBY*P13,IF(AND(AT13=1,AK13="E",AU13&gt;=0.5,AW13=1),PTHealthBY,IF(AND(AT13=1,AK13="E",AU13&gt;=0.5),PTHealthBY*P13,0))))</f>
        <v>0</v>
      </c>
      <c r="BO13" s="461">
        <f>IF(AND(AT13=3,AK13="E",AV13&gt;=0.75,AW13=1),HealthBY,IF(AND(AT13=3,AK13="E",AV13&gt;=0.75),HealthBY*P13,IF(AND(AT13=3,AK13="E",AV13&gt;=0.5,AW13=1),PTHealthBY,IF(AND(AT13=3,AK13="E",AV13&gt;=0.5),PTHealthBY*P13,0))))</f>
        <v>0</v>
      </c>
      <c r="BP13" s="461">
        <f>IF(AND(AT13&lt;&gt;0,(AX13+BA13)&gt;=MAXSSDIBY),SSDIBY*MAXSSDIBY*P13,IF(AT13&lt;&gt;0,SSDIBY*W13,0))</f>
        <v>0</v>
      </c>
      <c r="BQ13" s="461">
        <f>IF(AT13&lt;&gt;0,SSHIBY*W13,0)</f>
        <v>0</v>
      </c>
      <c r="BR13" s="461">
        <f>IF(AND(AT13&lt;&gt;0,AN13&lt;&gt;"NE"),VLOOKUP(AN13,Retirement_Rates,4,FALSE)*W13,0)</f>
        <v>0</v>
      </c>
      <c r="BS13" s="461">
        <f>IF(AND(AT13&lt;&gt;0,AJ13&lt;&gt;"PF"),LifeBY*W13,0)</f>
        <v>0</v>
      </c>
      <c r="BT13" s="461">
        <f>IF(AND(AT13&lt;&gt;0,AM13="Y"),UIBY*W13,0)</f>
        <v>0</v>
      </c>
      <c r="BU13" s="461">
        <f>IF(AND(AT13&lt;&gt;0,N13&lt;&gt;"NR"),DHRBY*W13,0)</f>
        <v>0</v>
      </c>
      <c r="BV13" s="461">
        <f>IF(AT13&lt;&gt;0,WCBY*W13,0)</f>
        <v>0</v>
      </c>
      <c r="BW13" s="461">
        <f>IF(OR(AND(AT13&lt;&gt;0,AJ13&lt;&gt;"PF",AN13&lt;&gt;"NE",AG13&lt;&gt;"A"),AND(AL13="E",OR(AT13=1,AT13=3))),SickBY*W13,0)</f>
        <v>0</v>
      </c>
      <c r="BX13" s="461">
        <f t="shared" si="7"/>
        <v>0</v>
      </c>
      <c r="BY13" s="461">
        <f t="shared" si="8"/>
        <v>0</v>
      </c>
      <c r="BZ13" s="461">
        <f t="shared" si="9"/>
        <v>0</v>
      </c>
      <c r="CA13" s="461">
        <f t="shared" si="10"/>
        <v>0</v>
      </c>
      <c r="CB13" s="461">
        <f t="shared" si="11"/>
        <v>0</v>
      </c>
      <c r="CC13" s="461">
        <f>IF(AT13&lt;&gt;0,SSHICHG*Y13,0)</f>
        <v>0</v>
      </c>
      <c r="CD13" s="461">
        <f>IF(AND(AT13&lt;&gt;0,AN13&lt;&gt;"NE"),VLOOKUP(AN13,Retirement_Rates,5,FALSE)*Y13,0)</f>
        <v>0</v>
      </c>
      <c r="CE13" s="461">
        <f>IF(AND(AT13&lt;&gt;0,AJ13&lt;&gt;"PF"),LifeCHG*Y13,0)</f>
        <v>0</v>
      </c>
      <c r="CF13" s="461">
        <f>IF(AND(AT13&lt;&gt;0,AM13="Y"),UICHG*Y13,0)</f>
        <v>0</v>
      </c>
      <c r="CG13" s="461">
        <f>IF(AND(AT13&lt;&gt;0,N13&lt;&gt;"NR"),DHRCHG*Y13,0)</f>
        <v>0</v>
      </c>
      <c r="CH13" s="461">
        <f>IF(AT13&lt;&gt;0,WCCHG*Y13,0)</f>
        <v>0</v>
      </c>
      <c r="CI13" s="461">
        <f>IF(OR(AND(AT13&lt;&gt;0,AJ13&lt;&gt;"PF",AN13&lt;&gt;"NE",AG13&lt;&gt;"A"),AND(AL13="E",OR(AT13=1,AT13=3))),SickCHG*Y13,0)</f>
        <v>0</v>
      </c>
      <c r="CJ13" s="461">
        <f t="shared" si="12"/>
        <v>0</v>
      </c>
      <c r="CK13" s="461" t="str">
        <f t="shared" si="13"/>
        <v/>
      </c>
      <c r="CL13" s="461">
        <f t="shared" si="14"/>
        <v>0</v>
      </c>
      <c r="CM13" s="461">
        <f t="shared" si="15"/>
        <v>0</v>
      </c>
      <c r="CN13" s="461" t="str">
        <f t="shared" si="16"/>
        <v>0475-12</v>
      </c>
    </row>
    <row r="14" spans="1:92" ht="15" thickBot="1" x14ac:dyDescent="0.35">
      <c r="A14" s="376" t="s">
        <v>161</v>
      </c>
      <c r="B14" s="376" t="s">
        <v>162</v>
      </c>
      <c r="C14" s="376" t="s">
        <v>253</v>
      </c>
      <c r="D14" s="376" t="s">
        <v>185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186</v>
      </c>
      <c r="L14" s="376" t="s">
        <v>187</v>
      </c>
      <c r="M14" s="376" t="s">
        <v>171</v>
      </c>
      <c r="N14" s="376" t="s">
        <v>172</v>
      </c>
      <c r="O14" s="379">
        <v>1</v>
      </c>
      <c r="P14" s="459">
        <v>1</v>
      </c>
      <c r="Q14" s="459">
        <v>1</v>
      </c>
      <c r="R14" s="380">
        <v>80</v>
      </c>
      <c r="S14" s="459">
        <v>1</v>
      </c>
      <c r="T14" s="380">
        <v>72471.81</v>
      </c>
      <c r="U14" s="380">
        <v>0</v>
      </c>
      <c r="V14" s="380">
        <v>26538.39</v>
      </c>
      <c r="W14" s="380">
        <v>75400</v>
      </c>
      <c r="X14" s="380">
        <v>27836.11</v>
      </c>
      <c r="Y14" s="380">
        <v>75400</v>
      </c>
      <c r="Z14" s="380">
        <v>27444.03</v>
      </c>
      <c r="AA14" s="376" t="s">
        <v>254</v>
      </c>
      <c r="AB14" s="376" t="s">
        <v>255</v>
      </c>
      <c r="AC14" s="376" t="s">
        <v>256</v>
      </c>
      <c r="AD14" s="376" t="s">
        <v>257</v>
      </c>
      <c r="AE14" s="376" t="s">
        <v>186</v>
      </c>
      <c r="AF14" s="376" t="s">
        <v>192</v>
      </c>
      <c r="AG14" s="376" t="s">
        <v>178</v>
      </c>
      <c r="AH14" s="381">
        <v>36.25</v>
      </c>
      <c r="AI14" s="381">
        <v>28125.7</v>
      </c>
      <c r="AJ14" s="376" t="s">
        <v>179</v>
      </c>
      <c r="AK14" s="376" t="s">
        <v>180</v>
      </c>
      <c r="AL14" s="376" t="s">
        <v>181</v>
      </c>
      <c r="AM14" s="376" t="s">
        <v>182</v>
      </c>
      <c r="AN14" s="376" t="s">
        <v>68</v>
      </c>
      <c r="AO14" s="379">
        <v>80</v>
      </c>
      <c r="AP14" s="459">
        <v>1</v>
      </c>
      <c r="AQ14" s="459">
        <v>1</v>
      </c>
      <c r="AR14" s="457" t="s">
        <v>183</v>
      </c>
      <c r="AS14" s="461">
        <f t="shared" si="0"/>
        <v>1</v>
      </c>
      <c r="AT14">
        <f t="shared" si="1"/>
        <v>1</v>
      </c>
      <c r="AU14" s="461">
        <f>IF(AT14=0,"",IF(AND(AT14=1,M14="F",SUMIF(C2:C20,C14,AS2:AS20)&lt;=1),SUMIF(C2:C20,C14,AS2:AS20),IF(AND(AT14=1,M14="F",SUMIF(C2:C20,C14,AS2:AS20)&gt;1),1,"")))</f>
        <v>1</v>
      </c>
      <c r="AV14" s="461" t="str">
        <f>IF(AT14=0,"",IF(AND(AT14=3,M14="F",SUMIF(C2:C20,C14,AS2:AS20)&lt;=1),SUMIF(C2:C20,C14,AS2:AS20),IF(AND(AT14=3,M14="F",SUMIF(C2:C20,C14,AS2:AS20)&gt;1),1,"")))</f>
        <v/>
      </c>
      <c r="AW14" s="461">
        <f>SUMIF(C2:C20,C14,O2:O20)</f>
        <v>1</v>
      </c>
      <c r="AX14" s="461">
        <f>IF(AND(M14="F",AS14&lt;&gt;0),SUMIF(C2:C20,C14,W2:W20),0)</f>
        <v>75400</v>
      </c>
      <c r="AY14" s="461">
        <f t="shared" si="2"/>
        <v>75400</v>
      </c>
      <c r="AZ14" s="461" t="str">
        <f t="shared" si="3"/>
        <v/>
      </c>
      <c r="BA14" s="461">
        <f t="shared" si="4"/>
        <v>0</v>
      </c>
      <c r="BB14" s="461">
        <f>IF(AND(AT14=1,AK14="E",AU14&gt;=0.75,AW14=1),Health,IF(AND(AT14=1,AK14="E",AU14&gt;=0.75),Health*P14,IF(AND(AT14=1,AK14="E",AU14&gt;=0.5,AW14=1),PTHealth,IF(AND(AT14=1,AK14="E",AU14&gt;=0.5),PTHealth*P14,0))))</f>
        <v>11650</v>
      </c>
      <c r="BC14" s="461">
        <f>IF(AND(AT14=3,AK14="E",AV14&gt;=0.75,AW14=1),Health,IF(AND(AT14=3,AK14="E",AV14&gt;=0.75),Health*P14,IF(AND(AT14=3,AK14="E",AV14&gt;=0.5,AW14=1),PTHealth,IF(AND(AT14=3,AK14="E",AV14&gt;=0.5),PTHealth*P14,0))))</f>
        <v>0</v>
      </c>
      <c r="BD14" s="461">
        <f>IF(AND(AT14&lt;&gt;0,AX14&gt;=MAXSSDI),SSDI*MAXSSDI*P14,IF(AT14&lt;&gt;0,SSDI*W14,0))</f>
        <v>4674.8</v>
      </c>
      <c r="BE14" s="461">
        <f>IF(AT14&lt;&gt;0,SSHI*W14,0)</f>
        <v>1093.3</v>
      </c>
      <c r="BF14" s="461">
        <f>IF(AND(AT14&lt;&gt;0,AN14&lt;&gt;"NE"),VLOOKUP(AN14,Retirement_Rates,3,FALSE)*W14,0)</f>
        <v>9002.76</v>
      </c>
      <c r="BG14" s="461">
        <f>IF(AND(AT14&lt;&gt;0,AJ14&lt;&gt;"PF"),Life*W14,0)</f>
        <v>543.63400000000001</v>
      </c>
      <c r="BH14" s="461">
        <f>IF(AND(AT14&lt;&gt;0,AM14="Y"),UI*W14,0)</f>
        <v>369.46</v>
      </c>
      <c r="BI14" s="461">
        <f>IF(AND(AT14&lt;&gt;0,N14&lt;&gt;"NR"),DHR*W14,0)</f>
        <v>230.72399999999999</v>
      </c>
      <c r="BJ14" s="461">
        <f>IF(AT14&lt;&gt;0,WC*W14,0)</f>
        <v>271.44</v>
      </c>
      <c r="BK14" s="461">
        <f>IF(OR(AND(AT14&lt;&gt;0,AJ14&lt;&gt;"PF",AN14&lt;&gt;"NE",AG14&lt;&gt;"A"),AND(AL14="E",OR(AT14=1,AT14=3))),Sick*W14,0)</f>
        <v>0</v>
      </c>
      <c r="BL14" s="461">
        <f t="shared" si="5"/>
        <v>16186.118</v>
      </c>
      <c r="BM14" s="461">
        <f t="shared" si="6"/>
        <v>0</v>
      </c>
      <c r="BN14" s="461">
        <f>IF(AND(AT14=1,AK14="E",AU14&gt;=0.75,AW14=1),HealthBY,IF(AND(AT14=1,AK14="E",AU14&gt;=0.75),HealthBY*P14,IF(AND(AT14=1,AK14="E",AU14&gt;=0.5,AW14=1),PTHealthBY,IF(AND(AT14=1,AK14="E",AU14&gt;=0.5),PTHealthBY*P14,0))))</f>
        <v>11650</v>
      </c>
      <c r="BO14" s="461">
        <f>IF(AND(AT14=3,AK14="E",AV14&gt;=0.75,AW14=1),HealthBY,IF(AND(AT14=3,AK14="E",AV14&gt;=0.75),HealthBY*P14,IF(AND(AT14=3,AK14="E",AV14&gt;=0.5,AW14=1),PTHealthBY,IF(AND(AT14=3,AK14="E",AV14&gt;=0.5),PTHealthBY*P14,0))))</f>
        <v>0</v>
      </c>
      <c r="BP14" s="461">
        <f>IF(AND(AT14&lt;&gt;0,(AX14+BA14)&gt;=MAXSSDIBY),SSDIBY*MAXSSDIBY*P14,IF(AT14&lt;&gt;0,SSDIBY*W14,0))</f>
        <v>4674.8</v>
      </c>
      <c r="BQ14" s="461">
        <f>IF(AT14&lt;&gt;0,SSHIBY*W14,0)</f>
        <v>1093.3</v>
      </c>
      <c r="BR14" s="461">
        <f>IF(AND(AT14&lt;&gt;0,AN14&lt;&gt;"NE"),VLOOKUP(AN14,Retirement_Rates,4,FALSE)*W14,0)</f>
        <v>9002.76</v>
      </c>
      <c r="BS14" s="461">
        <f>IF(AND(AT14&lt;&gt;0,AJ14&lt;&gt;"PF"),LifeBY*W14,0)</f>
        <v>543.63400000000001</v>
      </c>
      <c r="BT14" s="461">
        <f>IF(AND(AT14&lt;&gt;0,AM14="Y"),UIBY*W14,0)</f>
        <v>0</v>
      </c>
      <c r="BU14" s="461">
        <f>IF(AND(AT14&lt;&gt;0,N14&lt;&gt;"NR"),DHRBY*W14,0)</f>
        <v>230.72399999999999</v>
      </c>
      <c r="BV14" s="461">
        <f>IF(AT14&lt;&gt;0,WCBY*W14,0)</f>
        <v>248.82</v>
      </c>
      <c r="BW14" s="461">
        <f>IF(OR(AND(AT14&lt;&gt;0,AJ14&lt;&gt;"PF",AN14&lt;&gt;"NE",AG14&lt;&gt;"A"),AND(AL14="E",OR(AT14=1,AT14=3))),SickBY*W14,0)</f>
        <v>0</v>
      </c>
      <c r="BX14" s="461">
        <f t="shared" si="7"/>
        <v>15794.038</v>
      </c>
      <c r="BY14" s="461">
        <f t="shared" si="8"/>
        <v>0</v>
      </c>
      <c r="BZ14" s="461">
        <f t="shared" si="9"/>
        <v>0</v>
      </c>
      <c r="CA14" s="461">
        <f t="shared" si="10"/>
        <v>0</v>
      </c>
      <c r="CB14" s="461">
        <f t="shared" si="11"/>
        <v>0</v>
      </c>
      <c r="CC14" s="461">
        <f>IF(AT14&lt;&gt;0,SSHICHG*Y14,0)</f>
        <v>0</v>
      </c>
      <c r="CD14" s="461">
        <f>IF(AND(AT14&lt;&gt;0,AN14&lt;&gt;"NE"),VLOOKUP(AN14,Retirement_Rates,5,FALSE)*Y14,0)</f>
        <v>0</v>
      </c>
      <c r="CE14" s="461">
        <f>IF(AND(AT14&lt;&gt;0,AJ14&lt;&gt;"PF"),LifeCHG*Y14,0)</f>
        <v>0</v>
      </c>
      <c r="CF14" s="461">
        <f>IF(AND(AT14&lt;&gt;0,AM14="Y"),UICHG*Y14,0)</f>
        <v>-369.46</v>
      </c>
      <c r="CG14" s="461">
        <f>IF(AND(AT14&lt;&gt;0,N14&lt;&gt;"NR"),DHRCHG*Y14,0)</f>
        <v>0</v>
      </c>
      <c r="CH14" s="461">
        <f>IF(AT14&lt;&gt;0,WCCHG*Y14,0)</f>
        <v>-22.619999999999994</v>
      </c>
      <c r="CI14" s="461">
        <f>IF(OR(AND(AT14&lt;&gt;0,AJ14&lt;&gt;"PF",AN14&lt;&gt;"NE",AG14&lt;&gt;"A"),AND(AL14="E",OR(AT14=1,AT14=3))),SickCHG*Y14,0)</f>
        <v>0</v>
      </c>
      <c r="CJ14" s="461">
        <f t="shared" si="12"/>
        <v>-392.08</v>
      </c>
      <c r="CK14" s="461" t="str">
        <f t="shared" si="13"/>
        <v/>
      </c>
      <c r="CL14" s="461" t="str">
        <f t="shared" si="14"/>
        <v/>
      </c>
      <c r="CM14" s="461" t="str">
        <f t="shared" si="15"/>
        <v/>
      </c>
      <c r="CN14" s="461" t="str">
        <f t="shared" si="16"/>
        <v>0475-12</v>
      </c>
    </row>
    <row r="15" spans="1:92" ht="15" thickBot="1" x14ac:dyDescent="0.35">
      <c r="A15" s="376" t="s">
        <v>161</v>
      </c>
      <c r="B15" s="376" t="s">
        <v>162</v>
      </c>
      <c r="C15" s="376" t="s">
        <v>258</v>
      </c>
      <c r="D15" s="376" t="s">
        <v>228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229</v>
      </c>
      <c r="L15" s="376" t="s">
        <v>230</v>
      </c>
      <c r="M15" s="376" t="s">
        <v>171</v>
      </c>
      <c r="N15" s="376" t="s">
        <v>172</v>
      </c>
      <c r="O15" s="379">
        <v>1</v>
      </c>
      <c r="P15" s="459">
        <v>1</v>
      </c>
      <c r="Q15" s="459">
        <v>1</v>
      </c>
      <c r="R15" s="380">
        <v>80</v>
      </c>
      <c r="S15" s="459">
        <v>1</v>
      </c>
      <c r="T15" s="380">
        <v>38600.6</v>
      </c>
      <c r="U15" s="380">
        <v>0</v>
      </c>
      <c r="V15" s="380">
        <v>16557.650000000001</v>
      </c>
      <c r="W15" s="380">
        <v>60320</v>
      </c>
      <c r="X15" s="380">
        <v>24598.86</v>
      </c>
      <c r="Y15" s="380">
        <v>60320</v>
      </c>
      <c r="Z15" s="380">
        <v>24285.200000000001</v>
      </c>
      <c r="AA15" s="376" t="s">
        <v>259</v>
      </c>
      <c r="AB15" s="376" t="s">
        <v>260</v>
      </c>
      <c r="AC15" s="376" t="s">
        <v>261</v>
      </c>
      <c r="AD15" s="376" t="s">
        <v>262</v>
      </c>
      <c r="AE15" s="376" t="s">
        <v>229</v>
      </c>
      <c r="AF15" s="376" t="s">
        <v>235</v>
      </c>
      <c r="AG15" s="376" t="s">
        <v>178</v>
      </c>
      <c r="AH15" s="379">
        <v>29</v>
      </c>
      <c r="AI15" s="379">
        <v>752</v>
      </c>
      <c r="AJ15" s="376" t="s">
        <v>179</v>
      </c>
      <c r="AK15" s="376" t="s">
        <v>180</v>
      </c>
      <c r="AL15" s="376" t="s">
        <v>181</v>
      </c>
      <c r="AM15" s="376" t="s">
        <v>182</v>
      </c>
      <c r="AN15" s="376" t="s">
        <v>68</v>
      </c>
      <c r="AO15" s="379">
        <v>80</v>
      </c>
      <c r="AP15" s="459">
        <v>1</v>
      </c>
      <c r="AQ15" s="459">
        <v>1</v>
      </c>
      <c r="AR15" s="457" t="s">
        <v>183</v>
      </c>
      <c r="AS15" s="461">
        <f t="shared" si="0"/>
        <v>1</v>
      </c>
      <c r="AT15">
        <f t="shared" si="1"/>
        <v>1</v>
      </c>
      <c r="AU15" s="461">
        <f>IF(AT15=0,"",IF(AND(AT15=1,M15="F",SUMIF(C2:C20,C15,AS2:AS20)&lt;=1),SUMIF(C2:C20,C15,AS2:AS20),IF(AND(AT15=1,M15="F",SUMIF(C2:C20,C15,AS2:AS20)&gt;1),1,"")))</f>
        <v>1</v>
      </c>
      <c r="AV15" s="461" t="str">
        <f>IF(AT15=0,"",IF(AND(AT15=3,M15="F",SUMIF(C2:C20,C15,AS2:AS20)&lt;=1),SUMIF(C2:C20,C15,AS2:AS20),IF(AND(AT15=3,M15="F",SUMIF(C2:C20,C15,AS2:AS20)&gt;1),1,"")))</f>
        <v/>
      </c>
      <c r="AW15" s="461">
        <f>SUMIF(C2:C20,C15,O2:O20)</f>
        <v>1</v>
      </c>
      <c r="AX15" s="461">
        <f>IF(AND(M15="F",AS15&lt;&gt;0),SUMIF(C2:C20,C15,W2:W20),0)</f>
        <v>60320</v>
      </c>
      <c r="AY15" s="461">
        <f t="shared" si="2"/>
        <v>60320</v>
      </c>
      <c r="AZ15" s="461" t="str">
        <f t="shared" si="3"/>
        <v/>
      </c>
      <c r="BA15" s="461">
        <f t="shared" si="4"/>
        <v>0</v>
      </c>
      <c r="BB15" s="461">
        <f>IF(AND(AT15=1,AK15="E",AU15&gt;=0.75,AW15=1),Health,IF(AND(AT15=1,AK15="E",AU15&gt;=0.75),Health*P15,IF(AND(AT15=1,AK15="E",AU15&gt;=0.5,AW15=1),PTHealth,IF(AND(AT15=1,AK15="E",AU15&gt;=0.5),PTHealth*P15,0))))</f>
        <v>11650</v>
      </c>
      <c r="BC15" s="461">
        <f>IF(AND(AT15=3,AK15="E",AV15&gt;=0.75,AW15=1),Health,IF(AND(AT15=3,AK15="E",AV15&gt;=0.75),Health*P15,IF(AND(AT15=3,AK15="E",AV15&gt;=0.5,AW15=1),PTHealth,IF(AND(AT15=3,AK15="E",AV15&gt;=0.5),PTHealth*P15,0))))</f>
        <v>0</v>
      </c>
      <c r="BD15" s="461">
        <f>IF(AND(AT15&lt;&gt;0,AX15&gt;=MAXSSDI),SSDI*MAXSSDI*P15,IF(AT15&lt;&gt;0,SSDI*W15,0))</f>
        <v>3739.84</v>
      </c>
      <c r="BE15" s="461">
        <f>IF(AT15&lt;&gt;0,SSHI*W15,0)</f>
        <v>874.6400000000001</v>
      </c>
      <c r="BF15" s="461">
        <f>IF(AND(AT15&lt;&gt;0,AN15&lt;&gt;"NE"),VLOOKUP(AN15,Retirement_Rates,3,FALSE)*W15,0)</f>
        <v>7202.2080000000005</v>
      </c>
      <c r="BG15" s="461">
        <f>IF(AND(AT15&lt;&gt;0,AJ15&lt;&gt;"PF"),Life*W15,0)</f>
        <v>434.90719999999999</v>
      </c>
      <c r="BH15" s="461">
        <f>IF(AND(AT15&lt;&gt;0,AM15="Y"),UI*W15,0)</f>
        <v>295.56799999999998</v>
      </c>
      <c r="BI15" s="461">
        <f>IF(AND(AT15&lt;&gt;0,N15&lt;&gt;"NR"),DHR*W15,0)</f>
        <v>184.57919999999999</v>
      </c>
      <c r="BJ15" s="461">
        <f>IF(AT15&lt;&gt;0,WC*W15,0)</f>
        <v>217.15199999999999</v>
      </c>
      <c r="BK15" s="461">
        <f>IF(OR(AND(AT15&lt;&gt;0,AJ15&lt;&gt;"PF",AN15&lt;&gt;"NE",AG15&lt;&gt;"A"),AND(AL15="E",OR(AT15=1,AT15=3))),Sick*W15,0)</f>
        <v>0</v>
      </c>
      <c r="BL15" s="461">
        <f t="shared" si="5"/>
        <v>12948.894400000001</v>
      </c>
      <c r="BM15" s="461">
        <f t="shared" si="6"/>
        <v>0</v>
      </c>
      <c r="BN15" s="461">
        <f>IF(AND(AT15=1,AK15="E",AU15&gt;=0.75,AW15=1),HealthBY,IF(AND(AT15=1,AK15="E",AU15&gt;=0.75),HealthBY*P15,IF(AND(AT15=1,AK15="E",AU15&gt;=0.5,AW15=1),PTHealthBY,IF(AND(AT15=1,AK15="E",AU15&gt;=0.5),PTHealthBY*P15,0))))</f>
        <v>11650</v>
      </c>
      <c r="BO15" s="461">
        <f>IF(AND(AT15=3,AK15="E",AV15&gt;=0.75,AW15=1),HealthBY,IF(AND(AT15=3,AK15="E",AV15&gt;=0.75),HealthBY*P15,IF(AND(AT15=3,AK15="E",AV15&gt;=0.5,AW15=1),PTHealthBY,IF(AND(AT15=3,AK15="E",AV15&gt;=0.5),PTHealthBY*P15,0))))</f>
        <v>0</v>
      </c>
      <c r="BP15" s="461">
        <f>IF(AND(AT15&lt;&gt;0,(AX15+BA15)&gt;=MAXSSDIBY),SSDIBY*MAXSSDIBY*P15,IF(AT15&lt;&gt;0,SSDIBY*W15,0))</f>
        <v>3739.84</v>
      </c>
      <c r="BQ15" s="461">
        <f>IF(AT15&lt;&gt;0,SSHIBY*W15,0)</f>
        <v>874.6400000000001</v>
      </c>
      <c r="BR15" s="461">
        <f>IF(AND(AT15&lt;&gt;0,AN15&lt;&gt;"NE"),VLOOKUP(AN15,Retirement_Rates,4,FALSE)*W15,0)</f>
        <v>7202.2080000000005</v>
      </c>
      <c r="BS15" s="461">
        <f>IF(AND(AT15&lt;&gt;0,AJ15&lt;&gt;"PF"),LifeBY*W15,0)</f>
        <v>434.90719999999999</v>
      </c>
      <c r="BT15" s="461">
        <f>IF(AND(AT15&lt;&gt;0,AM15="Y"),UIBY*W15,0)</f>
        <v>0</v>
      </c>
      <c r="BU15" s="461">
        <f>IF(AND(AT15&lt;&gt;0,N15&lt;&gt;"NR"),DHRBY*W15,0)</f>
        <v>184.57919999999999</v>
      </c>
      <c r="BV15" s="461">
        <f>IF(AT15&lt;&gt;0,WCBY*W15,0)</f>
        <v>199.05600000000001</v>
      </c>
      <c r="BW15" s="461">
        <f>IF(OR(AND(AT15&lt;&gt;0,AJ15&lt;&gt;"PF",AN15&lt;&gt;"NE",AG15&lt;&gt;"A"),AND(AL15="E",OR(AT15=1,AT15=3))),SickBY*W15,0)</f>
        <v>0</v>
      </c>
      <c r="BX15" s="461">
        <f t="shared" si="7"/>
        <v>12635.230400000002</v>
      </c>
      <c r="BY15" s="461">
        <f t="shared" si="8"/>
        <v>0</v>
      </c>
      <c r="BZ15" s="461">
        <f t="shared" si="9"/>
        <v>0</v>
      </c>
      <c r="CA15" s="461">
        <f t="shared" si="10"/>
        <v>0</v>
      </c>
      <c r="CB15" s="461">
        <f t="shared" si="11"/>
        <v>0</v>
      </c>
      <c r="CC15" s="461">
        <f>IF(AT15&lt;&gt;0,SSHICHG*Y15,0)</f>
        <v>0</v>
      </c>
      <c r="CD15" s="461">
        <f>IF(AND(AT15&lt;&gt;0,AN15&lt;&gt;"NE"),VLOOKUP(AN15,Retirement_Rates,5,FALSE)*Y15,0)</f>
        <v>0</v>
      </c>
      <c r="CE15" s="461">
        <f>IF(AND(AT15&lt;&gt;0,AJ15&lt;&gt;"PF"),LifeCHG*Y15,0)</f>
        <v>0</v>
      </c>
      <c r="CF15" s="461">
        <f>IF(AND(AT15&lt;&gt;0,AM15="Y"),UICHG*Y15,0)</f>
        <v>-295.56799999999998</v>
      </c>
      <c r="CG15" s="461">
        <f>IF(AND(AT15&lt;&gt;0,N15&lt;&gt;"NR"),DHRCHG*Y15,0)</f>
        <v>0</v>
      </c>
      <c r="CH15" s="461">
        <f>IF(AT15&lt;&gt;0,WCCHG*Y15,0)</f>
        <v>-18.095999999999997</v>
      </c>
      <c r="CI15" s="461">
        <f>IF(OR(AND(AT15&lt;&gt;0,AJ15&lt;&gt;"PF",AN15&lt;&gt;"NE",AG15&lt;&gt;"A"),AND(AL15="E",OR(AT15=1,AT15=3))),SickCHG*Y15,0)</f>
        <v>0</v>
      </c>
      <c r="CJ15" s="461">
        <f t="shared" si="12"/>
        <v>-313.66399999999999</v>
      </c>
      <c r="CK15" s="461" t="str">
        <f t="shared" si="13"/>
        <v/>
      </c>
      <c r="CL15" s="461" t="str">
        <f t="shared" si="14"/>
        <v/>
      </c>
      <c r="CM15" s="461" t="str">
        <f t="shared" si="15"/>
        <v/>
      </c>
      <c r="CN15" s="461" t="str">
        <f t="shared" si="16"/>
        <v>0475-12</v>
      </c>
    </row>
    <row r="16" spans="1:92" ht="15" thickBot="1" x14ac:dyDescent="0.35">
      <c r="A16" s="376" t="s">
        <v>161</v>
      </c>
      <c r="B16" s="376" t="s">
        <v>162</v>
      </c>
      <c r="C16" s="376" t="s">
        <v>263</v>
      </c>
      <c r="D16" s="376" t="s">
        <v>264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265</v>
      </c>
      <c r="L16" s="376" t="s">
        <v>181</v>
      </c>
      <c r="M16" s="376" t="s">
        <v>171</v>
      </c>
      <c r="N16" s="376" t="s">
        <v>172</v>
      </c>
      <c r="O16" s="379">
        <v>1</v>
      </c>
      <c r="P16" s="459">
        <v>1</v>
      </c>
      <c r="Q16" s="459">
        <v>1</v>
      </c>
      <c r="R16" s="380">
        <v>80</v>
      </c>
      <c r="S16" s="459">
        <v>1</v>
      </c>
      <c r="T16" s="380">
        <v>69197.240000000005</v>
      </c>
      <c r="U16" s="380">
        <v>0</v>
      </c>
      <c r="V16" s="380">
        <v>25774.31</v>
      </c>
      <c r="W16" s="380">
        <v>72072</v>
      </c>
      <c r="X16" s="380">
        <v>27121.66</v>
      </c>
      <c r="Y16" s="380">
        <v>72072</v>
      </c>
      <c r="Z16" s="380">
        <v>26746.89</v>
      </c>
      <c r="AA16" s="376" t="s">
        <v>266</v>
      </c>
      <c r="AB16" s="376" t="s">
        <v>267</v>
      </c>
      <c r="AC16" s="376" t="s">
        <v>268</v>
      </c>
      <c r="AD16" s="376" t="s">
        <v>269</v>
      </c>
      <c r="AE16" s="376" t="s">
        <v>265</v>
      </c>
      <c r="AF16" s="376" t="s">
        <v>199</v>
      </c>
      <c r="AG16" s="376" t="s">
        <v>178</v>
      </c>
      <c r="AH16" s="381">
        <v>34.65</v>
      </c>
      <c r="AI16" s="381">
        <v>15174.7</v>
      </c>
      <c r="AJ16" s="376" t="s">
        <v>179</v>
      </c>
      <c r="AK16" s="376" t="s">
        <v>180</v>
      </c>
      <c r="AL16" s="376" t="s">
        <v>181</v>
      </c>
      <c r="AM16" s="376" t="s">
        <v>182</v>
      </c>
      <c r="AN16" s="376" t="s">
        <v>68</v>
      </c>
      <c r="AO16" s="379">
        <v>80</v>
      </c>
      <c r="AP16" s="459">
        <v>1</v>
      </c>
      <c r="AQ16" s="459">
        <v>1</v>
      </c>
      <c r="AR16" s="457" t="s">
        <v>183</v>
      </c>
      <c r="AS16" s="461">
        <f t="shared" si="0"/>
        <v>1</v>
      </c>
      <c r="AT16">
        <f t="shared" si="1"/>
        <v>1</v>
      </c>
      <c r="AU16" s="461">
        <f>IF(AT16=0,"",IF(AND(AT16=1,M16="F",SUMIF(C2:C20,C16,AS2:AS20)&lt;=1),SUMIF(C2:C20,C16,AS2:AS20),IF(AND(AT16=1,M16="F",SUMIF(C2:C20,C16,AS2:AS20)&gt;1),1,"")))</f>
        <v>1</v>
      </c>
      <c r="AV16" s="461" t="str">
        <f>IF(AT16=0,"",IF(AND(AT16=3,M16="F",SUMIF(C2:C20,C16,AS2:AS20)&lt;=1),SUMIF(C2:C20,C16,AS2:AS20),IF(AND(AT16=3,M16="F",SUMIF(C2:C20,C16,AS2:AS20)&gt;1),1,"")))</f>
        <v/>
      </c>
      <c r="AW16" s="461">
        <f>SUMIF(C2:C20,C16,O2:O20)</f>
        <v>1</v>
      </c>
      <c r="AX16" s="461">
        <f>IF(AND(M16="F",AS16&lt;&gt;0),SUMIF(C2:C20,C16,W2:W20),0)</f>
        <v>72072</v>
      </c>
      <c r="AY16" s="461">
        <f t="shared" si="2"/>
        <v>72072</v>
      </c>
      <c r="AZ16" s="461" t="str">
        <f t="shared" si="3"/>
        <v/>
      </c>
      <c r="BA16" s="461">
        <f t="shared" si="4"/>
        <v>0</v>
      </c>
      <c r="BB16" s="461">
        <f>IF(AND(AT16=1,AK16="E",AU16&gt;=0.75,AW16=1),Health,IF(AND(AT16=1,AK16="E",AU16&gt;=0.75),Health*P16,IF(AND(AT16=1,AK16="E",AU16&gt;=0.5,AW16=1),PTHealth,IF(AND(AT16=1,AK16="E",AU16&gt;=0.5),PTHealth*P16,0))))</f>
        <v>11650</v>
      </c>
      <c r="BC16" s="461">
        <f>IF(AND(AT16=3,AK16="E",AV16&gt;=0.75,AW16=1),Health,IF(AND(AT16=3,AK16="E",AV16&gt;=0.75),Health*P16,IF(AND(AT16=3,AK16="E",AV16&gt;=0.5,AW16=1),PTHealth,IF(AND(AT16=3,AK16="E",AV16&gt;=0.5),PTHealth*P16,0))))</f>
        <v>0</v>
      </c>
      <c r="BD16" s="461">
        <f>IF(AND(AT16&lt;&gt;0,AX16&gt;=MAXSSDI),SSDI*MAXSSDI*P16,IF(AT16&lt;&gt;0,SSDI*W16,0))</f>
        <v>4468.4639999999999</v>
      </c>
      <c r="BE16" s="461">
        <f>IF(AT16&lt;&gt;0,SSHI*W16,0)</f>
        <v>1045.0440000000001</v>
      </c>
      <c r="BF16" s="461">
        <f>IF(AND(AT16&lt;&gt;0,AN16&lt;&gt;"NE"),VLOOKUP(AN16,Retirement_Rates,3,FALSE)*W16,0)</f>
        <v>8605.3968000000004</v>
      </c>
      <c r="BG16" s="461">
        <f>IF(AND(AT16&lt;&gt;0,AJ16&lt;&gt;"PF"),Life*W16,0)</f>
        <v>519.63912000000005</v>
      </c>
      <c r="BH16" s="461">
        <f>IF(AND(AT16&lt;&gt;0,AM16="Y"),UI*W16,0)</f>
        <v>353.15280000000001</v>
      </c>
      <c r="BI16" s="461">
        <f>IF(AND(AT16&lt;&gt;0,N16&lt;&gt;"NR"),DHR*W16,0)</f>
        <v>220.54031999999998</v>
      </c>
      <c r="BJ16" s="461">
        <f>IF(AT16&lt;&gt;0,WC*W16,0)</f>
        <v>259.45920000000001</v>
      </c>
      <c r="BK16" s="461">
        <f>IF(OR(AND(AT16&lt;&gt;0,AJ16&lt;&gt;"PF",AN16&lt;&gt;"NE",AG16&lt;&gt;"A"),AND(AL16="E",OR(AT16=1,AT16=3))),Sick*W16,0)</f>
        <v>0</v>
      </c>
      <c r="BL16" s="461">
        <f t="shared" si="5"/>
        <v>15471.696239999999</v>
      </c>
      <c r="BM16" s="461">
        <f t="shared" si="6"/>
        <v>0</v>
      </c>
      <c r="BN16" s="461">
        <f>IF(AND(AT16=1,AK16="E",AU16&gt;=0.75,AW16=1),HealthBY,IF(AND(AT16=1,AK16="E",AU16&gt;=0.75),HealthBY*P16,IF(AND(AT16=1,AK16="E",AU16&gt;=0.5,AW16=1),PTHealthBY,IF(AND(AT16=1,AK16="E",AU16&gt;=0.5),PTHealthBY*P16,0))))</f>
        <v>11650</v>
      </c>
      <c r="BO16" s="461">
        <f>IF(AND(AT16=3,AK16="E",AV16&gt;=0.75,AW16=1),HealthBY,IF(AND(AT16=3,AK16="E",AV16&gt;=0.75),HealthBY*P16,IF(AND(AT16=3,AK16="E",AV16&gt;=0.5,AW16=1),PTHealthBY,IF(AND(AT16=3,AK16="E",AV16&gt;=0.5),PTHealthBY*P16,0))))</f>
        <v>0</v>
      </c>
      <c r="BP16" s="461">
        <f>IF(AND(AT16&lt;&gt;0,(AX16+BA16)&gt;=MAXSSDIBY),SSDIBY*MAXSSDIBY*P16,IF(AT16&lt;&gt;0,SSDIBY*W16,0))</f>
        <v>4468.4639999999999</v>
      </c>
      <c r="BQ16" s="461">
        <f>IF(AT16&lt;&gt;0,SSHIBY*W16,0)</f>
        <v>1045.0440000000001</v>
      </c>
      <c r="BR16" s="461">
        <f>IF(AND(AT16&lt;&gt;0,AN16&lt;&gt;"NE"),VLOOKUP(AN16,Retirement_Rates,4,FALSE)*W16,0)</f>
        <v>8605.3968000000004</v>
      </c>
      <c r="BS16" s="461">
        <f>IF(AND(AT16&lt;&gt;0,AJ16&lt;&gt;"PF"),LifeBY*W16,0)</f>
        <v>519.63912000000005</v>
      </c>
      <c r="BT16" s="461">
        <f>IF(AND(AT16&lt;&gt;0,AM16="Y"),UIBY*W16,0)</f>
        <v>0</v>
      </c>
      <c r="BU16" s="461">
        <f>IF(AND(AT16&lt;&gt;0,N16&lt;&gt;"NR"),DHRBY*W16,0)</f>
        <v>220.54031999999998</v>
      </c>
      <c r="BV16" s="461">
        <f>IF(AT16&lt;&gt;0,WCBY*W16,0)</f>
        <v>237.83760000000001</v>
      </c>
      <c r="BW16" s="461">
        <f>IF(OR(AND(AT16&lt;&gt;0,AJ16&lt;&gt;"PF",AN16&lt;&gt;"NE",AG16&lt;&gt;"A"),AND(AL16="E",OR(AT16=1,AT16=3))),SickBY*W16,0)</f>
        <v>0</v>
      </c>
      <c r="BX16" s="461">
        <f t="shared" si="7"/>
        <v>15096.921840000001</v>
      </c>
      <c r="BY16" s="461">
        <f t="shared" si="8"/>
        <v>0</v>
      </c>
      <c r="BZ16" s="461">
        <f t="shared" si="9"/>
        <v>0</v>
      </c>
      <c r="CA16" s="461">
        <f t="shared" si="10"/>
        <v>0</v>
      </c>
      <c r="CB16" s="461">
        <f t="shared" si="11"/>
        <v>0</v>
      </c>
      <c r="CC16" s="461">
        <f>IF(AT16&lt;&gt;0,SSHICHG*Y16,0)</f>
        <v>0</v>
      </c>
      <c r="CD16" s="461">
        <f>IF(AND(AT16&lt;&gt;0,AN16&lt;&gt;"NE"),VLOOKUP(AN16,Retirement_Rates,5,FALSE)*Y16,0)</f>
        <v>0</v>
      </c>
      <c r="CE16" s="461">
        <f>IF(AND(AT16&lt;&gt;0,AJ16&lt;&gt;"PF"),LifeCHG*Y16,0)</f>
        <v>0</v>
      </c>
      <c r="CF16" s="461">
        <f>IF(AND(AT16&lt;&gt;0,AM16="Y"),UICHG*Y16,0)</f>
        <v>-353.15280000000001</v>
      </c>
      <c r="CG16" s="461">
        <f>IF(AND(AT16&lt;&gt;0,N16&lt;&gt;"NR"),DHRCHG*Y16,0)</f>
        <v>0</v>
      </c>
      <c r="CH16" s="461">
        <f>IF(AT16&lt;&gt;0,WCCHG*Y16,0)</f>
        <v>-21.621599999999994</v>
      </c>
      <c r="CI16" s="461">
        <f>IF(OR(AND(AT16&lt;&gt;0,AJ16&lt;&gt;"PF",AN16&lt;&gt;"NE",AG16&lt;&gt;"A"),AND(AL16="E",OR(AT16=1,AT16=3))),SickCHG*Y16,0)</f>
        <v>0</v>
      </c>
      <c r="CJ16" s="461">
        <f t="shared" si="12"/>
        <v>-374.77440000000001</v>
      </c>
      <c r="CK16" s="461" t="str">
        <f t="shared" si="13"/>
        <v/>
      </c>
      <c r="CL16" s="461" t="str">
        <f t="shared" si="14"/>
        <v/>
      </c>
      <c r="CM16" s="461" t="str">
        <f t="shared" si="15"/>
        <v/>
      </c>
      <c r="CN16" s="461" t="str">
        <f t="shared" si="16"/>
        <v>0475-12</v>
      </c>
    </row>
    <row r="17" spans="1:92" ht="15" thickBot="1" x14ac:dyDescent="0.35">
      <c r="A17" s="376" t="s">
        <v>161</v>
      </c>
      <c r="B17" s="376" t="s">
        <v>162</v>
      </c>
      <c r="C17" s="376" t="s">
        <v>270</v>
      </c>
      <c r="D17" s="376" t="s">
        <v>271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272</v>
      </c>
      <c r="L17" s="376" t="s">
        <v>243</v>
      </c>
      <c r="M17" s="376" t="s">
        <v>171</v>
      </c>
      <c r="N17" s="376" t="s">
        <v>221</v>
      </c>
      <c r="O17" s="379">
        <v>1</v>
      </c>
      <c r="P17" s="459">
        <v>1</v>
      </c>
      <c r="Q17" s="459">
        <v>1</v>
      </c>
      <c r="R17" s="380">
        <v>80</v>
      </c>
      <c r="S17" s="459">
        <v>1</v>
      </c>
      <c r="T17" s="380">
        <v>105728.8</v>
      </c>
      <c r="U17" s="380">
        <v>0</v>
      </c>
      <c r="V17" s="380">
        <v>29376.36</v>
      </c>
      <c r="W17" s="380">
        <v>150009.60000000001</v>
      </c>
      <c r="X17" s="380">
        <v>42211.46</v>
      </c>
      <c r="Y17" s="380">
        <v>150009.60000000001</v>
      </c>
      <c r="Z17" s="380">
        <v>42166.46</v>
      </c>
      <c r="AA17" s="376" t="s">
        <v>273</v>
      </c>
      <c r="AB17" s="376" t="s">
        <v>274</v>
      </c>
      <c r="AC17" s="376" t="s">
        <v>275</v>
      </c>
      <c r="AD17" s="376" t="s">
        <v>276</v>
      </c>
      <c r="AE17" s="376" t="s">
        <v>272</v>
      </c>
      <c r="AF17" s="376" t="s">
        <v>226</v>
      </c>
      <c r="AG17" s="376" t="s">
        <v>178</v>
      </c>
      <c r="AH17" s="381">
        <v>72.12</v>
      </c>
      <c r="AI17" s="381">
        <v>37853.699999999997</v>
      </c>
      <c r="AJ17" s="376" t="s">
        <v>179</v>
      </c>
      <c r="AK17" s="376" t="s">
        <v>180</v>
      </c>
      <c r="AL17" s="376" t="s">
        <v>181</v>
      </c>
      <c r="AM17" s="376" t="s">
        <v>181</v>
      </c>
      <c r="AN17" s="376" t="s">
        <v>68</v>
      </c>
      <c r="AO17" s="379">
        <v>80</v>
      </c>
      <c r="AP17" s="459">
        <v>1</v>
      </c>
      <c r="AQ17" s="459">
        <v>1</v>
      </c>
      <c r="AR17" s="457" t="s">
        <v>183</v>
      </c>
      <c r="AS17" s="461">
        <f t="shared" si="0"/>
        <v>1</v>
      </c>
      <c r="AT17">
        <f t="shared" si="1"/>
        <v>1</v>
      </c>
      <c r="AU17" s="461">
        <f>IF(AT17=0,"",IF(AND(AT17=1,M17="F",SUMIF(C2:C20,C17,AS2:AS20)&lt;=1),SUMIF(C2:C20,C17,AS2:AS20),IF(AND(AT17=1,M17="F",SUMIF(C2:C20,C17,AS2:AS20)&gt;1),1,"")))</f>
        <v>1</v>
      </c>
      <c r="AV17" s="461" t="str">
        <f>IF(AT17=0,"",IF(AND(AT17=3,M17="F",SUMIF(C2:C20,C17,AS2:AS20)&lt;=1),SUMIF(C2:C20,C17,AS2:AS20),IF(AND(AT17=3,M17="F",SUMIF(C2:C20,C17,AS2:AS20)&gt;1),1,"")))</f>
        <v/>
      </c>
      <c r="AW17" s="461">
        <f>SUMIF(C2:C20,C17,O2:O20)</f>
        <v>1</v>
      </c>
      <c r="AX17" s="461">
        <f>IF(AND(M17="F",AS17&lt;&gt;0),SUMIF(C2:C20,C17,W2:W20),0)</f>
        <v>150009.60000000001</v>
      </c>
      <c r="AY17" s="461">
        <f t="shared" si="2"/>
        <v>150009.60000000001</v>
      </c>
      <c r="AZ17" s="461" t="str">
        <f t="shared" si="3"/>
        <v/>
      </c>
      <c r="BA17" s="461">
        <f t="shared" si="4"/>
        <v>0</v>
      </c>
      <c r="BB17" s="461">
        <f>IF(AND(AT17=1,AK17="E",AU17&gt;=0.75,AW17=1),Health,IF(AND(AT17=1,AK17="E",AU17&gt;=0.75),Health*P17,IF(AND(AT17=1,AK17="E",AU17&gt;=0.5,AW17=1),PTHealth,IF(AND(AT17=1,AK17="E",AU17&gt;=0.5),PTHealth*P17,0))))</f>
        <v>11650</v>
      </c>
      <c r="BC17" s="461">
        <f>IF(AND(AT17=3,AK17="E",AV17&gt;=0.75,AW17=1),Health,IF(AND(AT17=3,AK17="E",AV17&gt;=0.75),Health*P17,IF(AND(AT17=3,AK17="E",AV17&gt;=0.5,AW17=1),PTHealth,IF(AND(AT17=3,AK17="E",AV17&gt;=0.5),PTHealth*P17,0))))</f>
        <v>0</v>
      </c>
      <c r="BD17" s="461">
        <f>IF(AND(AT17&lt;&gt;0,AX17&gt;=MAXSSDI),SSDI*MAXSSDI*P17,IF(AT17&lt;&gt;0,SSDI*W17,0))</f>
        <v>8537.4</v>
      </c>
      <c r="BE17" s="461">
        <f>IF(AT17&lt;&gt;0,SSHI*W17,0)</f>
        <v>2175.1392000000001</v>
      </c>
      <c r="BF17" s="461">
        <f>IF(AND(AT17&lt;&gt;0,AN17&lt;&gt;"NE"),VLOOKUP(AN17,Retirement_Rates,3,FALSE)*W17,0)</f>
        <v>17911.146240000002</v>
      </c>
      <c r="BG17" s="461">
        <f>IF(AND(AT17&lt;&gt;0,AJ17&lt;&gt;"PF"),Life*W17,0)</f>
        <v>1081.5692160000001</v>
      </c>
      <c r="BH17" s="461">
        <f>IF(AND(AT17&lt;&gt;0,AM17="Y"),UI*W17,0)</f>
        <v>0</v>
      </c>
      <c r="BI17" s="461">
        <f>IF(AND(AT17&lt;&gt;0,N17&lt;&gt;"NR"),DHR*W17,0)</f>
        <v>0</v>
      </c>
      <c r="BJ17" s="461">
        <f>IF(AT17&lt;&gt;0,WC*W17,0)</f>
        <v>540.03456000000006</v>
      </c>
      <c r="BK17" s="461">
        <f>IF(OR(AND(AT17&lt;&gt;0,AJ17&lt;&gt;"PF",AN17&lt;&gt;"NE",AG17&lt;&gt;"A"),AND(AL17="E",OR(AT17=1,AT17=3))),Sick*W17,0)</f>
        <v>0</v>
      </c>
      <c r="BL17" s="461">
        <f t="shared" si="5"/>
        <v>30245.289216000001</v>
      </c>
      <c r="BM17" s="461">
        <f t="shared" si="6"/>
        <v>0</v>
      </c>
      <c r="BN17" s="461">
        <f>IF(AND(AT17=1,AK17="E",AU17&gt;=0.75,AW17=1),HealthBY,IF(AND(AT17=1,AK17="E",AU17&gt;=0.75),HealthBY*P17,IF(AND(AT17=1,AK17="E",AU17&gt;=0.5,AW17=1),PTHealthBY,IF(AND(AT17=1,AK17="E",AU17&gt;=0.5),PTHealthBY*P17,0))))</f>
        <v>11650</v>
      </c>
      <c r="BO17" s="461">
        <f>IF(AND(AT17=3,AK17="E",AV17&gt;=0.75,AW17=1),HealthBY,IF(AND(AT17=3,AK17="E",AV17&gt;=0.75),HealthBY*P17,IF(AND(AT17=3,AK17="E",AV17&gt;=0.5,AW17=1),PTHealthBY,IF(AND(AT17=3,AK17="E",AV17&gt;=0.5),PTHealthBY*P17,0))))</f>
        <v>0</v>
      </c>
      <c r="BP17" s="461">
        <f>IF(AND(AT17&lt;&gt;0,(AX17+BA17)&gt;=MAXSSDIBY),SSDIBY*MAXSSDIBY*P17,IF(AT17&lt;&gt;0,SSDIBY*W17,0))</f>
        <v>8853.6</v>
      </c>
      <c r="BQ17" s="461">
        <f>IF(AT17&lt;&gt;0,SSHIBY*W17,0)</f>
        <v>2175.1392000000001</v>
      </c>
      <c r="BR17" s="461">
        <f>IF(AND(AT17&lt;&gt;0,AN17&lt;&gt;"NE"),VLOOKUP(AN17,Retirement_Rates,4,FALSE)*W17,0)</f>
        <v>17911.146240000002</v>
      </c>
      <c r="BS17" s="461">
        <f>IF(AND(AT17&lt;&gt;0,AJ17&lt;&gt;"PF"),LifeBY*W17,0)</f>
        <v>1081.5692160000001</v>
      </c>
      <c r="BT17" s="461">
        <f>IF(AND(AT17&lt;&gt;0,AM17="Y"),UIBY*W17,0)</f>
        <v>0</v>
      </c>
      <c r="BU17" s="461">
        <f>IF(AND(AT17&lt;&gt;0,N17&lt;&gt;"NR"),DHRBY*W17,0)</f>
        <v>0</v>
      </c>
      <c r="BV17" s="461">
        <f>IF(AT17&lt;&gt;0,WCBY*W17,0)</f>
        <v>495.03167999999999</v>
      </c>
      <c r="BW17" s="461">
        <f>IF(OR(AND(AT17&lt;&gt;0,AJ17&lt;&gt;"PF",AN17&lt;&gt;"NE",AG17&lt;&gt;"A"),AND(AL17="E",OR(AT17=1,AT17=3))),SickBY*W17,0)</f>
        <v>0</v>
      </c>
      <c r="BX17" s="461">
        <f t="shared" si="7"/>
        <v>30516.486336000002</v>
      </c>
      <c r="BY17" s="461">
        <f t="shared" si="8"/>
        <v>0</v>
      </c>
      <c r="BZ17" s="461">
        <f t="shared" si="9"/>
        <v>0</v>
      </c>
      <c r="CA17" s="461">
        <f t="shared" si="10"/>
        <v>0</v>
      </c>
      <c r="CB17" s="461">
        <f t="shared" si="11"/>
        <v>316.20000000000073</v>
      </c>
      <c r="CC17" s="461">
        <f>IF(AT17&lt;&gt;0,SSHICHG*Y17,0)</f>
        <v>0</v>
      </c>
      <c r="CD17" s="461">
        <f>IF(AND(AT17&lt;&gt;0,AN17&lt;&gt;"NE"),VLOOKUP(AN17,Retirement_Rates,5,FALSE)*Y17,0)</f>
        <v>0</v>
      </c>
      <c r="CE17" s="461">
        <f>IF(AND(AT17&lt;&gt;0,AJ17&lt;&gt;"PF"),LifeCHG*Y17,0)</f>
        <v>0</v>
      </c>
      <c r="CF17" s="461">
        <f>IF(AND(AT17&lt;&gt;0,AM17="Y"),UICHG*Y17,0)</f>
        <v>0</v>
      </c>
      <c r="CG17" s="461">
        <f>IF(AND(AT17&lt;&gt;0,N17&lt;&gt;"NR"),DHRCHG*Y17,0)</f>
        <v>0</v>
      </c>
      <c r="CH17" s="461">
        <f>IF(AT17&lt;&gt;0,WCCHG*Y17,0)</f>
        <v>-45.00287999999999</v>
      </c>
      <c r="CI17" s="461">
        <f>IF(OR(AND(AT17&lt;&gt;0,AJ17&lt;&gt;"PF",AN17&lt;&gt;"NE",AG17&lt;&gt;"A"),AND(AL17="E",OR(AT17=1,AT17=3))),SickCHG*Y17,0)</f>
        <v>0</v>
      </c>
      <c r="CJ17" s="461">
        <f t="shared" si="12"/>
        <v>271.19712000000072</v>
      </c>
      <c r="CK17" s="461" t="str">
        <f t="shared" si="13"/>
        <v/>
      </c>
      <c r="CL17" s="461" t="str">
        <f t="shared" si="14"/>
        <v/>
      </c>
      <c r="CM17" s="461" t="str">
        <f t="shared" si="15"/>
        <v/>
      </c>
      <c r="CN17" s="461" t="str">
        <f t="shared" si="16"/>
        <v>0475-12</v>
      </c>
    </row>
    <row r="18" spans="1:92" ht="15" thickBot="1" x14ac:dyDescent="0.35">
      <c r="A18" s="376" t="s">
        <v>161</v>
      </c>
      <c r="B18" s="376" t="s">
        <v>162</v>
      </c>
      <c r="C18" s="376" t="s">
        <v>277</v>
      </c>
      <c r="D18" s="376" t="s">
        <v>278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279</v>
      </c>
      <c r="L18" s="376" t="s">
        <v>209</v>
      </c>
      <c r="M18" s="376" t="s">
        <v>171</v>
      </c>
      <c r="N18" s="376" t="s">
        <v>172</v>
      </c>
      <c r="O18" s="379">
        <v>1</v>
      </c>
      <c r="P18" s="459">
        <v>1</v>
      </c>
      <c r="Q18" s="459">
        <v>1</v>
      </c>
      <c r="R18" s="380">
        <v>80</v>
      </c>
      <c r="S18" s="459">
        <v>1</v>
      </c>
      <c r="T18" s="380">
        <v>63866.82</v>
      </c>
      <c r="U18" s="380">
        <v>0</v>
      </c>
      <c r="V18" s="380">
        <v>24923.17</v>
      </c>
      <c r="W18" s="380">
        <v>65707.199999999997</v>
      </c>
      <c r="X18" s="380">
        <v>25755.32</v>
      </c>
      <c r="Y18" s="380">
        <v>65707.199999999997</v>
      </c>
      <c r="Z18" s="380">
        <v>25413.65</v>
      </c>
      <c r="AA18" s="376" t="s">
        <v>280</v>
      </c>
      <c r="AB18" s="376" t="s">
        <v>281</v>
      </c>
      <c r="AC18" s="376" t="s">
        <v>282</v>
      </c>
      <c r="AD18" s="376" t="s">
        <v>234</v>
      </c>
      <c r="AE18" s="376" t="s">
        <v>279</v>
      </c>
      <c r="AF18" s="376" t="s">
        <v>283</v>
      </c>
      <c r="AG18" s="376" t="s">
        <v>178</v>
      </c>
      <c r="AH18" s="381">
        <v>31.59</v>
      </c>
      <c r="AI18" s="381">
        <v>13737.8</v>
      </c>
      <c r="AJ18" s="376" t="s">
        <v>179</v>
      </c>
      <c r="AK18" s="376" t="s">
        <v>180</v>
      </c>
      <c r="AL18" s="376" t="s">
        <v>181</v>
      </c>
      <c r="AM18" s="376" t="s">
        <v>182</v>
      </c>
      <c r="AN18" s="376" t="s">
        <v>68</v>
      </c>
      <c r="AO18" s="379">
        <v>80</v>
      </c>
      <c r="AP18" s="459">
        <v>1</v>
      </c>
      <c r="AQ18" s="459">
        <v>1</v>
      </c>
      <c r="AR18" s="457" t="s">
        <v>183</v>
      </c>
      <c r="AS18" s="461">
        <f t="shared" si="0"/>
        <v>1</v>
      </c>
      <c r="AT18">
        <f t="shared" si="1"/>
        <v>1</v>
      </c>
      <c r="AU18" s="461">
        <f>IF(AT18=0,"",IF(AND(AT18=1,M18="F",SUMIF(C2:C20,C18,AS2:AS20)&lt;=1),SUMIF(C2:C20,C18,AS2:AS20),IF(AND(AT18=1,M18="F",SUMIF(C2:C20,C18,AS2:AS20)&gt;1),1,"")))</f>
        <v>1</v>
      </c>
      <c r="AV18" s="461" t="str">
        <f>IF(AT18=0,"",IF(AND(AT18=3,M18="F",SUMIF(C2:C20,C18,AS2:AS20)&lt;=1),SUMIF(C2:C20,C18,AS2:AS20),IF(AND(AT18=3,M18="F",SUMIF(C2:C20,C18,AS2:AS20)&gt;1),1,"")))</f>
        <v/>
      </c>
      <c r="AW18" s="461">
        <f>SUMIF(C2:C20,C18,O2:O20)</f>
        <v>1</v>
      </c>
      <c r="AX18" s="461">
        <f>IF(AND(M18="F",AS18&lt;&gt;0),SUMIF(C2:C20,C18,W2:W20),0)</f>
        <v>65707.199999999997</v>
      </c>
      <c r="AY18" s="461">
        <f t="shared" si="2"/>
        <v>65707.199999999997</v>
      </c>
      <c r="AZ18" s="461" t="str">
        <f t="shared" si="3"/>
        <v/>
      </c>
      <c r="BA18" s="461">
        <f t="shared" si="4"/>
        <v>0</v>
      </c>
      <c r="BB18" s="461">
        <f>IF(AND(AT18=1,AK18="E",AU18&gt;=0.75,AW18=1),Health,IF(AND(AT18=1,AK18="E",AU18&gt;=0.75),Health*P18,IF(AND(AT18=1,AK18="E",AU18&gt;=0.5,AW18=1),PTHealth,IF(AND(AT18=1,AK18="E",AU18&gt;=0.5),PTHealth*P18,0))))</f>
        <v>11650</v>
      </c>
      <c r="BC18" s="461">
        <f>IF(AND(AT18=3,AK18="E",AV18&gt;=0.75,AW18=1),Health,IF(AND(AT18=3,AK18="E",AV18&gt;=0.75),Health*P18,IF(AND(AT18=3,AK18="E",AV18&gt;=0.5,AW18=1),PTHealth,IF(AND(AT18=3,AK18="E",AV18&gt;=0.5),PTHealth*P18,0))))</f>
        <v>0</v>
      </c>
      <c r="BD18" s="461">
        <f>IF(AND(AT18&lt;&gt;0,AX18&gt;=MAXSSDI),SSDI*MAXSSDI*P18,IF(AT18&lt;&gt;0,SSDI*W18,0))</f>
        <v>4073.8463999999999</v>
      </c>
      <c r="BE18" s="461">
        <f>IF(AT18&lt;&gt;0,SSHI*W18,0)</f>
        <v>952.75440000000003</v>
      </c>
      <c r="BF18" s="461">
        <f>IF(AND(AT18&lt;&gt;0,AN18&lt;&gt;"NE"),VLOOKUP(AN18,Retirement_Rates,3,FALSE)*W18,0)</f>
        <v>7845.4396800000004</v>
      </c>
      <c r="BG18" s="461">
        <f>IF(AND(AT18&lt;&gt;0,AJ18&lt;&gt;"PF"),Life*W18,0)</f>
        <v>473.74891200000002</v>
      </c>
      <c r="BH18" s="461">
        <f>IF(AND(AT18&lt;&gt;0,AM18="Y"),UI*W18,0)</f>
        <v>321.96527999999995</v>
      </c>
      <c r="BI18" s="461">
        <f>IF(AND(AT18&lt;&gt;0,N18&lt;&gt;"NR"),DHR*W18,0)</f>
        <v>201.06403199999997</v>
      </c>
      <c r="BJ18" s="461">
        <f>IF(AT18&lt;&gt;0,WC*W18,0)</f>
        <v>236.54592</v>
      </c>
      <c r="BK18" s="461">
        <f>IF(OR(AND(AT18&lt;&gt;0,AJ18&lt;&gt;"PF",AN18&lt;&gt;"NE",AG18&lt;&gt;"A"),AND(AL18="E",OR(AT18=1,AT18=3))),Sick*W18,0)</f>
        <v>0</v>
      </c>
      <c r="BL18" s="461">
        <f t="shared" si="5"/>
        <v>14105.364624</v>
      </c>
      <c r="BM18" s="461">
        <f t="shared" si="6"/>
        <v>0</v>
      </c>
      <c r="BN18" s="461">
        <f>IF(AND(AT18=1,AK18="E",AU18&gt;=0.75,AW18=1),HealthBY,IF(AND(AT18=1,AK18="E",AU18&gt;=0.75),HealthBY*P18,IF(AND(AT18=1,AK18="E",AU18&gt;=0.5,AW18=1),PTHealthBY,IF(AND(AT18=1,AK18="E",AU18&gt;=0.5),PTHealthBY*P18,0))))</f>
        <v>11650</v>
      </c>
      <c r="BO18" s="461">
        <f>IF(AND(AT18=3,AK18="E",AV18&gt;=0.75,AW18=1),HealthBY,IF(AND(AT18=3,AK18="E",AV18&gt;=0.75),HealthBY*P18,IF(AND(AT18=3,AK18="E",AV18&gt;=0.5,AW18=1),PTHealthBY,IF(AND(AT18=3,AK18="E",AV18&gt;=0.5),PTHealthBY*P18,0))))</f>
        <v>0</v>
      </c>
      <c r="BP18" s="461">
        <f>IF(AND(AT18&lt;&gt;0,(AX18+BA18)&gt;=MAXSSDIBY),SSDIBY*MAXSSDIBY*P18,IF(AT18&lt;&gt;0,SSDIBY*W18,0))</f>
        <v>4073.8463999999999</v>
      </c>
      <c r="BQ18" s="461">
        <f>IF(AT18&lt;&gt;0,SSHIBY*W18,0)</f>
        <v>952.75440000000003</v>
      </c>
      <c r="BR18" s="461">
        <f>IF(AND(AT18&lt;&gt;0,AN18&lt;&gt;"NE"),VLOOKUP(AN18,Retirement_Rates,4,FALSE)*W18,0)</f>
        <v>7845.4396800000004</v>
      </c>
      <c r="BS18" s="461">
        <f>IF(AND(AT18&lt;&gt;0,AJ18&lt;&gt;"PF"),LifeBY*W18,0)</f>
        <v>473.74891200000002</v>
      </c>
      <c r="BT18" s="461">
        <f>IF(AND(AT18&lt;&gt;0,AM18="Y"),UIBY*W18,0)</f>
        <v>0</v>
      </c>
      <c r="BU18" s="461">
        <f>IF(AND(AT18&lt;&gt;0,N18&lt;&gt;"NR"),DHRBY*W18,0)</f>
        <v>201.06403199999997</v>
      </c>
      <c r="BV18" s="461">
        <f>IF(AT18&lt;&gt;0,WCBY*W18,0)</f>
        <v>216.83375999999998</v>
      </c>
      <c r="BW18" s="461">
        <f>IF(OR(AND(AT18&lt;&gt;0,AJ18&lt;&gt;"PF",AN18&lt;&gt;"NE",AG18&lt;&gt;"A"),AND(AL18="E",OR(AT18=1,AT18=3))),SickBY*W18,0)</f>
        <v>0</v>
      </c>
      <c r="BX18" s="461">
        <f t="shared" si="7"/>
        <v>13763.687183999999</v>
      </c>
      <c r="BY18" s="461">
        <f t="shared" si="8"/>
        <v>0</v>
      </c>
      <c r="BZ18" s="461">
        <f t="shared" si="9"/>
        <v>0</v>
      </c>
      <c r="CA18" s="461">
        <f t="shared" si="10"/>
        <v>0</v>
      </c>
      <c r="CB18" s="461">
        <f t="shared" si="11"/>
        <v>0</v>
      </c>
      <c r="CC18" s="461">
        <f>IF(AT18&lt;&gt;0,SSHICHG*Y18,0)</f>
        <v>0</v>
      </c>
      <c r="CD18" s="461">
        <f>IF(AND(AT18&lt;&gt;0,AN18&lt;&gt;"NE"),VLOOKUP(AN18,Retirement_Rates,5,FALSE)*Y18,0)</f>
        <v>0</v>
      </c>
      <c r="CE18" s="461">
        <f>IF(AND(AT18&lt;&gt;0,AJ18&lt;&gt;"PF"),LifeCHG*Y18,0)</f>
        <v>0</v>
      </c>
      <c r="CF18" s="461">
        <f>IF(AND(AT18&lt;&gt;0,AM18="Y"),UICHG*Y18,0)</f>
        <v>-321.96527999999995</v>
      </c>
      <c r="CG18" s="461">
        <f>IF(AND(AT18&lt;&gt;0,N18&lt;&gt;"NR"),DHRCHG*Y18,0)</f>
        <v>0</v>
      </c>
      <c r="CH18" s="461">
        <f>IF(AT18&lt;&gt;0,WCCHG*Y18,0)</f>
        <v>-19.712159999999994</v>
      </c>
      <c r="CI18" s="461">
        <f>IF(OR(AND(AT18&lt;&gt;0,AJ18&lt;&gt;"PF",AN18&lt;&gt;"NE",AG18&lt;&gt;"A"),AND(AL18="E",OR(AT18=1,AT18=3))),SickCHG*Y18,0)</f>
        <v>0</v>
      </c>
      <c r="CJ18" s="461">
        <f t="shared" si="12"/>
        <v>-341.67743999999993</v>
      </c>
      <c r="CK18" s="461" t="str">
        <f t="shared" si="13"/>
        <v/>
      </c>
      <c r="CL18" s="461" t="str">
        <f t="shared" si="14"/>
        <v/>
      </c>
      <c r="CM18" s="461" t="str">
        <f t="shared" si="15"/>
        <v/>
      </c>
      <c r="CN18" s="461" t="str">
        <f t="shared" si="16"/>
        <v>0475-12</v>
      </c>
    </row>
    <row r="19" spans="1:92" ht="15" thickBot="1" x14ac:dyDescent="0.35">
      <c r="A19" s="376" t="s">
        <v>161</v>
      </c>
      <c r="B19" s="376" t="s">
        <v>162</v>
      </c>
      <c r="C19" s="376" t="s">
        <v>284</v>
      </c>
      <c r="D19" s="376" t="s">
        <v>285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286</v>
      </c>
      <c r="L19" s="376" t="s">
        <v>209</v>
      </c>
      <c r="M19" s="376" t="s">
        <v>171</v>
      </c>
      <c r="N19" s="376" t="s">
        <v>172</v>
      </c>
      <c r="O19" s="379">
        <v>1</v>
      </c>
      <c r="P19" s="459">
        <v>1</v>
      </c>
      <c r="Q19" s="459">
        <v>1</v>
      </c>
      <c r="R19" s="380">
        <v>80</v>
      </c>
      <c r="S19" s="459">
        <v>1</v>
      </c>
      <c r="T19" s="380">
        <v>57082</v>
      </c>
      <c r="U19" s="380">
        <v>0</v>
      </c>
      <c r="V19" s="380">
        <v>23418.76</v>
      </c>
      <c r="W19" s="380">
        <v>56492.800000000003</v>
      </c>
      <c r="X19" s="380">
        <v>23777.279999999999</v>
      </c>
      <c r="Y19" s="380">
        <v>56492.800000000003</v>
      </c>
      <c r="Z19" s="380">
        <v>23483.52</v>
      </c>
      <c r="AA19" s="376" t="s">
        <v>287</v>
      </c>
      <c r="AB19" s="376" t="s">
        <v>288</v>
      </c>
      <c r="AC19" s="376" t="s">
        <v>289</v>
      </c>
      <c r="AD19" s="376" t="s">
        <v>269</v>
      </c>
      <c r="AE19" s="376" t="s">
        <v>286</v>
      </c>
      <c r="AF19" s="376" t="s">
        <v>283</v>
      </c>
      <c r="AG19" s="376" t="s">
        <v>178</v>
      </c>
      <c r="AH19" s="381">
        <v>27.16</v>
      </c>
      <c r="AI19" s="381">
        <v>8212.7999999999993</v>
      </c>
      <c r="AJ19" s="376" t="s">
        <v>179</v>
      </c>
      <c r="AK19" s="376" t="s">
        <v>180</v>
      </c>
      <c r="AL19" s="376" t="s">
        <v>181</v>
      </c>
      <c r="AM19" s="376" t="s">
        <v>182</v>
      </c>
      <c r="AN19" s="376" t="s">
        <v>68</v>
      </c>
      <c r="AO19" s="379">
        <v>80</v>
      </c>
      <c r="AP19" s="459">
        <v>1</v>
      </c>
      <c r="AQ19" s="459">
        <v>1</v>
      </c>
      <c r="AR19" s="457" t="s">
        <v>183</v>
      </c>
      <c r="AS19" s="461">
        <f t="shared" si="0"/>
        <v>1</v>
      </c>
      <c r="AT19">
        <f t="shared" si="1"/>
        <v>1</v>
      </c>
      <c r="AU19" s="461">
        <f>IF(AT19=0,"",IF(AND(AT19=1,M19="F",SUMIF(C2:C20,C19,AS2:AS20)&lt;=1),SUMIF(C2:C20,C19,AS2:AS20),IF(AND(AT19=1,M19="F",SUMIF(C2:C20,C19,AS2:AS20)&gt;1),1,"")))</f>
        <v>1</v>
      </c>
      <c r="AV19" s="461" t="str">
        <f>IF(AT19=0,"",IF(AND(AT19=3,M19="F",SUMIF(C2:C20,C19,AS2:AS20)&lt;=1),SUMIF(C2:C20,C19,AS2:AS20),IF(AND(AT19=3,M19="F",SUMIF(C2:C20,C19,AS2:AS20)&gt;1),1,"")))</f>
        <v/>
      </c>
      <c r="AW19" s="461">
        <f>SUMIF(C2:C20,C19,O2:O20)</f>
        <v>1</v>
      </c>
      <c r="AX19" s="461">
        <f>IF(AND(M19="F",AS19&lt;&gt;0),SUMIF(C2:C20,C19,W2:W20),0)</f>
        <v>56492.800000000003</v>
      </c>
      <c r="AY19" s="461">
        <f t="shared" si="2"/>
        <v>56492.800000000003</v>
      </c>
      <c r="AZ19" s="461" t="str">
        <f t="shared" si="3"/>
        <v/>
      </c>
      <c r="BA19" s="461">
        <f t="shared" si="4"/>
        <v>0</v>
      </c>
      <c r="BB19" s="461">
        <f>IF(AND(AT19=1,AK19="E",AU19&gt;=0.75,AW19=1),Health,IF(AND(AT19=1,AK19="E",AU19&gt;=0.75),Health*P19,IF(AND(AT19=1,AK19="E",AU19&gt;=0.5,AW19=1),PTHealth,IF(AND(AT19=1,AK19="E",AU19&gt;=0.5),PTHealth*P19,0))))</f>
        <v>11650</v>
      </c>
      <c r="BC19" s="461">
        <f>IF(AND(AT19=3,AK19="E",AV19&gt;=0.75,AW19=1),Health,IF(AND(AT19=3,AK19="E",AV19&gt;=0.75),Health*P19,IF(AND(AT19=3,AK19="E",AV19&gt;=0.5,AW19=1),PTHealth,IF(AND(AT19=3,AK19="E",AV19&gt;=0.5),PTHealth*P19,0))))</f>
        <v>0</v>
      </c>
      <c r="BD19" s="461">
        <f>IF(AND(AT19&lt;&gt;0,AX19&gt;=MAXSSDI),SSDI*MAXSSDI*P19,IF(AT19&lt;&gt;0,SSDI*W19,0))</f>
        <v>3502.5536000000002</v>
      </c>
      <c r="BE19" s="461">
        <f>IF(AT19&lt;&gt;0,SSHI*W19,0)</f>
        <v>819.14560000000006</v>
      </c>
      <c r="BF19" s="461">
        <f>IF(AND(AT19&lt;&gt;0,AN19&lt;&gt;"NE"),VLOOKUP(AN19,Retirement_Rates,3,FALSE)*W19,0)</f>
        <v>6745.2403200000008</v>
      </c>
      <c r="BG19" s="461">
        <f>IF(AND(AT19&lt;&gt;0,AJ19&lt;&gt;"PF"),Life*W19,0)</f>
        <v>407.31308800000005</v>
      </c>
      <c r="BH19" s="461">
        <f>IF(AND(AT19&lt;&gt;0,AM19="Y"),UI*W19,0)</f>
        <v>276.81472000000002</v>
      </c>
      <c r="BI19" s="461">
        <f>IF(AND(AT19&lt;&gt;0,N19&lt;&gt;"NR"),DHR*W19,0)</f>
        <v>172.86796799999999</v>
      </c>
      <c r="BJ19" s="461">
        <f>IF(AT19&lt;&gt;0,WC*W19,0)</f>
        <v>203.37407999999999</v>
      </c>
      <c r="BK19" s="461">
        <f>IF(OR(AND(AT19&lt;&gt;0,AJ19&lt;&gt;"PF",AN19&lt;&gt;"NE",AG19&lt;&gt;"A"),AND(AL19="E",OR(AT19=1,AT19=3))),Sick*W19,0)</f>
        <v>0</v>
      </c>
      <c r="BL19" s="461">
        <f t="shared" si="5"/>
        <v>12127.309376000001</v>
      </c>
      <c r="BM19" s="461">
        <f t="shared" si="6"/>
        <v>0</v>
      </c>
      <c r="BN19" s="461">
        <f>IF(AND(AT19=1,AK19="E",AU19&gt;=0.75,AW19=1),HealthBY,IF(AND(AT19=1,AK19="E",AU19&gt;=0.75),HealthBY*P19,IF(AND(AT19=1,AK19="E",AU19&gt;=0.5,AW19=1),PTHealthBY,IF(AND(AT19=1,AK19="E",AU19&gt;=0.5),PTHealthBY*P19,0))))</f>
        <v>11650</v>
      </c>
      <c r="BO19" s="461">
        <f>IF(AND(AT19=3,AK19="E",AV19&gt;=0.75,AW19=1),HealthBY,IF(AND(AT19=3,AK19="E",AV19&gt;=0.75),HealthBY*P19,IF(AND(AT19=3,AK19="E",AV19&gt;=0.5,AW19=1),PTHealthBY,IF(AND(AT19=3,AK19="E",AV19&gt;=0.5),PTHealthBY*P19,0))))</f>
        <v>0</v>
      </c>
      <c r="BP19" s="461">
        <f>IF(AND(AT19&lt;&gt;0,(AX19+BA19)&gt;=MAXSSDIBY),SSDIBY*MAXSSDIBY*P19,IF(AT19&lt;&gt;0,SSDIBY*W19,0))</f>
        <v>3502.5536000000002</v>
      </c>
      <c r="BQ19" s="461">
        <f>IF(AT19&lt;&gt;0,SSHIBY*W19,0)</f>
        <v>819.14560000000006</v>
      </c>
      <c r="BR19" s="461">
        <f>IF(AND(AT19&lt;&gt;0,AN19&lt;&gt;"NE"),VLOOKUP(AN19,Retirement_Rates,4,FALSE)*W19,0)</f>
        <v>6745.2403200000008</v>
      </c>
      <c r="BS19" s="461">
        <f>IF(AND(AT19&lt;&gt;0,AJ19&lt;&gt;"PF"),LifeBY*W19,0)</f>
        <v>407.31308800000005</v>
      </c>
      <c r="BT19" s="461">
        <f>IF(AND(AT19&lt;&gt;0,AM19="Y"),UIBY*W19,0)</f>
        <v>0</v>
      </c>
      <c r="BU19" s="461">
        <f>IF(AND(AT19&lt;&gt;0,N19&lt;&gt;"NR"),DHRBY*W19,0)</f>
        <v>172.86796799999999</v>
      </c>
      <c r="BV19" s="461">
        <f>IF(AT19&lt;&gt;0,WCBY*W19,0)</f>
        <v>186.42624000000001</v>
      </c>
      <c r="BW19" s="461">
        <f>IF(OR(AND(AT19&lt;&gt;0,AJ19&lt;&gt;"PF",AN19&lt;&gt;"NE",AG19&lt;&gt;"A"),AND(AL19="E",OR(AT19=1,AT19=3))),SickBY*W19,0)</f>
        <v>0</v>
      </c>
      <c r="BX19" s="461">
        <f t="shared" si="7"/>
        <v>11833.546816000002</v>
      </c>
      <c r="BY19" s="461">
        <f t="shared" si="8"/>
        <v>0</v>
      </c>
      <c r="BZ19" s="461">
        <f t="shared" si="9"/>
        <v>0</v>
      </c>
      <c r="CA19" s="461">
        <f t="shared" si="10"/>
        <v>0</v>
      </c>
      <c r="CB19" s="461">
        <f t="shared" si="11"/>
        <v>0</v>
      </c>
      <c r="CC19" s="461">
        <f>IF(AT19&lt;&gt;0,SSHICHG*Y19,0)</f>
        <v>0</v>
      </c>
      <c r="CD19" s="461">
        <f>IF(AND(AT19&lt;&gt;0,AN19&lt;&gt;"NE"),VLOOKUP(AN19,Retirement_Rates,5,FALSE)*Y19,0)</f>
        <v>0</v>
      </c>
      <c r="CE19" s="461">
        <f>IF(AND(AT19&lt;&gt;0,AJ19&lt;&gt;"PF"),LifeCHG*Y19,0)</f>
        <v>0</v>
      </c>
      <c r="CF19" s="461">
        <f>IF(AND(AT19&lt;&gt;0,AM19="Y"),UICHG*Y19,0)</f>
        <v>-276.81472000000002</v>
      </c>
      <c r="CG19" s="461">
        <f>IF(AND(AT19&lt;&gt;0,N19&lt;&gt;"NR"),DHRCHG*Y19,0)</f>
        <v>0</v>
      </c>
      <c r="CH19" s="461">
        <f>IF(AT19&lt;&gt;0,WCCHG*Y19,0)</f>
        <v>-16.947839999999996</v>
      </c>
      <c r="CI19" s="461">
        <f>IF(OR(AND(AT19&lt;&gt;0,AJ19&lt;&gt;"PF",AN19&lt;&gt;"NE",AG19&lt;&gt;"A"),AND(AL19="E",OR(AT19=1,AT19=3))),SickCHG*Y19,0)</f>
        <v>0</v>
      </c>
      <c r="CJ19" s="461">
        <f t="shared" si="12"/>
        <v>-293.76256000000001</v>
      </c>
      <c r="CK19" s="461" t="str">
        <f t="shared" si="13"/>
        <v/>
      </c>
      <c r="CL19" s="461" t="str">
        <f t="shared" si="14"/>
        <v/>
      </c>
      <c r="CM19" s="461" t="str">
        <f t="shared" si="15"/>
        <v/>
      </c>
      <c r="CN19" s="461" t="str">
        <f t="shared" si="16"/>
        <v>0475-12</v>
      </c>
    </row>
    <row r="20" spans="1:92" ht="15" thickBot="1" x14ac:dyDescent="0.35">
      <c r="A20" s="376" t="s">
        <v>161</v>
      </c>
      <c r="B20" s="376" t="s">
        <v>162</v>
      </c>
      <c r="C20" s="376" t="s">
        <v>290</v>
      </c>
      <c r="D20" s="376" t="s">
        <v>291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292</v>
      </c>
      <c r="L20" s="376" t="s">
        <v>293</v>
      </c>
      <c r="M20" s="376" t="s">
        <v>171</v>
      </c>
      <c r="N20" s="376" t="s">
        <v>172</v>
      </c>
      <c r="O20" s="379">
        <v>1</v>
      </c>
      <c r="P20" s="459">
        <v>1</v>
      </c>
      <c r="Q20" s="459">
        <v>1</v>
      </c>
      <c r="R20" s="380">
        <v>80</v>
      </c>
      <c r="S20" s="459">
        <v>1</v>
      </c>
      <c r="T20" s="380">
        <v>45637.2</v>
      </c>
      <c r="U20" s="380">
        <v>0</v>
      </c>
      <c r="V20" s="380">
        <v>21209.82</v>
      </c>
      <c r="W20" s="380">
        <v>47361.599999999999</v>
      </c>
      <c r="X20" s="380">
        <v>21817.08</v>
      </c>
      <c r="Y20" s="380">
        <v>47361.599999999999</v>
      </c>
      <c r="Z20" s="380">
        <v>21570.799999999999</v>
      </c>
      <c r="AA20" s="376" t="s">
        <v>294</v>
      </c>
      <c r="AB20" s="376" t="s">
        <v>295</v>
      </c>
      <c r="AC20" s="376" t="s">
        <v>296</v>
      </c>
      <c r="AD20" s="376" t="s">
        <v>297</v>
      </c>
      <c r="AE20" s="376" t="s">
        <v>292</v>
      </c>
      <c r="AF20" s="376" t="s">
        <v>298</v>
      </c>
      <c r="AG20" s="376" t="s">
        <v>178</v>
      </c>
      <c r="AH20" s="381">
        <v>22.77</v>
      </c>
      <c r="AI20" s="381">
        <v>4239.5</v>
      </c>
      <c r="AJ20" s="376" t="s">
        <v>179</v>
      </c>
      <c r="AK20" s="376" t="s">
        <v>180</v>
      </c>
      <c r="AL20" s="376" t="s">
        <v>181</v>
      </c>
      <c r="AM20" s="376" t="s">
        <v>182</v>
      </c>
      <c r="AN20" s="376" t="s">
        <v>68</v>
      </c>
      <c r="AO20" s="379">
        <v>80</v>
      </c>
      <c r="AP20" s="459">
        <v>1</v>
      </c>
      <c r="AQ20" s="459">
        <v>1</v>
      </c>
      <c r="AR20" s="457" t="s">
        <v>183</v>
      </c>
      <c r="AS20" s="461">
        <f t="shared" si="0"/>
        <v>1</v>
      </c>
      <c r="AT20">
        <f t="shared" si="1"/>
        <v>1</v>
      </c>
      <c r="AU20" s="461">
        <f>IF(AT20=0,"",IF(AND(AT20=1,M20="F",SUMIF(C2:C20,C20,AS2:AS20)&lt;=1),SUMIF(C2:C20,C20,AS2:AS20),IF(AND(AT20=1,M20="F",SUMIF(C2:C20,C20,AS2:AS20)&gt;1),1,"")))</f>
        <v>1</v>
      </c>
      <c r="AV20" s="461" t="str">
        <f>IF(AT20=0,"",IF(AND(AT20=3,M20="F",SUMIF(C2:C20,C20,AS2:AS20)&lt;=1),SUMIF(C2:C20,C20,AS2:AS20),IF(AND(AT20=3,M20="F",SUMIF(C2:C20,C20,AS2:AS20)&gt;1),1,"")))</f>
        <v/>
      </c>
      <c r="AW20" s="461">
        <f>SUMIF(C2:C20,C20,O2:O20)</f>
        <v>1</v>
      </c>
      <c r="AX20" s="461">
        <f>IF(AND(M20="F",AS20&lt;&gt;0),SUMIF(C2:C20,C20,W2:W20),0)</f>
        <v>47361.599999999999</v>
      </c>
      <c r="AY20" s="461">
        <f t="shared" si="2"/>
        <v>47361.599999999999</v>
      </c>
      <c r="AZ20" s="461" t="str">
        <f t="shared" si="3"/>
        <v/>
      </c>
      <c r="BA20" s="461">
        <f t="shared" si="4"/>
        <v>0</v>
      </c>
      <c r="BB20" s="461">
        <f>IF(AND(AT20=1,AK20="E",AU20&gt;=0.75,AW20=1),Health,IF(AND(AT20=1,AK20="E",AU20&gt;=0.75),Health*P20,IF(AND(AT20=1,AK20="E",AU20&gt;=0.5,AW20=1),PTHealth,IF(AND(AT20=1,AK20="E",AU20&gt;=0.5),PTHealth*P20,0))))</f>
        <v>11650</v>
      </c>
      <c r="BC20" s="461">
        <f>IF(AND(AT20=3,AK20="E",AV20&gt;=0.75,AW20=1),Health,IF(AND(AT20=3,AK20="E",AV20&gt;=0.75),Health*P20,IF(AND(AT20=3,AK20="E",AV20&gt;=0.5,AW20=1),PTHealth,IF(AND(AT20=3,AK20="E",AV20&gt;=0.5),PTHealth*P20,0))))</f>
        <v>0</v>
      </c>
      <c r="BD20" s="461">
        <f>IF(AND(AT20&lt;&gt;0,AX20&gt;=MAXSSDI),SSDI*MAXSSDI*P20,IF(AT20&lt;&gt;0,SSDI*W20,0))</f>
        <v>2936.4191999999998</v>
      </c>
      <c r="BE20" s="461">
        <f>IF(AT20&lt;&gt;0,SSHI*W20,0)</f>
        <v>686.7432</v>
      </c>
      <c r="BF20" s="461">
        <f>IF(AND(AT20&lt;&gt;0,AN20&lt;&gt;"NE"),VLOOKUP(AN20,Retirement_Rates,3,FALSE)*W20,0)</f>
        <v>5654.9750400000003</v>
      </c>
      <c r="BG20" s="461">
        <f>IF(AND(AT20&lt;&gt;0,AJ20&lt;&gt;"PF"),Life*W20,0)</f>
        <v>341.47713600000003</v>
      </c>
      <c r="BH20" s="461">
        <f>IF(AND(AT20&lt;&gt;0,AM20="Y"),UI*W20,0)</f>
        <v>232.07183999999998</v>
      </c>
      <c r="BI20" s="461">
        <f>IF(AND(AT20&lt;&gt;0,N20&lt;&gt;"NR"),DHR*W20,0)</f>
        <v>144.92649599999999</v>
      </c>
      <c r="BJ20" s="461">
        <f>IF(AT20&lt;&gt;0,WC*W20,0)</f>
        <v>170.50175999999999</v>
      </c>
      <c r="BK20" s="461">
        <f>IF(OR(AND(AT20&lt;&gt;0,AJ20&lt;&gt;"PF",AN20&lt;&gt;"NE",AG20&lt;&gt;"A"),AND(AL20="E",OR(AT20=1,AT20=3))),Sick*W20,0)</f>
        <v>0</v>
      </c>
      <c r="BL20" s="461">
        <f t="shared" si="5"/>
        <v>10167.114672</v>
      </c>
      <c r="BM20" s="461">
        <f t="shared" si="6"/>
        <v>0</v>
      </c>
      <c r="BN20" s="461">
        <f>IF(AND(AT20=1,AK20="E",AU20&gt;=0.75,AW20=1),HealthBY,IF(AND(AT20=1,AK20="E",AU20&gt;=0.75),HealthBY*P20,IF(AND(AT20=1,AK20="E",AU20&gt;=0.5,AW20=1),PTHealthBY,IF(AND(AT20=1,AK20="E",AU20&gt;=0.5),PTHealthBY*P20,0))))</f>
        <v>11650</v>
      </c>
      <c r="BO20" s="461">
        <f>IF(AND(AT20=3,AK20="E",AV20&gt;=0.75,AW20=1),HealthBY,IF(AND(AT20=3,AK20="E",AV20&gt;=0.75),HealthBY*P20,IF(AND(AT20=3,AK20="E",AV20&gt;=0.5,AW20=1),PTHealthBY,IF(AND(AT20=3,AK20="E",AV20&gt;=0.5),PTHealthBY*P20,0))))</f>
        <v>0</v>
      </c>
      <c r="BP20" s="461">
        <f>IF(AND(AT20&lt;&gt;0,(AX20+BA20)&gt;=MAXSSDIBY),SSDIBY*MAXSSDIBY*P20,IF(AT20&lt;&gt;0,SSDIBY*W20,0))</f>
        <v>2936.4191999999998</v>
      </c>
      <c r="BQ20" s="461">
        <f>IF(AT20&lt;&gt;0,SSHIBY*W20,0)</f>
        <v>686.7432</v>
      </c>
      <c r="BR20" s="461">
        <f>IF(AND(AT20&lt;&gt;0,AN20&lt;&gt;"NE"),VLOOKUP(AN20,Retirement_Rates,4,FALSE)*W20,0)</f>
        <v>5654.9750400000003</v>
      </c>
      <c r="BS20" s="461">
        <f>IF(AND(AT20&lt;&gt;0,AJ20&lt;&gt;"PF"),LifeBY*W20,0)</f>
        <v>341.47713600000003</v>
      </c>
      <c r="BT20" s="461">
        <f>IF(AND(AT20&lt;&gt;0,AM20="Y"),UIBY*W20,0)</f>
        <v>0</v>
      </c>
      <c r="BU20" s="461">
        <f>IF(AND(AT20&lt;&gt;0,N20&lt;&gt;"NR"),DHRBY*W20,0)</f>
        <v>144.92649599999999</v>
      </c>
      <c r="BV20" s="461">
        <f>IF(AT20&lt;&gt;0,WCBY*W20,0)</f>
        <v>156.29327999999998</v>
      </c>
      <c r="BW20" s="461">
        <f>IF(OR(AND(AT20&lt;&gt;0,AJ20&lt;&gt;"PF",AN20&lt;&gt;"NE",AG20&lt;&gt;"A"),AND(AL20="E",OR(AT20=1,AT20=3))),SickBY*W20,0)</f>
        <v>0</v>
      </c>
      <c r="BX20" s="461">
        <f t="shared" si="7"/>
        <v>9920.8343519999999</v>
      </c>
      <c r="BY20" s="461">
        <f t="shared" si="8"/>
        <v>0</v>
      </c>
      <c r="BZ20" s="461">
        <f t="shared" si="9"/>
        <v>0</v>
      </c>
      <c r="CA20" s="461">
        <f t="shared" si="10"/>
        <v>0</v>
      </c>
      <c r="CB20" s="461">
        <f t="shared" si="11"/>
        <v>0</v>
      </c>
      <c r="CC20" s="461">
        <f>IF(AT20&lt;&gt;0,SSHICHG*Y20,0)</f>
        <v>0</v>
      </c>
      <c r="CD20" s="461">
        <f>IF(AND(AT20&lt;&gt;0,AN20&lt;&gt;"NE"),VLOOKUP(AN20,Retirement_Rates,5,FALSE)*Y20,0)</f>
        <v>0</v>
      </c>
      <c r="CE20" s="461">
        <f>IF(AND(AT20&lt;&gt;0,AJ20&lt;&gt;"PF"),LifeCHG*Y20,0)</f>
        <v>0</v>
      </c>
      <c r="CF20" s="461">
        <f>IF(AND(AT20&lt;&gt;0,AM20="Y"),UICHG*Y20,0)</f>
        <v>-232.07183999999998</v>
      </c>
      <c r="CG20" s="461">
        <f>IF(AND(AT20&lt;&gt;0,N20&lt;&gt;"NR"),DHRCHG*Y20,0)</f>
        <v>0</v>
      </c>
      <c r="CH20" s="461">
        <f>IF(AT20&lt;&gt;0,WCCHG*Y20,0)</f>
        <v>-14.208479999999996</v>
      </c>
      <c r="CI20" s="461">
        <f>IF(OR(AND(AT20&lt;&gt;0,AJ20&lt;&gt;"PF",AN20&lt;&gt;"NE",AG20&lt;&gt;"A"),AND(AL20="E",OR(AT20=1,AT20=3))),SickCHG*Y20,0)</f>
        <v>0</v>
      </c>
      <c r="CJ20" s="461">
        <f t="shared" si="12"/>
        <v>-246.28031999999999</v>
      </c>
      <c r="CK20" s="461" t="str">
        <f t="shared" si="13"/>
        <v/>
      </c>
      <c r="CL20" s="461" t="str">
        <f t="shared" si="14"/>
        <v/>
      </c>
      <c r="CM20" s="461" t="str">
        <f t="shared" si="15"/>
        <v/>
      </c>
      <c r="CN20" s="461" t="str">
        <f t="shared" si="16"/>
        <v>0475-12</v>
      </c>
    </row>
    <row r="22" spans="1:92" ht="21" x14ac:dyDescent="0.4">
      <c r="AQ22" s="251" t="s">
        <v>354</v>
      </c>
    </row>
    <row r="23" spans="1:92" ht="15" thickBot="1" x14ac:dyDescent="0.35">
      <c r="AR23" t="s">
        <v>347</v>
      </c>
      <c r="AS23" s="461">
        <f>SUMIFS(AS2:AS20,G2:G20,"GVHR",E2:E20,"0475",F2:F20,"12",AT2:AT20,1)</f>
        <v>17</v>
      </c>
      <c r="AT23" s="461">
        <f>SUMIFS(AS2:AS20,G2:G20,"GVHR",E2:E20,"0475",F2:F20,"12",AT2:AT20,3)</f>
        <v>0</v>
      </c>
      <c r="AU23" s="461">
        <f>SUMIFS(AU2:AU20,G2:G20,"GVHR",E2:E20,"0475",F2:F20,"12")</f>
        <v>17</v>
      </c>
      <c r="AV23" s="461">
        <f>SUMIFS(AV2:AV20,G2:G20,"GVHR",E2:E20,"0475",F2:F20,"12")</f>
        <v>0</v>
      </c>
      <c r="AW23" s="461">
        <f>SUMIFS(AW2:AW20,G2:G20,"GVHR",E2:E20,"0475",F2:F20,"12")</f>
        <v>17</v>
      </c>
      <c r="AX23" s="461">
        <f>SUMIFS(AX2:AX20,G2:G20,"GVHR",E2:E20,"0475",F2:F20,"12")</f>
        <v>1253012.8</v>
      </c>
      <c r="AY23" s="461">
        <f>SUMIFS(AY2:AY20,G2:G20,"GVHR",E2:E20,"0475",F2:F20,"12")</f>
        <v>1253012.8</v>
      </c>
      <c r="AZ23" s="461">
        <f>SUMIFS(AZ2:AZ20,G2:G20,"GVHR",E2:E20,"0475",F2:F20,"12")</f>
        <v>0</v>
      </c>
      <c r="BA23" s="461">
        <f>SUMIFS(BA2:BA20,G2:G20,"GVHR",E2:E20,"0475",F2:F20,"12")</f>
        <v>0</v>
      </c>
      <c r="BB23" s="461">
        <f>SUMIFS(BB2:BB20,G2:G20,"GVHR",E2:E20,"0475",F2:F20,"12")</f>
        <v>198050</v>
      </c>
      <c r="BC23" s="461">
        <f>SUMIFS(BC2:BC20,G2:G20,"GVHR",E2:E20,"0475",F2:F20,"12")</f>
        <v>0</v>
      </c>
      <c r="BD23" s="461">
        <f>SUMIFS(BD2:BD20,G2:G20,"GVHR",E2:E20,"0475",F2:F20,"12")</f>
        <v>76923.598400000003</v>
      </c>
      <c r="BE23" s="461">
        <f>SUMIFS(BE2:BE20,G2:G20,"GVHR",E2:E20,"0475",F2:F20,"12")</f>
        <v>18168.685600000001</v>
      </c>
      <c r="BF23" s="461">
        <f>SUMIFS(BF2:BF20,G2:G20,"GVHR",E2:E20,"0475",F2:F20,"12")</f>
        <v>149609.72832000002</v>
      </c>
      <c r="BG23" s="461">
        <f>SUMIFS(BG2:BG20,G2:G20,"GVHR",E2:E20,"0475",F2:F20,"12")</f>
        <v>9034.2222880000008</v>
      </c>
      <c r="BH23" s="461">
        <f>SUMIFS(BH2:BH20,G2:G20,"GVHR",E2:E20,"0475",F2:F20,"12")</f>
        <v>5404.7156800000002</v>
      </c>
      <c r="BI23" s="461">
        <f>SUMIFS(BI2:BI20,G2:G20,"GVHR",E2:E20,"0475",F2:F20,"12")</f>
        <v>3204.740448</v>
      </c>
      <c r="BJ23" s="461">
        <f>SUMIFS(BJ2:BJ20,G2:G20,"GVHR",E2:E20,"0475",F2:F20,"12")</f>
        <v>4510.8460799999993</v>
      </c>
      <c r="BK23" s="461">
        <f>SUMIFS(BK2:BK20,G2:G20,"GVHR",E2:E20,"0475",F2:F20,"12")</f>
        <v>0</v>
      </c>
      <c r="BL23" s="461">
        <f>SUMIFS(BL2:BL20,G2:G20,"GVHR",E2:E20,"0475",F2:F20,"12")</f>
        <v>266856.53681599995</v>
      </c>
      <c r="BM23" s="461">
        <f>SUMIFS(BM2:BM20,G2:G20,"GVHR",E2:E20,"0475",F2:F20,"12")</f>
        <v>0</v>
      </c>
      <c r="BN23" s="461">
        <f>SUMIFS(BN2:BN20,G2:G20,"GVHR",E2:E20,"0475",F2:F20,"12")</f>
        <v>198050</v>
      </c>
      <c r="BO23" s="461">
        <f>SUMIFS(BO2:BO20,G2:G20,"GVHR",E2:E20,"0475",F2:F20,"12")</f>
        <v>0</v>
      </c>
      <c r="BP23" s="461">
        <f>SUMIFS(BP2:BP20,G2:G20,"GVHR",E2:E20,"0475",F2:F20,"12")</f>
        <v>77239.7984</v>
      </c>
      <c r="BQ23" s="461">
        <f>SUMIFS(BQ2:BQ20,G2:G20,"GVHR",E2:E20,"0475",F2:F20,"12")</f>
        <v>18168.685600000001</v>
      </c>
      <c r="BR23" s="461">
        <f>SUMIFS(BR2:BR20,G2:G20,"GVHR",E2:E20,"0475",F2:F20,"12")</f>
        <v>149609.72832000002</v>
      </c>
      <c r="BS23" s="461">
        <f>SUMIFS(BS2:BS20,G2:G20,"GVHR",E2:E20,"0475",F2:F20,"12")</f>
        <v>9034.2222880000008</v>
      </c>
      <c r="BT23" s="461">
        <f>SUMIFS(BT2:BT20,G2:G20,"GVHR",E2:E20,"0475",F2:F20,"12")</f>
        <v>0</v>
      </c>
      <c r="BU23" s="461">
        <f>SUMIFS(BU2:BU20,G2:G20,"GVHR",E2:E20,"0475",F2:F20,"12")</f>
        <v>3204.740448</v>
      </c>
      <c r="BV23" s="461">
        <f>SUMIFS(BV2:BV20,G2:G20,"GVHR",E2:E20,"0475",F2:F20,"12")</f>
        <v>4134.9422399999994</v>
      </c>
      <c r="BW23" s="461">
        <f>SUMIFS(BW2:BW20,G2:G20,"GVHR",E2:E20,"0475",F2:F20,"12")</f>
        <v>0</v>
      </c>
      <c r="BX23" s="461">
        <f>SUMIFS(BX2:BX20,G2:G20,"GVHR",E2:E20,"0475",F2:F20,"12")</f>
        <v>261392.11729600004</v>
      </c>
      <c r="BY23" s="461">
        <f>SUMIFS(BY2:BY20,G2:G20,"GVHR",E2:E20,"0475",F2:F20,"12")</f>
        <v>0</v>
      </c>
      <c r="BZ23" s="461">
        <f>SUMIFS(BZ2:BZ20,G2:G20,"GVHR",E2:E20,"0475",F2:F20,"12")</f>
        <v>0</v>
      </c>
      <c r="CA23" s="461">
        <f>SUMIFS(CA2:CA20,G2:G20,"GVHR",E2:E20,"0475",F2:F20,"12")</f>
        <v>0</v>
      </c>
      <c r="CB23" s="461">
        <f>SUMIFS(CB2:CB20,G2:G20,"GVHR",E2:E20,"0475",F2:F20,"12")</f>
        <v>316.20000000000073</v>
      </c>
      <c r="CC23" s="461">
        <f>SUMIFS(CC2:CC20,G2:G20,"GVHR",E2:E20,"0475",F2:F20,"12")</f>
        <v>0</v>
      </c>
      <c r="CD23" s="461">
        <f>SUMIFS(CD2:CD20,G2:G20,"GVHR",E2:E20,"0475",F2:F20,"12")</f>
        <v>0</v>
      </c>
      <c r="CE23" s="461">
        <f>SUMIFS(CE2:CE20,G2:G20,"GVHR",E2:E20,"0475",F2:F20,"12")</f>
        <v>0</v>
      </c>
      <c r="CF23" s="461">
        <f>SUMIFS(CF2:CF20,G2:G20,"GVHR",E2:E20,"0475",F2:F20,"12")</f>
        <v>-5404.7156800000002</v>
      </c>
      <c r="CG23" s="461">
        <f>SUMIFS(CG2:CG20,G2:G20,"GVHR",E2:E20,"0475",F2:F20,"12")</f>
        <v>0</v>
      </c>
      <c r="CH23" s="461">
        <f>SUMIFS(CH2:CH20,G2:G20,"GVHR",E2:E20,"0475",F2:F20,"12")</f>
        <v>-375.90383999999989</v>
      </c>
      <c r="CI23" s="461">
        <f>SUMIFS(CI2:CI20,G2:G20,"GVHR",E2:E20,"0475",F2:F20,"12")</f>
        <v>0</v>
      </c>
      <c r="CJ23" s="461">
        <f>SUMIFS(CJ2:CJ20,G2:G20,"GVHR",E2:E20,"0475",F2:F20,"12")</f>
        <v>-5464.4195199999986</v>
      </c>
      <c r="CK23" s="461">
        <f>SUMIFS(CK2:CK20,G2:G20,"GVHR",E2:E20,"0475",F2:F20,"12")</f>
        <v>0</v>
      </c>
      <c r="CL23" s="461">
        <f>SUMIFS(CL2:CL20,G2:G20,"GVHR",E2:E20,"0475",F2:F20,"12")</f>
        <v>0</v>
      </c>
      <c r="CM23" s="461">
        <f>SUMIFS(CM2:CM20,G2:G20,"GVHR",E2:E20,"0475",F2:F20,"12")</f>
        <v>0</v>
      </c>
    </row>
    <row r="24" spans="1:92" ht="18" x14ac:dyDescent="0.35">
      <c r="AQ24" s="467" t="s">
        <v>348</v>
      </c>
      <c r="AS24" s="468">
        <f>SUM(AS23:AS23)</f>
        <v>17</v>
      </c>
      <c r="AT24" s="468">
        <f>SUM(AT23:AT23)</f>
        <v>0</v>
      </c>
      <c r="AU24" s="468">
        <f>SUM(AU23:AU23)</f>
        <v>17</v>
      </c>
      <c r="AV24" s="468">
        <f>SUM(AV23:AV23)</f>
        <v>0</v>
      </c>
      <c r="AW24" s="468">
        <f>SUM(AW23:AW23)</f>
        <v>17</v>
      </c>
      <c r="AX24" s="468">
        <f>SUM(AX23:AX23)</f>
        <v>1253012.8</v>
      </c>
      <c r="AY24" s="468">
        <f>SUM(AY23:AY23)</f>
        <v>1253012.8</v>
      </c>
      <c r="AZ24" s="468">
        <f>SUM(AZ23:AZ23)</f>
        <v>0</v>
      </c>
      <c r="BA24" s="468">
        <f>SUM(BA23:BA23)</f>
        <v>0</v>
      </c>
      <c r="BB24" s="468">
        <f>SUM(BB23:BB23)</f>
        <v>198050</v>
      </c>
      <c r="BC24" s="468">
        <f>SUM(BC23:BC23)</f>
        <v>0</v>
      </c>
      <c r="BD24" s="468">
        <f>SUM(BD23:BD23)</f>
        <v>76923.598400000003</v>
      </c>
      <c r="BE24" s="468">
        <f>SUM(BE23:BE23)</f>
        <v>18168.685600000001</v>
      </c>
      <c r="BF24" s="468">
        <f>SUM(BF23:BF23)</f>
        <v>149609.72832000002</v>
      </c>
      <c r="BG24" s="468">
        <f>SUM(BG23:BG23)</f>
        <v>9034.2222880000008</v>
      </c>
      <c r="BH24" s="468">
        <f>SUM(BH23:BH23)</f>
        <v>5404.7156800000002</v>
      </c>
      <c r="BI24" s="468">
        <f>SUM(BI23:BI23)</f>
        <v>3204.740448</v>
      </c>
      <c r="BJ24" s="468">
        <f>SUM(BJ23:BJ23)</f>
        <v>4510.8460799999993</v>
      </c>
      <c r="BK24" s="468">
        <f>SUM(BK23:BK23)</f>
        <v>0</v>
      </c>
      <c r="BL24" s="468">
        <f>SUM(BL23:BL23)</f>
        <v>266856.53681599995</v>
      </c>
      <c r="BM24" s="468">
        <f>SUM(BM23:BM23)</f>
        <v>0</v>
      </c>
      <c r="BN24" s="468">
        <f>SUM(BN23:BN23)</f>
        <v>198050</v>
      </c>
      <c r="BO24" s="468">
        <f>SUM(BO23:BO23)</f>
        <v>0</v>
      </c>
      <c r="BP24" s="468">
        <f>SUM(BP23:BP23)</f>
        <v>77239.7984</v>
      </c>
      <c r="BQ24" s="468">
        <f>SUM(BQ23:BQ23)</f>
        <v>18168.685600000001</v>
      </c>
      <c r="BR24" s="468">
        <f>SUM(BR23:BR23)</f>
        <v>149609.72832000002</v>
      </c>
      <c r="BS24" s="468">
        <f>SUM(BS23:BS23)</f>
        <v>9034.2222880000008</v>
      </c>
      <c r="BT24" s="468">
        <f>SUM(BT23:BT23)</f>
        <v>0</v>
      </c>
      <c r="BU24" s="468">
        <f>SUM(BU23:BU23)</f>
        <v>3204.740448</v>
      </c>
      <c r="BV24" s="468">
        <f>SUM(BV23:BV23)</f>
        <v>4134.9422399999994</v>
      </c>
      <c r="BW24" s="468">
        <f>SUM(BW23:BW23)</f>
        <v>0</v>
      </c>
      <c r="BX24" s="468">
        <f>SUM(BX23:BX23)</f>
        <v>261392.11729600004</v>
      </c>
      <c r="BY24" s="468">
        <f>SUM(BY23:BY23)</f>
        <v>0</v>
      </c>
      <c r="BZ24" s="468">
        <f>SUM(BZ23:BZ23)</f>
        <v>0</v>
      </c>
      <c r="CA24" s="468">
        <f>SUM(CA23:CA23)</f>
        <v>0</v>
      </c>
      <c r="CB24" s="468">
        <f>SUM(CB23:CB23)</f>
        <v>316.20000000000073</v>
      </c>
      <c r="CC24" s="468">
        <f>SUM(CC23:CC23)</f>
        <v>0</v>
      </c>
      <c r="CD24" s="468">
        <f>SUM(CD23:CD23)</f>
        <v>0</v>
      </c>
      <c r="CE24" s="468">
        <f>SUM(CE23:CE23)</f>
        <v>0</v>
      </c>
      <c r="CF24" s="468">
        <f>SUM(CF23:CF23)</f>
        <v>-5404.7156800000002</v>
      </c>
      <c r="CG24" s="468">
        <f>SUM(CG23:CG23)</f>
        <v>0</v>
      </c>
      <c r="CH24" s="468">
        <f>SUM(CH23:CH23)</f>
        <v>-375.90383999999989</v>
      </c>
      <c r="CI24" s="468">
        <f>SUM(CI23:CI23)</f>
        <v>0</v>
      </c>
      <c r="CJ24" s="468">
        <f>SUM(CJ23:CJ23)</f>
        <v>-5464.4195199999986</v>
      </c>
      <c r="CK24" s="468">
        <f>SUM(CK23:CK23)</f>
        <v>0</v>
      </c>
      <c r="CL24" s="468">
        <f>SUM(CL23:CL23)</f>
        <v>0</v>
      </c>
      <c r="CM24" s="468">
        <f>SUM(CM23:CM23)</f>
        <v>0</v>
      </c>
    </row>
    <row r="26" spans="1:92" ht="21" x14ac:dyDescent="0.4">
      <c r="AO26" s="251" t="s">
        <v>97</v>
      </c>
      <c r="AP26" s="251"/>
      <c r="AQ26" s="251"/>
    </row>
    <row r="28" spans="1:92" ht="21" x14ac:dyDescent="0.4">
      <c r="AO28" s="252"/>
      <c r="AP28" s="252"/>
      <c r="AQ28" s="252"/>
    </row>
    <row r="29" spans="1:92" ht="15.6" x14ac:dyDescent="0.3">
      <c r="AS29" s="373" t="s">
        <v>83</v>
      </c>
      <c r="AT29" s="454" t="s">
        <v>357</v>
      </c>
      <c r="AU29" s="454"/>
      <c r="AV29" s="455" t="s">
        <v>355</v>
      </c>
      <c r="AW29" s="454" t="s">
        <v>358</v>
      </c>
      <c r="AX29" s="454"/>
      <c r="AY29" s="455" t="s">
        <v>356</v>
      </c>
      <c r="AZ29" s="454" t="s">
        <v>359</v>
      </c>
      <c r="BA29" s="454"/>
    </row>
    <row r="30" spans="1:92" ht="15.6" x14ac:dyDescent="0.3">
      <c r="AS30" s="249"/>
      <c r="AT30" s="373" t="s">
        <v>94</v>
      </c>
      <c r="AU30" s="372" t="s">
        <v>96</v>
      </c>
      <c r="AV30" s="456"/>
      <c r="AW30" s="373" t="s">
        <v>98</v>
      </c>
      <c r="AX30" s="372" t="s">
        <v>95</v>
      </c>
      <c r="AY30" s="456"/>
      <c r="AZ30" s="373" t="s">
        <v>98</v>
      </c>
      <c r="BA30" s="372" t="s">
        <v>95</v>
      </c>
    </row>
    <row r="31" spans="1:92" x14ac:dyDescent="0.3">
      <c r="AO31" s="466" t="s">
        <v>360</v>
      </c>
    </row>
    <row r="32" spans="1:92" x14ac:dyDescent="0.3">
      <c r="AQ32" t="s">
        <v>351</v>
      </c>
      <c r="AS32" s="461">
        <f>SUM(SUMIFS(AS2:AS20,CN2:CN20,AQ32,E2:E20,"0475",F2:F20,"12",AT2:AT20,{1,3}))</f>
        <v>17</v>
      </c>
      <c r="AT32" s="461">
        <f>SUMPRODUCT(--(CN2:CN20=AQ32),--(N2:N20&lt;&gt;"NG"),--(AG2:AG20&lt;&gt;"D"),--(AR2:AR20&lt;&gt;6),--(AR2:AR20&lt;&gt;36),--(AR2:AR20&lt;&gt;56),T2:T20)+SUMPRODUCT(--(CN2:CN20=AQ32),--(N2:N20&lt;&gt;"NG"),--(AG2:AG20&lt;&gt;"D"),--(AR2:AR20&lt;&gt;6),--(AR2:AR20&lt;&gt;36),--(AR2:AR20&lt;&gt;56),U2:U20)</f>
        <v>1138346.18</v>
      </c>
      <c r="AU32" s="461">
        <f>SUMPRODUCT(--(CN2:CN20=AQ32),--(N2:N20&lt;&gt;"NG"),--(AG2:AG20&lt;&gt;"D"),--(AR2:AR20&lt;&gt;6),--(AR2:AR20&lt;&gt;36),--(AR2:AR20&lt;&gt;56),V2:V20)</f>
        <v>422103</v>
      </c>
      <c r="AV32" s="461">
        <f>SUMPRODUCT(--(CN2:CN20=AQ32),AY2:AY20)+SUMPRODUCT(--(CN2:CN20=AQ32),AZ2:AZ20)</f>
        <v>1253012.8</v>
      </c>
      <c r="AW32" s="461">
        <f>SUMPRODUCT(--(CN2:CN20=AQ32),BB2:BB20)+SUMPRODUCT(--(CN2:CN20=AQ32),BC2:BC20)</f>
        <v>198050</v>
      </c>
      <c r="AX32" s="461">
        <f>SUMPRODUCT(--(CN2:CN20=AQ32),BL2:BL20)+SUMPRODUCT(--(CN2:CN20=AQ32),BM2:BM20)</f>
        <v>266856.53681599995</v>
      </c>
      <c r="AY32" s="461">
        <f>SUMPRODUCT(--(CN2:CN20=AQ32),AY2:AY20)+SUMPRODUCT(--(CN2:CN20=AQ32),AZ2:AZ20)+SUMPRODUCT(--(CN2:CN20=AQ32),BA2:BA20)</f>
        <v>1253012.8</v>
      </c>
      <c r="AZ32" s="461">
        <f>SUMPRODUCT(--(CN2:CN20=AQ32),BN2:BN20)+SUMPRODUCT(--(CN2:CN20=AQ32),BO2:BO20)</f>
        <v>198050</v>
      </c>
      <c r="BA32" s="461">
        <f>SUMPRODUCT(--(CN2:CN20=AQ32),BX2:BX20)+SUMPRODUCT(--(CN2:CN20=AQ32),BY2:BY20)</f>
        <v>261392.11729600004</v>
      </c>
    </row>
    <row r="33" spans="41:80" x14ac:dyDescent="0.3">
      <c r="AP33" t="s">
        <v>361</v>
      </c>
      <c r="AS33" s="472">
        <f>SUM(AS32:AS32)</f>
        <v>17</v>
      </c>
      <c r="AT33" s="472">
        <f>SUM(AT32:AT32)</f>
        <v>1138346.18</v>
      </c>
      <c r="AU33" s="472">
        <f>SUM(AU32:AU32)</f>
        <v>422103</v>
      </c>
      <c r="AV33" s="472">
        <f>SUM(AV32:AV32)</f>
        <v>1253012.8</v>
      </c>
      <c r="AW33" s="472">
        <f>SUM(AW32:AW32)</f>
        <v>198050</v>
      </c>
      <c r="AX33" s="472">
        <f>SUM(AX32:AX32)</f>
        <v>266856.53681599995</v>
      </c>
      <c r="AY33" s="472">
        <f>SUM(AY32:AY32)</f>
        <v>1253012.8</v>
      </c>
      <c r="AZ33" s="472">
        <f>SUM(AZ32:AZ32)</f>
        <v>198050</v>
      </c>
      <c r="BA33" s="472">
        <f>SUM(BA32:BA32)</f>
        <v>261392.11729600004</v>
      </c>
    </row>
    <row r="34" spans="41:80" x14ac:dyDescent="0.3">
      <c r="AS34" s="461"/>
      <c r="AT34" s="461"/>
      <c r="AU34" s="461"/>
      <c r="AV34" s="461"/>
      <c r="AW34" s="461"/>
      <c r="AX34" s="461"/>
      <c r="AY34" s="461"/>
      <c r="AZ34" s="461"/>
      <c r="BA34" s="461"/>
    </row>
    <row r="35" spans="41:80" x14ac:dyDescent="0.3">
      <c r="AO35" s="470" t="s">
        <v>362</v>
      </c>
      <c r="AS35" s="473">
        <f>SUM(AS33)</f>
        <v>17</v>
      </c>
      <c r="AT35" s="473">
        <f>SUM(AT33)</f>
        <v>1138346.18</v>
      </c>
      <c r="AU35" s="473">
        <f>SUM(AU33)</f>
        <v>422103</v>
      </c>
      <c r="AV35" s="473">
        <f>SUM(AV33)</f>
        <v>1253012.8</v>
      </c>
      <c r="AW35" s="473">
        <f>SUM(AW33)</f>
        <v>198050</v>
      </c>
      <c r="AX35" s="473">
        <f>SUM(AX33)</f>
        <v>266856.53681599995</v>
      </c>
      <c r="AY35" s="473">
        <f>SUM(AY33)</f>
        <v>1253012.8</v>
      </c>
      <c r="AZ35" s="473">
        <f>SUM(AZ33)</f>
        <v>198050</v>
      </c>
      <c r="BA35" s="473">
        <f>SUM(BA33)</f>
        <v>261392.11729600004</v>
      </c>
    </row>
    <row r="36" spans="41:80" x14ac:dyDescent="0.3">
      <c r="AS36" s="461"/>
      <c r="AT36" s="461"/>
      <c r="AU36" s="461"/>
      <c r="AV36" s="461"/>
      <c r="AW36" s="461"/>
      <c r="AX36" s="461"/>
      <c r="AY36" s="461"/>
      <c r="AZ36" s="461"/>
      <c r="BA36" s="461"/>
    </row>
    <row r="37" spans="41:80" x14ac:dyDescent="0.3">
      <c r="AO37" s="466" t="s">
        <v>363</v>
      </c>
      <c r="AS37" s="461"/>
      <c r="AT37" s="461"/>
      <c r="AU37" s="461"/>
      <c r="AV37" s="461"/>
      <c r="AW37" s="461"/>
      <c r="AX37" s="461"/>
      <c r="AY37" s="461"/>
      <c r="AZ37" s="461"/>
      <c r="BA37" s="461"/>
    </row>
    <row r="38" spans="41:80" x14ac:dyDescent="0.3">
      <c r="AS38" s="461"/>
      <c r="AT38" s="461"/>
      <c r="AU38" s="461"/>
      <c r="AV38" s="461"/>
      <c r="AW38" s="461"/>
      <c r="AX38" s="461"/>
      <c r="AY38" s="461"/>
      <c r="AZ38" s="461"/>
      <c r="BA38" s="461"/>
    </row>
    <row r="39" spans="41:80" x14ac:dyDescent="0.3">
      <c r="AO39" s="470" t="s">
        <v>364</v>
      </c>
      <c r="AS39" s="461"/>
      <c r="AT39" s="461"/>
      <c r="AU39" s="461"/>
      <c r="AV39" s="461"/>
      <c r="AW39" s="461"/>
      <c r="AX39" s="461"/>
      <c r="AY39" s="461"/>
      <c r="AZ39" s="461"/>
      <c r="BA39" s="461"/>
      <c r="CB39" s="466"/>
    </row>
    <row r="40" spans="41:80" x14ac:dyDescent="0.3">
      <c r="AS40" s="461"/>
      <c r="AT40" s="461"/>
      <c r="AU40" s="461"/>
      <c r="AV40" s="461"/>
      <c r="AW40" s="461"/>
      <c r="AX40" s="461"/>
      <c r="AY40" s="461"/>
      <c r="AZ40" s="461"/>
      <c r="BA40" s="461"/>
    </row>
    <row r="41" spans="41:80" x14ac:dyDescent="0.3">
      <c r="AO41" s="471" t="s">
        <v>365</v>
      </c>
      <c r="AS41" s="474">
        <f>SUM(AS35)</f>
        <v>17</v>
      </c>
      <c r="AT41" s="475">
        <f>SUM(AT35)</f>
        <v>1138346.18</v>
      </c>
      <c r="AU41" s="475">
        <f>SUM(AU35)</f>
        <v>422103</v>
      </c>
      <c r="AV41" s="475">
        <f>SUM(AV35)</f>
        <v>1253012.8</v>
      </c>
      <c r="AW41" s="475">
        <f>SUM(AW35)</f>
        <v>198050</v>
      </c>
      <c r="AX41" s="475">
        <f>SUM(AX35)</f>
        <v>266856.53681599995</v>
      </c>
      <c r="AY41" s="475">
        <f>SUM(AY35)</f>
        <v>1253012.8</v>
      </c>
      <c r="AZ41" s="475">
        <f>SUM(AZ35)</f>
        <v>198050</v>
      </c>
      <c r="BA41" s="475">
        <f>SUM(BA35)</f>
        <v>261392.11729600004</v>
      </c>
    </row>
  </sheetData>
  <mergeCells count="5">
    <mergeCell ref="AT29:AU29"/>
    <mergeCell ref="AV29:AV30"/>
    <mergeCell ref="AW29:AX29"/>
    <mergeCell ref="AY29:AY30"/>
    <mergeCell ref="AZ29:BA2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19" zoomScaleNormal="100" workbookViewId="0">
      <selection activeCell="C39" sqref="C39"/>
    </sheetView>
  </sheetViews>
  <sheetFormatPr defaultColWidth="9.109375" defaultRowHeight="19.2" x14ac:dyDescent="0.35"/>
  <cols>
    <col min="1" max="1" width="4" style="1" customWidth="1"/>
    <col min="2" max="2" width="42" style="1" bestFit="1" customWidth="1"/>
    <col min="3" max="3" width="20.33203125" style="1" customWidth="1"/>
    <col min="4" max="4" width="21.44140625" style="1" bestFit="1" customWidth="1"/>
    <col min="5" max="5" width="20.5546875" style="1" customWidth="1"/>
    <col min="6" max="6" width="14.33203125" style="1" bestFit="1" customWidth="1"/>
    <col min="7" max="7" width="12" style="1" bestFit="1" customWidth="1"/>
    <col min="8" max="8" width="15" style="1" bestFit="1" customWidth="1"/>
    <col min="9" max="10" width="9.109375" style="1"/>
    <col min="11" max="11" width="9.88671875" style="1" bestFit="1" customWidth="1"/>
    <col min="12" max="12" width="16.44140625" style="1" bestFit="1" customWidth="1"/>
    <col min="13" max="14" width="15.88671875" style="1" bestFit="1" customWidth="1"/>
    <col min="15" max="15" width="16.44140625" style="1" bestFit="1" customWidth="1"/>
    <col min="16" max="16384" width="9.109375" style="1"/>
  </cols>
  <sheetData>
    <row r="1" spans="1:15" x14ac:dyDescent="0.35">
      <c r="A1" s="382"/>
      <c r="B1" s="382"/>
      <c r="C1" s="382"/>
      <c r="D1" s="382"/>
      <c r="E1" s="382"/>
    </row>
    <row r="2" spans="1:15" ht="28.5" customHeight="1" x14ac:dyDescent="0.35">
      <c r="A2" s="2" t="s">
        <v>10</v>
      </c>
      <c r="B2" s="2"/>
      <c r="C2" s="2"/>
      <c r="D2" s="2"/>
      <c r="E2" s="2"/>
    </row>
    <row r="3" spans="1:15" x14ac:dyDescent="0.35">
      <c r="A3" s="3"/>
      <c r="B3" s="3"/>
      <c r="C3" s="4" t="s">
        <v>0</v>
      </c>
      <c r="D3" s="4" t="s">
        <v>1</v>
      </c>
      <c r="E3" s="3"/>
    </row>
    <row r="4" spans="1:15" ht="37.799999999999997" x14ac:dyDescent="0.35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5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5">
      <c r="A8" s="3"/>
      <c r="B8" s="130" t="s">
        <v>5</v>
      </c>
      <c r="C8" s="235">
        <v>3.5999999999999999E-3</v>
      </c>
      <c r="D8" s="234">
        <v>3.3E-3</v>
      </c>
      <c r="E8" s="314">
        <f t="shared" si="0"/>
        <v>-2.9999999999999992E-4</v>
      </c>
    </row>
    <row r="9" spans="1:15" x14ac:dyDescent="0.3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5">
      <c r="A11" s="3"/>
      <c r="B11" s="130" t="s">
        <v>8</v>
      </c>
      <c r="C11" s="348">
        <v>3.0599999999999998E-3</v>
      </c>
      <c r="D11" s="348">
        <v>3.0599999999999998E-3</v>
      </c>
      <c r="E11" s="313">
        <f t="shared" si="0"/>
        <v>0</v>
      </c>
    </row>
    <row r="12" spans="1:15" x14ac:dyDescent="0.35">
      <c r="A12" s="3"/>
      <c r="B12" s="233" t="s">
        <v>11</v>
      </c>
      <c r="C12" s="234">
        <f>SUM(C5:C11)</f>
        <v>9.5269999999999994E-2</v>
      </c>
      <c r="D12" s="234">
        <f>SUM(D5:D11)</f>
        <v>9.0069999999999983E-2</v>
      </c>
      <c r="E12" s="315">
        <f>D12-C12</f>
        <v>-5.2000000000000102E-3</v>
      </c>
      <c r="M12" s="320"/>
    </row>
    <row r="13" spans="1:15" x14ac:dyDescent="0.35">
      <c r="A13" s="3"/>
      <c r="B13" s="231" t="s">
        <v>9</v>
      </c>
      <c r="C13" s="226">
        <f>SUM(C5:C8)</f>
        <v>8.5000000000000006E-2</v>
      </c>
      <c r="D13" s="226">
        <f>SUM(D5:D8)</f>
        <v>7.9799999999999996E-2</v>
      </c>
      <c r="E13" s="313">
        <f t="shared" si="0"/>
        <v>-5.2000000000000102E-3</v>
      </c>
      <c r="F13" s="8"/>
    </row>
    <row r="14" spans="1:15" x14ac:dyDescent="0.35">
      <c r="A14" s="230"/>
      <c r="B14" s="232" t="s">
        <v>102</v>
      </c>
      <c r="C14" s="226">
        <f>SUM(C5:C6,C8:C9)</f>
        <v>8.7309999999999999E-2</v>
      </c>
      <c r="D14" s="226">
        <f>SUM(D5:D6,D8:D9)</f>
        <v>8.700999999999999E-2</v>
      </c>
      <c r="E14" s="313">
        <f>D14-C14</f>
        <v>-3.0000000000000859E-4</v>
      </c>
      <c r="M14" s="320"/>
    </row>
    <row r="15" spans="1:15" x14ac:dyDescent="0.35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5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5">
      <c r="B17" s="130"/>
      <c r="D17" s="1" t="s">
        <v>45</v>
      </c>
      <c r="K17" s="319"/>
    </row>
    <row r="18" spans="1:11" ht="12" customHeight="1" x14ac:dyDescent="0.35">
      <c r="C18" s="1" t="s">
        <v>45</v>
      </c>
    </row>
    <row r="19" spans="1:11" ht="37.799999999999997" x14ac:dyDescent="0.35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5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5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5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5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5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5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5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5">
      <c r="A28" s="383" t="s">
        <v>110</v>
      </c>
      <c r="B28" s="383"/>
      <c r="C28" s="383"/>
      <c r="D28" s="383"/>
      <c r="E28" s="383"/>
    </row>
    <row r="29" spans="1:11" x14ac:dyDescent="0.35">
      <c r="A29" s="383" t="s">
        <v>111</v>
      </c>
      <c r="B29" s="383"/>
      <c r="C29" s="383"/>
      <c r="D29" s="383"/>
      <c r="E29" s="383"/>
    </row>
    <row r="30" spans="1:11" ht="12.75" customHeight="1" x14ac:dyDescent="0.35">
      <c r="A30" s="247"/>
      <c r="B30" s="247"/>
      <c r="C30" s="247"/>
      <c r="D30" s="247"/>
      <c r="E30" s="247"/>
    </row>
    <row r="31" spans="1:11" x14ac:dyDescent="0.35">
      <c r="A31" s="316" t="s">
        <v>88</v>
      </c>
      <c r="B31" s="316"/>
      <c r="C31" s="247"/>
      <c r="D31" s="247"/>
      <c r="E31" s="247"/>
    </row>
    <row r="32" spans="1:11" x14ac:dyDescent="0.35">
      <c r="A32" s="316"/>
      <c r="B32" s="316" t="s">
        <v>89</v>
      </c>
      <c r="C32" s="247"/>
      <c r="D32" s="247"/>
      <c r="E32" s="247"/>
    </row>
    <row r="33" spans="1:5" x14ac:dyDescent="0.35">
      <c r="A33" s="316"/>
      <c r="B33" s="316" t="s">
        <v>90</v>
      </c>
      <c r="C33" s="247"/>
      <c r="D33" s="247"/>
      <c r="E33" s="247"/>
    </row>
    <row r="34" spans="1:5" x14ac:dyDescent="0.35">
      <c r="A34" s="316"/>
      <c r="B34" s="316" t="s">
        <v>91</v>
      </c>
      <c r="C34" s="247"/>
      <c r="D34" s="247"/>
      <c r="E34" s="247"/>
    </row>
    <row r="35" spans="1:5" x14ac:dyDescent="0.35">
      <c r="A35" s="316"/>
      <c r="B35" s="316" t="s">
        <v>92</v>
      </c>
      <c r="C35" s="247"/>
      <c r="D35" s="247"/>
      <c r="E35" s="247"/>
    </row>
    <row r="36" spans="1:5" x14ac:dyDescent="0.35">
      <c r="A36" s="316"/>
      <c r="B36" s="316" t="s">
        <v>93</v>
      </c>
      <c r="C36" s="247"/>
      <c r="D36" s="247"/>
      <c r="E36" s="247"/>
    </row>
    <row r="38" spans="1:5" x14ac:dyDescent="0.35">
      <c r="B38" s="317" t="s">
        <v>103</v>
      </c>
      <c r="C38" s="318">
        <v>0.01</v>
      </c>
    </row>
    <row r="39" spans="1:5" x14ac:dyDescent="0.35">
      <c r="B39" s="341" t="s">
        <v>104</v>
      </c>
      <c r="C39" s="340">
        <v>0.01</v>
      </c>
    </row>
    <row r="40" spans="1:5" x14ac:dyDescent="0.35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399"/>
      <c r="N1" s="400"/>
      <c r="AA1" s="337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1"/>
      <c r="N2" s="402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399"/>
      <c r="N3" s="400"/>
      <c r="AA3" s="337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399">
        <v>2023</v>
      </c>
      <c r="N4" s="400"/>
      <c r="AA4" s="337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1"/>
      <c r="J5" s="403"/>
      <c r="K5" s="403"/>
      <c r="L5" s="402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256" t="s">
        <v>21</v>
      </c>
      <c r="C8" s="386" t="s">
        <v>22</v>
      </c>
      <c r="D8" s="387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7" t="s">
        <v>105</v>
      </c>
      <c r="AB8" s="437"/>
      <c r="AC8" s="43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8" t="s">
        <v>26</v>
      </c>
      <c r="D9" s="38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4" t="s">
        <v>27</v>
      </c>
      <c r="D10" s="390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4" t="s">
        <v>28</v>
      </c>
      <c r="D11" s="390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4" t="s">
        <v>29</v>
      </c>
      <c r="D12" s="38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4" t="s">
        <v>30</v>
      </c>
      <c r="D13" s="39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1" t="s">
        <v>32</v>
      </c>
      <c r="D16" s="392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3" t="s">
        <v>34</v>
      </c>
      <c r="D17" s="394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5" t="s">
        <v>35</v>
      </c>
      <c r="D18" s="396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7" t="s">
        <v>37</v>
      </c>
      <c r="D37" s="398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8" t="s">
        <v>107</v>
      </c>
      <c r="AB37" s="439"/>
      <c r="AC37" s="439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4" t="str">
        <f>perm_name</f>
        <v>Permanent Positions</v>
      </c>
      <c r="D38" s="38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4" t="str">
        <f>Group_name</f>
        <v>Board &amp; Group Positions</v>
      </c>
      <c r="D39" s="38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4" t="s">
        <v>38</v>
      </c>
      <c r="D41" s="38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2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3"/>
      <c r="M43" s="413"/>
      <c r="N43" s="414"/>
      <c r="O43"/>
      <c r="P43"/>
      <c r="Q43"/>
      <c r="R43"/>
      <c r="S43"/>
      <c r="T43"/>
      <c r="U43"/>
      <c r="V43"/>
      <c r="W43"/>
      <c r="X43"/>
      <c r="Y43"/>
      <c r="Z43" s="344"/>
      <c r="AA43" s="440" t="s">
        <v>108</v>
      </c>
      <c r="AB43" s="441"/>
      <c r="AC43" s="44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2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3"/>
      <c r="M44" s="413"/>
      <c r="N44" s="414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2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3"/>
      <c r="M45" s="413"/>
      <c r="N45" s="414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1" t="s">
        <v>100</v>
      </c>
      <c r="F46" s="422"/>
      <c r="G46" s="422"/>
      <c r="H46" s="422"/>
      <c r="I46" s="422"/>
      <c r="J46" s="423"/>
      <c r="K46" s="415" t="str">
        <f>IF(OR(J45&lt;0,F45&lt;0),"You may not have sufficient funding or authorized FTP, and may need to make additional adjustments to finalize this form.  Please contact both your DFM and LSO analysts.","")</f>
        <v/>
      </c>
      <c r="L46" s="416"/>
      <c r="M46" s="416"/>
      <c r="N46" s="417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4"/>
      <c r="F47" s="425"/>
      <c r="G47" s="425"/>
      <c r="H47" s="425"/>
      <c r="I47" s="425"/>
      <c r="J47" s="426"/>
      <c r="K47" s="418"/>
      <c r="L47" s="419"/>
      <c r="M47" s="419"/>
      <c r="N47" s="420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0" t="s">
        <v>49</v>
      </c>
      <c r="D55" s="41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6" t="s">
        <v>51</v>
      </c>
      <c r="D57" s="407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0" t="s">
        <v>66</v>
      </c>
      <c r="D59" s="411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6" t="s">
        <v>54</v>
      </c>
      <c r="D61" s="407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4" t="s">
        <v>56</v>
      </c>
      <c r="D64" s="40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2"/>
      <c r="D65" s="443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29"/>
      <c r="D66" s="43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6" t="s">
        <v>58</v>
      </c>
      <c r="D68" s="43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6" t="s">
        <v>59</v>
      </c>
      <c r="D69" s="43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2"/>
      <c r="D70" s="43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8" t="s">
        <v>101</v>
      </c>
      <c r="D72" s="434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8" t="s">
        <v>61</v>
      </c>
      <c r="D73" s="43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5" t="s">
        <v>64</v>
      </c>
      <c r="D76" s="43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7"/>
      <c r="D77" s="42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7"/>
      <c r="D78" s="42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7"/>
      <c r="D79" s="42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5" priority="5">
      <formula>$J$44&lt;0</formula>
    </cfRule>
  </conditionalFormatting>
  <conditionalFormatting sqref="K43">
    <cfRule type="expression" dxfId="4" priority="4">
      <formula>$J$43&lt;0</formula>
    </cfRule>
  </conditionalFormatting>
  <conditionalFormatting sqref="L16">
    <cfRule type="expression" dxfId="3" priority="3">
      <formula>$J$16&lt;0</formula>
    </cfRule>
  </conditionalFormatting>
  <conditionalFormatting sqref="K45">
    <cfRule type="expression" dxfId="2" priority="2">
      <formula>$J$44&lt;0</formula>
    </cfRule>
  </conditionalFormatting>
  <conditionalFormatting sqref="K43:N45">
    <cfRule type="containsText" dxfId="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4.4" x14ac:dyDescent="0.3"/>
  <cols>
    <col min="1" max="1" width="9" customWidth="1"/>
    <col min="2" max="2" width="39.33203125" customWidth="1"/>
    <col min="3" max="3" width="13" customWidth="1"/>
    <col min="4" max="4" width="12.33203125" customWidth="1"/>
    <col min="5" max="5" width="12.109375" customWidth="1"/>
    <col min="6" max="6" width="14.5546875" customWidth="1"/>
    <col min="7" max="7" width="19.5546875" customWidth="1"/>
    <col min="8" max="8" width="13.6640625" customWidth="1"/>
    <col min="9" max="9" width="0" hidden="1" customWidth="1"/>
    <col min="10" max="10" width="18.44140625" customWidth="1"/>
    <col min="11" max="11" width="16.44140625" customWidth="1"/>
    <col min="12" max="12" width="16.109375" customWidth="1"/>
  </cols>
  <sheetData>
    <row r="1" spans="1:12" x14ac:dyDescent="0.3">
      <c r="A1" s="469" t="s">
        <v>353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66.599999999999994" x14ac:dyDescent="0.3">
      <c r="A2" s="386" t="s">
        <v>22</v>
      </c>
      <c r="B2" s="387"/>
      <c r="C2" s="370" t="s">
        <v>23</v>
      </c>
      <c r="D2" s="49" t="s">
        <v>24</v>
      </c>
      <c r="E2" s="50" t="str">
        <f>"FY "&amp;'GVHR|0475-12'!FiscalYear-1&amp;" SALARY"</f>
        <v>FY 2022 SALARY</v>
      </c>
      <c r="F2" s="50" t="str">
        <f>"FY "&amp;'GVHR|0475-12'!FiscalYear-1&amp;" HEALTH BENEFITS"</f>
        <v>FY 2022 HEALTH BENEFITS</v>
      </c>
      <c r="G2" s="50" t="str">
        <f>"FY "&amp;'GVHR|0475-12'!FiscalYear-1&amp;" VAR BENEFITS"</f>
        <v>FY 2022 VAR BENEFITS</v>
      </c>
      <c r="H2" s="50" t="str">
        <f>"FY "&amp;'GVHR|0475-12'!FiscalYear-1&amp;" TOTAL"</f>
        <v>FY 2022 TOTAL</v>
      </c>
      <c r="I2" s="50" t="str">
        <f>"FY "&amp;'GVHR|0475-12'!FiscalYear&amp;" SALARY CHANGE"</f>
        <v>FY 2023 SALARY CHANGE</v>
      </c>
      <c r="J2" s="50" t="str">
        <f>"FY "&amp;'GVHR|0475-12'!FiscalYear&amp;" CHG HEALTH BENEFITS"</f>
        <v>FY 2023 CHG HEALTH BENEFITS</v>
      </c>
      <c r="K2" s="50" t="str">
        <f>"FY "&amp;'GVHR|0475-12'!FiscalYear&amp;" CHG VAR BENEFITS"</f>
        <v>FY 2023 CHG VAR BENEFITS</v>
      </c>
      <c r="L2" s="50" t="s">
        <v>25</v>
      </c>
    </row>
    <row r="3" spans="1:12" x14ac:dyDescent="0.3">
      <c r="A3" s="388" t="s">
        <v>26</v>
      </c>
      <c r="B3" s="389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3">
      <c r="A4" s="384" t="s">
        <v>27</v>
      </c>
      <c r="B4" s="390"/>
      <c r="C4" s="217">
        <v>1</v>
      </c>
      <c r="D4" s="288">
        <f>[0]!GVHR047512col_INC_FTI</f>
        <v>17</v>
      </c>
      <c r="E4" s="218">
        <f>[0]!GVHR047512col_FTI_SALARY_PERM</f>
        <v>1253012.8</v>
      </c>
      <c r="F4" s="218">
        <f>[0]!GVHR047512col_HEALTH_PERM</f>
        <v>198050</v>
      </c>
      <c r="G4" s="218">
        <f>[0]!GVHR047512col_TOT_VB_PERM</f>
        <v>266856.53681599995</v>
      </c>
      <c r="H4" s="219">
        <f>SUM(E4:G4)</f>
        <v>1717919.3368160001</v>
      </c>
      <c r="I4" s="219">
        <f>[0]!GVHR047512col_1_27TH_PP</f>
        <v>0</v>
      </c>
      <c r="J4" s="218">
        <f>[0]!GVHR047512col_HEALTH_PERM_CHG</f>
        <v>0</v>
      </c>
      <c r="K4" s="218">
        <f>[0]!GVHR047512col_TOT_VB_PERM_CHG</f>
        <v>-5464.4195199999986</v>
      </c>
      <c r="L4" s="218">
        <f>SUM(J4:K4)</f>
        <v>-5464.4195199999986</v>
      </c>
    </row>
    <row r="5" spans="1:12" x14ac:dyDescent="0.3">
      <c r="A5" s="384" t="s">
        <v>28</v>
      </c>
      <c r="B5" s="390"/>
      <c r="C5" s="217">
        <v>2</v>
      </c>
      <c r="D5" s="288"/>
      <c r="E5" s="218">
        <f>[0]!GVHR047512col_Group_Salary</f>
        <v>0</v>
      </c>
      <c r="F5" s="218">
        <v>0</v>
      </c>
      <c r="G5" s="218">
        <f>[0]!GVHR047512col_Group_Ben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3">
      <c r="A6" s="384" t="s">
        <v>29</v>
      </c>
      <c r="B6" s="385"/>
      <c r="C6" s="217">
        <v>3</v>
      </c>
      <c r="D6" s="288">
        <f>[0]!GVHR047512col_TOTAL_ELECT_PCN_FTI</f>
        <v>0</v>
      </c>
      <c r="E6" s="218">
        <f>[0]!GVHR047512col_FTI_SALARY_ELECT</f>
        <v>0</v>
      </c>
      <c r="F6" s="218">
        <f>[0]!GVHR047512col_HEALTH_ELECT</f>
        <v>0</v>
      </c>
      <c r="G6" s="218">
        <f>[0]!GVHR047512col_TOT_VB_ELECT</f>
        <v>0</v>
      </c>
      <c r="H6" s="219">
        <f>SUM(E6:G6)</f>
        <v>0</v>
      </c>
      <c r="I6" s="268"/>
      <c r="J6" s="218">
        <f>[0]!GVHR047512col_HEALTH_ELECT_CHG</f>
        <v>0</v>
      </c>
      <c r="K6" s="218">
        <f>[0]!GVHR047512col_TOT_VB_ELECT_CHG</f>
        <v>0</v>
      </c>
      <c r="L6" s="219">
        <f>SUM(J6:K6)</f>
        <v>0</v>
      </c>
    </row>
    <row r="7" spans="1:12" x14ac:dyDescent="0.3">
      <c r="A7" s="384" t="s">
        <v>30</v>
      </c>
      <c r="B7" s="390"/>
      <c r="C7" s="217"/>
      <c r="D7" s="220">
        <f>SUM(D4:D6)</f>
        <v>17</v>
      </c>
      <c r="E7" s="221">
        <f>SUM(E4:E6)</f>
        <v>1253012.8</v>
      </c>
      <c r="F7" s="221">
        <f>SUM(F4:F6)</f>
        <v>198050</v>
      </c>
      <c r="G7" s="221">
        <f>SUM(G4:G6)</f>
        <v>266856.53681599995</v>
      </c>
      <c r="H7" s="219">
        <f>SUM(E7:G7)</f>
        <v>1717919.3368160001</v>
      </c>
      <c r="I7" s="268"/>
      <c r="J7" s="219">
        <f>SUM(J4:J6)</f>
        <v>0</v>
      </c>
      <c r="K7" s="219">
        <f>SUM(K4:K6)</f>
        <v>-5464.4195199999986</v>
      </c>
      <c r="L7" s="219">
        <f>SUM(L4:L6)</f>
        <v>-5464.4195199999986</v>
      </c>
    </row>
    <row r="8" spans="1:12" x14ac:dyDescent="0.3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3">
      <c r="A9" s="157" t="str">
        <f>"FY "&amp;'GVHR|0475-12'!FiscalYear-1</f>
        <v>FY 2022</v>
      </c>
      <c r="B9" s="158" t="s">
        <v>31</v>
      </c>
      <c r="C9" s="355">
        <v>1717000</v>
      </c>
      <c r="D9" s="55">
        <v>17</v>
      </c>
      <c r="E9" s="223">
        <f>IF('GVHR|0475-12'!OrigApprop=0,0,(E7/H7)*'GVHR|0475-12'!OrigApprop)</f>
        <v>1252342.255828762</v>
      </c>
      <c r="F9" s="223">
        <f>IF('GVHR|0475-12'!OrigApprop=0,0,(F7/H7)*'GVHR|0475-12'!OrigApprop)</f>
        <v>197944.01443216405</v>
      </c>
      <c r="G9" s="223">
        <f>IF(E9=0,0,(G7/H7)*'GVHR|0475-12'!OrigApprop)</f>
        <v>266713.72973907401</v>
      </c>
      <c r="H9" s="223">
        <f>SUM(E9:G9)</f>
        <v>1717000</v>
      </c>
      <c r="I9" s="268"/>
      <c r="J9" s="224"/>
      <c r="K9" s="224"/>
      <c r="L9" s="224"/>
    </row>
    <row r="10" spans="1:12" x14ac:dyDescent="0.3">
      <c r="A10" s="391" t="s">
        <v>32</v>
      </c>
      <c r="B10" s="392"/>
      <c r="C10" s="160" t="s">
        <v>33</v>
      </c>
      <c r="D10" s="161">
        <f>D9-D7</f>
        <v>0</v>
      </c>
      <c r="E10" s="162">
        <f>E9-E7</f>
        <v>-670.54417123808526</v>
      </c>
      <c r="F10" s="162">
        <f>F9-F7</f>
        <v>-105.9855678359454</v>
      </c>
      <c r="G10" s="162">
        <f>G9-G7</f>
        <v>-142.80707692593569</v>
      </c>
      <c r="H10" s="162">
        <f>H9-H7</f>
        <v>-919.33681600005366</v>
      </c>
      <c r="I10" s="269"/>
      <c r="J10" s="56" t="str">
        <f>IF('GVHR|0475-12'!OrigApprop=0,"ERROR! Enter Original Appropriation amount in DU 3.00!","Calculated "&amp;IF('GVHR|0475-12'!AdjustedTotal&gt;0,"overfunding ","underfunding ")&amp;"is "&amp;TEXT('GVHR|0475-12'!AdjustedTotal/'GVHR|0475-12'!AppropTotal,"#.0%;(#.0% );0% ;")&amp;" of Original Appropriation")</f>
        <v>Calculated underfunding is (.1% )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194</oddHeader>
    <oddFooter>&amp;L&amp;"Arial"&amp;10 B6:Summary by Program, by Fund&amp;R&amp;"Arial"&amp;10 FY 2022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7"/>
  <sheetViews>
    <sheetView workbookViewId="0">
      <selection activeCell="E8" sqref="E8:M17"/>
    </sheetView>
  </sheetViews>
  <sheetFormatPr defaultRowHeight="14.4" x14ac:dyDescent="0.3"/>
  <cols>
    <col min="1" max="1" width="2.77734375" customWidth="1"/>
    <col min="2" max="2" width="9.5546875" bestFit="1" customWidth="1"/>
    <col min="3" max="3" width="7.6640625" bestFit="1" customWidth="1"/>
    <col min="4" max="4" width="5.6640625" customWidth="1"/>
    <col min="5" max="5" width="6.6640625" bestFit="1" customWidth="1"/>
    <col min="6" max="6" width="13.44140625" bestFit="1" customWidth="1"/>
    <col min="7" max="7" width="14" bestFit="1" customWidth="1"/>
    <col min="8" max="8" width="13.44140625" bestFit="1" customWidth="1"/>
    <col min="9" max="9" width="15.44140625" bestFit="1" customWidth="1"/>
    <col min="10" max="10" width="17" bestFit="1" customWidth="1"/>
    <col min="11" max="11" width="13.44140625" bestFit="1" customWidth="1"/>
    <col min="12" max="12" width="15.44140625" bestFit="1" customWidth="1"/>
    <col min="13" max="13" width="17" bestFit="1" customWidth="1"/>
  </cols>
  <sheetData>
    <row r="2" spans="1:13" ht="21" x14ac:dyDescent="0.4">
      <c r="A2" s="251" t="s">
        <v>97</v>
      </c>
      <c r="B2" s="251"/>
      <c r="C2" s="251"/>
    </row>
    <row r="4" spans="1:13" ht="21" x14ac:dyDescent="0.4">
      <c r="A4" s="252"/>
      <c r="B4" s="252"/>
      <c r="C4" s="252"/>
    </row>
    <row r="5" spans="1:13" ht="15.75" customHeight="1" x14ac:dyDescent="0.3">
      <c r="E5" s="255" t="s">
        <v>83</v>
      </c>
      <c r="F5" s="454" t="s">
        <v>357</v>
      </c>
      <c r="G5" s="454"/>
      <c r="H5" s="455" t="s">
        <v>355</v>
      </c>
      <c r="I5" s="454" t="s">
        <v>358</v>
      </c>
      <c r="J5" s="454"/>
      <c r="K5" s="455" t="s">
        <v>356</v>
      </c>
      <c r="L5" s="454" t="s">
        <v>359</v>
      </c>
      <c r="M5" s="454"/>
    </row>
    <row r="6" spans="1:13" ht="15.6" x14ac:dyDescent="0.3">
      <c r="E6" s="249"/>
      <c r="F6" s="253" t="s">
        <v>94</v>
      </c>
      <c r="G6" s="254" t="s">
        <v>96</v>
      </c>
      <c r="H6" s="456"/>
      <c r="I6" s="253" t="s">
        <v>98</v>
      </c>
      <c r="J6" s="254" t="s">
        <v>95</v>
      </c>
      <c r="K6" s="456"/>
      <c r="L6" s="278" t="s">
        <v>98</v>
      </c>
      <c r="M6" s="254" t="s">
        <v>95</v>
      </c>
    </row>
    <row r="7" spans="1:13" x14ac:dyDescent="0.3">
      <c r="A7" s="466" t="s">
        <v>360</v>
      </c>
      <c r="D7" s="250"/>
    </row>
    <row r="8" spans="1:13" x14ac:dyDescent="0.3">
      <c r="C8" t="s">
        <v>351</v>
      </c>
      <c r="D8" s="250"/>
      <c r="E8" s="476">
        <f>Data!AS32</f>
        <v>17</v>
      </c>
      <c r="F8" s="476">
        <f>Data!AT32</f>
        <v>1138346.18</v>
      </c>
      <c r="G8" s="476">
        <f>Data!AU32</f>
        <v>422103</v>
      </c>
      <c r="H8" s="476">
        <f>Data!AV32</f>
        <v>1253012.8</v>
      </c>
      <c r="I8" s="476">
        <f>Data!AW32</f>
        <v>198050</v>
      </c>
      <c r="J8" s="476">
        <f>Data!AX32</f>
        <v>266856.53681599995</v>
      </c>
      <c r="K8" s="476">
        <f>Data!AY32</f>
        <v>1253012.8</v>
      </c>
      <c r="L8" s="476">
        <f>Data!AZ32</f>
        <v>198050</v>
      </c>
      <c r="M8" s="476">
        <f>Data!BA32</f>
        <v>261392.11729600004</v>
      </c>
    </row>
    <row r="9" spans="1:13" x14ac:dyDescent="0.3">
      <c r="B9" t="s">
        <v>361</v>
      </c>
      <c r="D9" s="250"/>
      <c r="E9" s="477">
        <f>Data!AS33</f>
        <v>17</v>
      </c>
      <c r="F9" s="477">
        <f>Data!AT33</f>
        <v>1138346.18</v>
      </c>
      <c r="G9" s="477">
        <f>Data!AU33</f>
        <v>422103</v>
      </c>
      <c r="H9" s="477">
        <f>Data!AV33</f>
        <v>1253012.8</v>
      </c>
      <c r="I9" s="477">
        <f>Data!AW33</f>
        <v>198050</v>
      </c>
      <c r="J9" s="477">
        <f>Data!AX33</f>
        <v>266856.53681599995</v>
      </c>
      <c r="K9" s="477">
        <f>Data!AY33</f>
        <v>1253012.8</v>
      </c>
      <c r="L9" s="477">
        <f>Data!AZ33</f>
        <v>198050</v>
      </c>
      <c r="M9" s="477">
        <f>Data!BA33</f>
        <v>261392.11729600004</v>
      </c>
    </row>
    <row r="10" spans="1:13" x14ac:dyDescent="0.3">
      <c r="D10" s="250"/>
      <c r="E10" s="476">
        <f>Data!AS34</f>
        <v>0</v>
      </c>
      <c r="F10" s="476">
        <f>Data!AT34</f>
        <v>0</v>
      </c>
      <c r="G10" s="476">
        <f>Data!AU34</f>
        <v>0</v>
      </c>
      <c r="H10" s="476">
        <f>Data!AV34</f>
        <v>0</v>
      </c>
      <c r="I10" s="476">
        <f>Data!AW34</f>
        <v>0</v>
      </c>
      <c r="J10" s="476">
        <f>Data!AX34</f>
        <v>0</v>
      </c>
      <c r="K10" s="476">
        <f>Data!AY34</f>
        <v>0</v>
      </c>
      <c r="L10" s="476">
        <f>Data!AZ34</f>
        <v>0</v>
      </c>
      <c r="M10" s="476">
        <f>Data!BA34</f>
        <v>0</v>
      </c>
    </row>
    <row r="11" spans="1:13" x14ac:dyDescent="0.3">
      <c r="A11" s="470" t="s">
        <v>362</v>
      </c>
      <c r="D11" s="250"/>
      <c r="E11" s="478">
        <f>Data!AS35</f>
        <v>17</v>
      </c>
      <c r="F11" s="478">
        <f>Data!AT35</f>
        <v>1138346.18</v>
      </c>
      <c r="G11" s="478">
        <f>Data!AU35</f>
        <v>422103</v>
      </c>
      <c r="H11" s="478">
        <f>Data!AV35</f>
        <v>1253012.8</v>
      </c>
      <c r="I11" s="478">
        <f>Data!AW35</f>
        <v>198050</v>
      </c>
      <c r="J11" s="478">
        <f>Data!AX35</f>
        <v>266856.53681599995</v>
      </c>
      <c r="K11" s="478">
        <f>Data!AY35</f>
        <v>1253012.8</v>
      </c>
      <c r="L11" s="478">
        <f>Data!AZ35</f>
        <v>198050</v>
      </c>
      <c r="M11" s="478">
        <f>Data!BA35</f>
        <v>261392.11729600004</v>
      </c>
    </row>
    <row r="12" spans="1:13" x14ac:dyDescent="0.3">
      <c r="D12" s="250"/>
      <c r="E12" s="476">
        <f>Data!AS36</f>
        <v>0</v>
      </c>
      <c r="F12" s="476">
        <f>Data!AT36</f>
        <v>0</v>
      </c>
      <c r="G12" s="476">
        <f>Data!AU36</f>
        <v>0</v>
      </c>
      <c r="H12" s="476">
        <f>Data!AV36</f>
        <v>0</v>
      </c>
      <c r="I12" s="476">
        <f>Data!AW36</f>
        <v>0</v>
      </c>
      <c r="J12" s="476">
        <f>Data!AX36</f>
        <v>0</v>
      </c>
      <c r="K12" s="476">
        <f>Data!AY36</f>
        <v>0</v>
      </c>
      <c r="L12" s="476">
        <f>Data!AZ36</f>
        <v>0</v>
      </c>
      <c r="M12" s="476">
        <f>Data!BA36</f>
        <v>0</v>
      </c>
    </row>
    <row r="13" spans="1:13" x14ac:dyDescent="0.3">
      <c r="A13" s="466" t="s">
        <v>363</v>
      </c>
      <c r="D13" s="250"/>
      <c r="E13" s="476">
        <f>Data!AS37</f>
        <v>0</v>
      </c>
      <c r="F13" s="476">
        <f>Data!AT37</f>
        <v>0</v>
      </c>
      <c r="G13" s="476">
        <f>Data!AU37</f>
        <v>0</v>
      </c>
      <c r="H13" s="476">
        <f>Data!AV37</f>
        <v>0</v>
      </c>
      <c r="I13" s="476">
        <f>Data!AW37</f>
        <v>0</v>
      </c>
      <c r="J13" s="476">
        <f>Data!AX37</f>
        <v>0</v>
      </c>
      <c r="K13" s="476">
        <f>Data!AY37</f>
        <v>0</v>
      </c>
      <c r="L13" s="476">
        <f>Data!AZ37</f>
        <v>0</v>
      </c>
      <c r="M13" s="476">
        <f>Data!BA37</f>
        <v>0</v>
      </c>
    </row>
    <row r="14" spans="1:13" x14ac:dyDescent="0.3">
      <c r="E14" s="476">
        <f>Data!AS38</f>
        <v>0</v>
      </c>
      <c r="F14" s="476">
        <f>Data!AT38</f>
        <v>0</v>
      </c>
      <c r="G14" s="476">
        <f>Data!AU38</f>
        <v>0</v>
      </c>
      <c r="H14" s="476">
        <f>Data!AV38</f>
        <v>0</v>
      </c>
      <c r="I14" s="476">
        <f>Data!AW38</f>
        <v>0</v>
      </c>
      <c r="J14" s="476">
        <f>Data!AX38</f>
        <v>0</v>
      </c>
      <c r="K14" s="476">
        <f>Data!AY38</f>
        <v>0</v>
      </c>
      <c r="L14" s="476">
        <f>Data!AZ38</f>
        <v>0</v>
      </c>
      <c r="M14" s="476">
        <f>Data!BA38</f>
        <v>0</v>
      </c>
    </row>
    <row r="15" spans="1:13" x14ac:dyDescent="0.3">
      <c r="A15" s="470" t="s">
        <v>364</v>
      </c>
      <c r="E15" s="476">
        <f>Data!AS39</f>
        <v>0</v>
      </c>
      <c r="F15" s="476">
        <f>Data!AT39</f>
        <v>0</v>
      </c>
      <c r="G15" s="476">
        <f>Data!AU39</f>
        <v>0</v>
      </c>
      <c r="H15" s="476">
        <f>Data!AV39</f>
        <v>0</v>
      </c>
      <c r="I15" s="476">
        <f>Data!AW39</f>
        <v>0</v>
      </c>
      <c r="J15" s="476">
        <f>Data!AX39</f>
        <v>0</v>
      </c>
      <c r="K15" s="476">
        <f>Data!AY39</f>
        <v>0</v>
      </c>
      <c r="L15" s="476">
        <f>Data!AZ39</f>
        <v>0</v>
      </c>
      <c r="M15" s="476">
        <f>Data!BA39</f>
        <v>0</v>
      </c>
    </row>
    <row r="16" spans="1:13" x14ac:dyDescent="0.3">
      <c r="E16" s="476">
        <f>Data!AS40</f>
        <v>0</v>
      </c>
      <c r="F16" s="476">
        <f>Data!AT40</f>
        <v>0</v>
      </c>
      <c r="G16" s="476">
        <f>Data!AU40</f>
        <v>0</v>
      </c>
      <c r="H16" s="476">
        <f>Data!AV40</f>
        <v>0</v>
      </c>
      <c r="I16" s="476">
        <f>Data!AW40</f>
        <v>0</v>
      </c>
      <c r="J16" s="476">
        <f>Data!AX40</f>
        <v>0</v>
      </c>
      <c r="K16" s="476">
        <f>Data!AY40</f>
        <v>0</v>
      </c>
      <c r="L16" s="476">
        <f>Data!AZ40</f>
        <v>0</v>
      </c>
      <c r="M16" s="476">
        <f>Data!BA40</f>
        <v>0</v>
      </c>
    </row>
    <row r="17" spans="1:13" x14ac:dyDescent="0.3">
      <c r="A17" s="471" t="s">
        <v>365</v>
      </c>
      <c r="E17" s="474">
        <f>Data!AS41</f>
        <v>17</v>
      </c>
      <c r="F17" s="475">
        <f>Data!AT41</f>
        <v>1138346.18</v>
      </c>
      <c r="G17" s="475">
        <f>Data!AU41</f>
        <v>422103</v>
      </c>
      <c r="H17" s="475">
        <f>Data!AV41</f>
        <v>1253012.8</v>
      </c>
      <c r="I17" s="475">
        <f>Data!AW41</f>
        <v>198050</v>
      </c>
      <c r="J17" s="475">
        <f>Data!AX41</f>
        <v>266856.53681599995</v>
      </c>
      <c r="K17" s="475">
        <f>Data!AY41</f>
        <v>1253012.8</v>
      </c>
      <c r="L17" s="475">
        <f>Data!AZ41</f>
        <v>198050</v>
      </c>
      <c r="M17" s="475">
        <f>Data!BA41</f>
        <v>261392.11729600004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Office of the Governor&amp;R&amp;"Arial"&amp;10 Agency 194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GVHR|0475-12</vt:lpstr>
      <vt:lpstr>Data</vt:lpstr>
      <vt:lpstr>Benefits</vt:lpstr>
      <vt:lpstr>B6</vt:lpstr>
      <vt:lpstr>Summary</vt:lpstr>
      <vt:lpstr>FundSummary</vt:lpstr>
      <vt:lpstr>'GVHR|0475-12'!AdjGroupHlth</vt:lpstr>
      <vt:lpstr>AdjGroupHlth</vt:lpstr>
      <vt:lpstr>'GVHR|0475-12'!AdjGroupSalary</vt:lpstr>
      <vt:lpstr>AdjGroupSalary</vt:lpstr>
      <vt:lpstr>'GVHR|0475-12'!AdjGroupVB</vt:lpstr>
      <vt:lpstr>AdjGroupVB</vt:lpstr>
      <vt:lpstr>'GVHR|0475-12'!AdjGroupVBBY</vt:lpstr>
      <vt:lpstr>AdjGroupVBBY</vt:lpstr>
      <vt:lpstr>'GVHR|0475-12'!AdjPermHlth</vt:lpstr>
      <vt:lpstr>AdjPermHlth</vt:lpstr>
      <vt:lpstr>'GVHR|0475-12'!AdjPermHlthBY</vt:lpstr>
      <vt:lpstr>AdjPermHlthBY</vt:lpstr>
      <vt:lpstr>'GVHR|0475-12'!AdjPermSalary</vt:lpstr>
      <vt:lpstr>AdjPermSalary</vt:lpstr>
      <vt:lpstr>'GVHR|0475-12'!AdjPermVB</vt:lpstr>
      <vt:lpstr>AdjPermVB</vt:lpstr>
      <vt:lpstr>'GVHR|0475-12'!AdjPermVBBY</vt:lpstr>
      <vt:lpstr>AdjPermVBBY</vt:lpstr>
      <vt:lpstr>'GVHR|0475-12'!AdjustedTotal</vt:lpstr>
      <vt:lpstr>AdjustedTotal</vt:lpstr>
      <vt:lpstr>'GVHR|0475-12'!AgencyNum</vt:lpstr>
      <vt:lpstr>AgencyNum</vt:lpstr>
      <vt:lpstr>'GVHR|0475-12'!AppropFTP</vt:lpstr>
      <vt:lpstr>AppropFTP</vt:lpstr>
      <vt:lpstr>'GVHR|0475-12'!AppropTotal</vt:lpstr>
      <vt:lpstr>AppropTotal</vt:lpstr>
      <vt:lpstr>'GVHR|0475-12'!AtZHealth</vt:lpstr>
      <vt:lpstr>AtZHealth</vt:lpstr>
      <vt:lpstr>'GVHR|0475-12'!AtZSalary</vt:lpstr>
      <vt:lpstr>AtZSalary</vt:lpstr>
      <vt:lpstr>'GVHR|0475-12'!AtZTotal</vt:lpstr>
      <vt:lpstr>AtZTotal</vt:lpstr>
      <vt:lpstr>'GVHR|0475-12'!AtZVarBen</vt:lpstr>
      <vt:lpstr>AtZVarBen</vt:lpstr>
      <vt:lpstr>'GVHR|0475-12'!BudgetUnit</vt:lpstr>
      <vt:lpstr>BudgetUnit</vt:lpstr>
      <vt:lpstr>BudgetYear</vt:lpstr>
      <vt:lpstr>CECGroup</vt:lpstr>
      <vt:lpstr>'GVHR|0475-12'!CECOrigElectSalary</vt:lpstr>
      <vt:lpstr>CECOrigElectSalary</vt:lpstr>
      <vt:lpstr>'GVHR|0475-12'!CECOrigElectVB</vt:lpstr>
      <vt:lpstr>CECOrigElectVB</vt:lpstr>
      <vt:lpstr>'GVHR|0475-12'!CECOrigGroupSalary</vt:lpstr>
      <vt:lpstr>CECOrigGroupSalary</vt:lpstr>
      <vt:lpstr>'GVHR|0475-12'!CECOrigGroupVB</vt:lpstr>
      <vt:lpstr>CECOrigGroupVB</vt:lpstr>
      <vt:lpstr>'GVHR|0475-12'!CECOrigPermSalary</vt:lpstr>
      <vt:lpstr>CECOrigPermSalary</vt:lpstr>
      <vt:lpstr>'GVHR|0475-12'!CECOrigPermVB</vt:lpstr>
      <vt:lpstr>CECOrigPermVB</vt:lpstr>
      <vt:lpstr>CECPerm</vt:lpstr>
      <vt:lpstr>'GVHR|0475-12'!CECpermCalc</vt:lpstr>
      <vt:lpstr>CECpermCalc</vt:lpstr>
      <vt:lpstr>'GVHR|0475-12'!Department</vt:lpstr>
      <vt:lpstr>Department</vt:lpstr>
      <vt:lpstr>DHR</vt:lpstr>
      <vt:lpstr>DHRBY</vt:lpstr>
      <vt:lpstr>DHRCHG</vt:lpstr>
      <vt:lpstr>'GVHR|0475-12'!Division</vt:lpstr>
      <vt:lpstr>Division</vt:lpstr>
      <vt:lpstr>'GVHR|0475-12'!DUCECElect</vt:lpstr>
      <vt:lpstr>DUCECElect</vt:lpstr>
      <vt:lpstr>'GVHR|0475-12'!DUCECGroup</vt:lpstr>
      <vt:lpstr>DUCECGroup</vt:lpstr>
      <vt:lpstr>'GVHR|0475-12'!DUCECPerm</vt:lpstr>
      <vt:lpstr>DUCECPerm</vt:lpstr>
      <vt:lpstr>'GVHR|0475-12'!DUEleven</vt:lpstr>
      <vt:lpstr>DUEleven</vt:lpstr>
      <vt:lpstr>'GVHR|0475-12'!DUHealthBen</vt:lpstr>
      <vt:lpstr>DUHealthBen</vt:lpstr>
      <vt:lpstr>'GVHR|0475-12'!DUNine</vt:lpstr>
      <vt:lpstr>DUNine</vt:lpstr>
      <vt:lpstr>'GVHR|0475-12'!DUThirteen</vt:lpstr>
      <vt:lpstr>DUThirteen</vt:lpstr>
      <vt:lpstr>'GVHR|0475-12'!DUVariableBen</vt:lpstr>
      <vt:lpstr>DUVariableBen</vt:lpstr>
      <vt:lpstr>'GVHR|0475-12'!Elect_chg_health</vt:lpstr>
      <vt:lpstr>Elect_chg_health</vt:lpstr>
      <vt:lpstr>'GVHR|0475-12'!Elect_chg_Var</vt:lpstr>
      <vt:lpstr>Elect_chg_Var</vt:lpstr>
      <vt:lpstr>'GVHR|0475-12'!elect_FTP</vt:lpstr>
      <vt:lpstr>elect_FTP</vt:lpstr>
      <vt:lpstr>'GVHR|0475-12'!Elect_health</vt:lpstr>
      <vt:lpstr>Elect_health</vt:lpstr>
      <vt:lpstr>'GVHR|0475-12'!Elect_name</vt:lpstr>
      <vt:lpstr>Elect_name</vt:lpstr>
      <vt:lpstr>'GVHR|0475-12'!Elect_salary</vt:lpstr>
      <vt:lpstr>Elect_salary</vt:lpstr>
      <vt:lpstr>'GVHR|0475-12'!Elect_Var</vt:lpstr>
      <vt:lpstr>Elect_Var</vt:lpstr>
      <vt:lpstr>'GVHR|0475-12'!Elect_VarBen</vt:lpstr>
      <vt:lpstr>Elect_VarBen</vt:lpstr>
      <vt:lpstr>ElectVB</vt:lpstr>
      <vt:lpstr>ElectVBBY</vt:lpstr>
      <vt:lpstr>ElectVBCHG</vt:lpstr>
      <vt:lpstr>FillRate_Avg</vt:lpstr>
      <vt:lpstr>'GVHR|0475-12'!FiscalYear</vt:lpstr>
      <vt:lpstr>FiscalYear</vt:lpstr>
      <vt:lpstr>'GVHR|0475-12'!FundName</vt:lpstr>
      <vt:lpstr>FundName</vt:lpstr>
      <vt:lpstr>'GVHR|0475-12'!FundNum</vt:lpstr>
      <vt:lpstr>FundNum</vt:lpstr>
      <vt:lpstr>'GVHR|0475-12'!FundNumber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'GVHR|0475-12'!Group_name</vt:lpstr>
      <vt:lpstr>Group_name</vt:lpstr>
      <vt:lpstr>'GVHR|0475-12'!GroupFxdBen</vt:lpstr>
      <vt:lpstr>GroupFxdBen</vt:lpstr>
      <vt:lpstr>'GVHR|0475-12'!GroupSalary</vt:lpstr>
      <vt:lpstr>GroupSalary</vt:lpstr>
      <vt:lpstr>'GVHR|0475-12'!GroupVarBen</vt:lpstr>
      <vt:lpstr>GroupVarBen</vt:lpstr>
      <vt:lpstr>GroupVB</vt:lpstr>
      <vt:lpstr>GroupVBBY</vt:lpstr>
      <vt:lpstr>GroupVBCHG</vt:lpstr>
      <vt:lpstr>GVHR047512col_1_27TH_PP</vt:lpstr>
      <vt:lpstr>GVHR047512col_DHR</vt:lpstr>
      <vt:lpstr>GVHR047512col_DHR_BY</vt:lpstr>
      <vt:lpstr>GVHR047512col_DHR_CHG</vt:lpstr>
      <vt:lpstr>GVHR047512col_FTI_SALARY_ELECT</vt:lpstr>
      <vt:lpstr>GVHR047512col_FTI_SALARY_PERM</vt:lpstr>
      <vt:lpstr>GVHR047512col_FTI_SALARY_SSDI</vt:lpstr>
      <vt:lpstr>GVHR047512col_Group_Ben</vt:lpstr>
      <vt:lpstr>GVHR047512col_Group_Salary</vt:lpstr>
      <vt:lpstr>GVHR047512col_HEALTH_ELECT</vt:lpstr>
      <vt:lpstr>GVHR047512col_HEALTH_ELECT_BY</vt:lpstr>
      <vt:lpstr>GVHR047512col_HEALTH_ELECT_CHG</vt:lpstr>
      <vt:lpstr>GVHR047512col_HEALTH_PERM</vt:lpstr>
      <vt:lpstr>GVHR047512col_HEALTH_PERM_BY</vt:lpstr>
      <vt:lpstr>GVHR047512col_HEALTH_PERM_CHG</vt:lpstr>
      <vt:lpstr>GVHR047512col_INC_FTI</vt:lpstr>
      <vt:lpstr>GVHR047512col_LIFE_INS</vt:lpstr>
      <vt:lpstr>GVHR047512col_LIFE_INS_BY</vt:lpstr>
      <vt:lpstr>GVHR047512col_LIFE_INS_CHG</vt:lpstr>
      <vt:lpstr>GVHR047512col_RETIREMENT</vt:lpstr>
      <vt:lpstr>GVHR047512col_RETIREMENT_BY</vt:lpstr>
      <vt:lpstr>GVHR047512col_RETIREMENT_CHG</vt:lpstr>
      <vt:lpstr>GVHR047512col_ROWS_PER_PCN</vt:lpstr>
      <vt:lpstr>GVHR047512col_SICK</vt:lpstr>
      <vt:lpstr>GVHR047512col_SICK_BY</vt:lpstr>
      <vt:lpstr>GVHR047512col_SICK_CHG</vt:lpstr>
      <vt:lpstr>GVHR047512col_SSDI</vt:lpstr>
      <vt:lpstr>GVHR047512col_SSDI_BY</vt:lpstr>
      <vt:lpstr>GVHR047512col_SSDI_CHG</vt:lpstr>
      <vt:lpstr>GVHR047512col_SSHI</vt:lpstr>
      <vt:lpstr>GVHR047512col_SSHI_BY</vt:lpstr>
      <vt:lpstr>GVHR047512col_SSHI_CHGv</vt:lpstr>
      <vt:lpstr>GVHR047512col_TOT_VB_ELECT</vt:lpstr>
      <vt:lpstr>GVHR047512col_TOT_VB_ELECT_BY</vt:lpstr>
      <vt:lpstr>GVHR047512col_TOT_VB_ELECT_CHG</vt:lpstr>
      <vt:lpstr>GVHR047512col_TOT_VB_PERM</vt:lpstr>
      <vt:lpstr>GVHR047512col_TOT_VB_PERM_BY</vt:lpstr>
      <vt:lpstr>GVHR047512col_TOT_VB_PERM_CHG</vt:lpstr>
      <vt:lpstr>GVHR047512col_TOTAL_ELECT_PCN_FTI</vt:lpstr>
      <vt:lpstr>GVHR047512col_TOTAL_ELECT_PCN_FTI_ALT</vt:lpstr>
      <vt:lpstr>GVHR047512col_TOTAL_PERM_PCN_FTI</vt:lpstr>
      <vt:lpstr>GVHR047512col_UNEMP_INS</vt:lpstr>
      <vt:lpstr>GVHR047512col_UNEMP_INS_BY</vt:lpstr>
      <vt:lpstr>GVHR047512col_UNEMP_INS_CHG</vt:lpstr>
      <vt:lpstr>GVHR047512col_WORKERS_COMP</vt:lpstr>
      <vt:lpstr>GVHR047512col_WORKERS_COMP_BY</vt:lpstr>
      <vt:lpstr>GVHR047512col_WORKERS_COMP_CHG</vt:lpstr>
      <vt:lpstr>Health</vt:lpstr>
      <vt:lpstr>HealthBY</vt:lpstr>
      <vt:lpstr>HealthCHG</vt:lpstr>
      <vt:lpstr>Life</vt:lpstr>
      <vt:lpstr>LifeBY</vt:lpstr>
      <vt:lpstr>LifeCHG</vt:lpstr>
      <vt:lpstr>'GVHR|0475-12'!LUMAFund</vt:lpstr>
      <vt:lpstr>LUMAFund</vt:lpstr>
      <vt:lpstr>MAXSSDI</vt:lpstr>
      <vt:lpstr>MAXSSDIBY</vt:lpstr>
      <vt:lpstr>'GVHR|0475-12'!NEW_AdjGroup</vt:lpstr>
      <vt:lpstr>NEW_AdjGroup</vt:lpstr>
      <vt:lpstr>'GVHR|0475-12'!NEW_AdjGroupSalary</vt:lpstr>
      <vt:lpstr>NEW_AdjGroupSalary</vt:lpstr>
      <vt:lpstr>'GVHR|0475-12'!NEW_AdjGroupVB</vt:lpstr>
      <vt:lpstr>NEW_AdjGroupVB</vt:lpstr>
      <vt:lpstr>'GVHR|0475-12'!NEW_AdjONLYGroup</vt:lpstr>
      <vt:lpstr>NEW_AdjONLYGroup</vt:lpstr>
      <vt:lpstr>'GVHR|0475-12'!NEW_AdjONLYGroupSalary</vt:lpstr>
      <vt:lpstr>NEW_AdjONLYGroupSalary</vt:lpstr>
      <vt:lpstr>'GVHR|0475-12'!NEW_AdjONLYGroupVB</vt:lpstr>
      <vt:lpstr>NEW_AdjONLYGroupVB</vt:lpstr>
      <vt:lpstr>'GVHR|0475-12'!NEW_AdjONLYPerm</vt:lpstr>
      <vt:lpstr>NEW_AdjONLYPerm</vt:lpstr>
      <vt:lpstr>'GVHR|0475-12'!NEW_AdjONLYPermSalary</vt:lpstr>
      <vt:lpstr>NEW_AdjONLYPermSalary</vt:lpstr>
      <vt:lpstr>'GVHR|0475-12'!NEW_AdjONLYPermVB</vt:lpstr>
      <vt:lpstr>NEW_AdjONLYPermVB</vt:lpstr>
      <vt:lpstr>'GVHR|0475-12'!NEW_AdjPerm</vt:lpstr>
      <vt:lpstr>NEW_AdjPerm</vt:lpstr>
      <vt:lpstr>'GVHR|0475-12'!NEW_AdjPermSalary</vt:lpstr>
      <vt:lpstr>NEW_AdjPermSalary</vt:lpstr>
      <vt:lpstr>'GVHR|0475-12'!NEW_AdjPermVB</vt:lpstr>
      <vt:lpstr>NEW_AdjPermVB</vt:lpstr>
      <vt:lpstr>'GVHR|0475-12'!NEW_GroupFilled</vt:lpstr>
      <vt:lpstr>NEW_GroupFilled</vt:lpstr>
      <vt:lpstr>'GVHR|0475-12'!NEW_GroupSalaryFilled</vt:lpstr>
      <vt:lpstr>NEW_GroupSalaryFilled</vt:lpstr>
      <vt:lpstr>'GVHR|0475-12'!NEW_GroupVBFilled</vt:lpstr>
      <vt:lpstr>NEW_GroupVBFilled</vt:lpstr>
      <vt:lpstr>'GVHR|0475-12'!NEW_PermFilled</vt:lpstr>
      <vt:lpstr>NEW_PermFilled</vt:lpstr>
      <vt:lpstr>'GVHR|0475-12'!NEW_PermSalaryFilled</vt:lpstr>
      <vt:lpstr>NEW_PermSalaryFilled</vt:lpstr>
      <vt:lpstr>'GVHR|0475-12'!NEW_PermVBFilled</vt:lpstr>
      <vt:lpstr>NEW_PermVBFilled</vt:lpstr>
      <vt:lpstr>'GVHR|0475-12'!OneTimePC_Total</vt:lpstr>
      <vt:lpstr>OneTimePC_Total</vt:lpstr>
      <vt:lpstr>'GVHR|0475-12'!OrigApprop</vt:lpstr>
      <vt:lpstr>OrigApprop</vt:lpstr>
      <vt:lpstr>'GVHR|0475-12'!perm_name</vt:lpstr>
      <vt:lpstr>perm_name</vt:lpstr>
      <vt:lpstr>'GVHR|0475-12'!PermFTP</vt:lpstr>
      <vt:lpstr>PermFTP</vt:lpstr>
      <vt:lpstr>'GVHR|0475-12'!PermFxdBen</vt:lpstr>
      <vt:lpstr>PermFxdBen</vt:lpstr>
      <vt:lpstr>'GVHR|0475-12'!PermFxdBenChg</vt:lpstr>
      <vt:lpstr>PermFxdBenChg</vt:lpstr>
      <vt:lpstr>'GVHR|0475-12'!PermFxdChg</vt:lpstr>
      <vt:lpstr>PermFxdChg</vt:lpstr>
      <vt:lpstr>'GVHR|0475-12'!PermSalary</vt:lpstr>
      <vt:lpstr>PermSalary</vt:lpstr>
      <vt:lpstr>'GVHR|0475-12'!PermVarBen</vt:lpstr>
      <vt:lpstr>PermVarBen</vt:lpstr>
      <vt:lpstr>'GVHR|0475-12'!PermVarBenChg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'GVHR|0475-12'!Print_Area</vt:lpstr>
      <vt:lpstr>'GVHR|0475-12'!Prog_Unadjusted_Total</vt:lpstr>
      <vt:lpstr>Prog_Unadjusted_Total</vt:lpstr>
      <vt:lpstr>'GVHR|0475-12'!Program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'GVHR|0475-12'!RoundedAppropSalary</vt:lpstr>
      <vt:lpstr>RoundedAppropSalary</vt:lpstr>
      <vt:lpstr>'GVHR|0475-12'!SalaryChg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195 B6</dc:title>
  <dc:subject>B6</dc:subject>
  <dc:creator>Shane Winslow</dc:creator>
  <cp:lastModifiedBy>Shane Winslow</cp:lastModifiedBy>
  <cp:lastPrinted>2019-06-21T15:46:35Z</cp:lastPrinted>
  <dcterms:created xsi:type="dcterms:W3CDTF">2013-05-01T19:55:41Z</dcterms:created>
  <dcterms:modified xsi:type="dcterms:W3CDTF">2021-07-14T20:20:48Z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