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winslow\AppData\Local\Temp\B6Run\FY2023\"/>
    </mc:Choice>
  </mc:AlternateContent>
  <xr:revisionPtr revIDLastSave="0" documentId="13_ncr:1_{FFEC8BA8-8E38-48EE-88BB-2323B366ADB9}" xr6:coauthVersionLast="45" xr6:coauthVersionMax="45" xr10:uidLastSave="{00000000-0000-0000-0000-000000000000}"/>
  <bookViews>
    <workbookView xWindow="4896" yWindow="1368" windowWidth="17280" windowHeight="8964" xr2:uid="{00000000-000D-0000-FFFF-FFFF00000000}"/>
  </bookViews>
  <sheets>
    <sheet name="GVEA|0125-00" sheetId="12" r:id="rId1"/>
    <sheet name="GVEA|0348-00" sheetId="13" r:id="rId2"/>
    <sheet name="GVEA|0349-00" sheetId="14" r:id="rId3"/>
    <sheet name="GVEA|0494-00" sheetId="15" r:id="rId4"/>
    <sheet name="GVEB|0199-00" sheetId="16" r:id="rId5"/>
    <sheet name="Data" sheetId="5" r:id="rId6"/>
    <sheet name="Benefits" sheetId="7" r:id="rId7"/>
    <sheet name="B6" sheetId="9" r:id="rId8"/>
    <sheet name="Summary" sheetId="10" r:id="rId9"/>
    <sheet name="FundSummary" sheetId="11" r:id="rId10"/>
  </sheets>
  <definedNames>
    <definedName name="AdjGroupHlth" localSheetId="0">'GVEA|0125-00'!$H$39</definedName>
    <definedName name="AdjGroupHlth" localSheetId="1">'GVEA|0348-00'!$H$39</definedName>
    <definedName name="AdjGroupHlth" localSheetId="2">'GVEA|0349-00'!$H$39</definedName>
    <definedName name="AdjGroupHlth" localSheetId="3">'GVEA|0494-00'!$H$39</definedName>
    <definedName name="AdjGroupHlth" localSheetId="4">'GVEB|0199-00'!$H$39</definedName>
    <definedName name="AdjGroupHlth">'B6'!$H$39</definedName>
    <definedName name="AdjGroupSalary" localSheetId="0">'GVEA|0125-00'!$G$39</definedName>
    <definedName name="AdjGroupSalary" localSheetId="1">'GVEA|0348-00'!$G$39</definedName>
    <definedName name="AdjGroupSalary" localSheetId="2">'GVEA|0349-00'!$G$39</definedName>
    <definedName name="AdjGroupSalary" localSheetId="3">'GVEA|0494-00'!$G$39</definedName>
    <definedName name="AdjGroupSalary" localSheetId="4">'GVEB|0199-00'!$G$39</definedName>
    <definedName name="AdjGroupSalary">'B6'!$G$39</definedName>
    <definedName name="AdjGroupVB" localSheetId="0">'GVEA|0125-00'!$I$39</definedName>
    <definedName name="AdjGroupVB" localSheetId="1">'GVEA|0348-00'!$I$39</definedName>
    <definedName name="AdjGroupVB" localSheetId="2">'GVEA|0349-00'!$I$39</definedName>
    <definedName name="AdjGroupVB" localSheetId="3">'GVEA|0494-00'!$I$39</definedName>
    <definedName name="AdjGroupVB" localSheetId="4">'GVEB|0199-00'!$I$39</definedName>
    <definedName name="AdjGroupVB">'B6'!$I$39</definedName>
    <definedName name="AdjGroupVBBY" localSheetId="0">'GVEA|0125-00'!$M$39</definedName>
    <definedName name="AdjGroupVBBY" localSheetId="1">'GVEA|0348-00'!$M$39</definedName>
    <definedName name="AdjGroupVBBY" localSheetId="2">'GVEA|0349-00'!$M$39</definedName>
    <definedName name="AdjGroupVBBY" localSheetId="3">'GVEA|0494-00'!$M$39</definedName>
    <definedName name="AdjGroupVBBY" localSheetId="4">'GVEB|0199-00'!$M$39</definedName>
    <definedName name="AdjGroupVBBY">'B6'!$M$39</definedName>
    <definedName name="AdjPermHlth" localSheetId="0">'GVEA|0125-00'!$H$38</definedName>
    <definedName name="AdjPermHlth" localSheetId="1">'GVEA|0348-00'!$H$38</definedName>
    <definedName name="AdjPermHlth" localSheetId="2">'GVEA|0349-00'!$H$38</definedName>
    <definedName name="AdjPermHlth" localSheetId="3">'GVEA|0494-00'!$H$38</definedName>
    <definedName name="AdjPermHlth" localSheetId="4">'GVEB|0199-00'!$H$38</definedName>
    <definedName name="AdjPermHlth">'B6'!$H$38</definedName>
    <definedName name="AdjPermHlthBY" localSheetId="0">'GVEA|0125-00'!$L$38</definedName>
    <definedName name="AdjPermHlthBY" localSheetId="1">'GVEA|0348-00'!$L$38</definedName>
    <definedName name="AdjPermHlthBY" localSheetId="2">'GVEA|0349-00'!$L$38</definedName>
    <definedName name="AdjPermHlthBY" localSheetId="3">'GVEA|0494-00'!$L$38</definedName>
    <definedName name="AdjPermHlthBY" localSheetId="4">'GVEB|0199-00'!$L$38</definedName>
    <definedName name="AdjPermHlthBY">'B6'!$L$38</definedName>
    <definedName name="AdjPermSalary" localSheetId="0">'GVEA|0125-00'!$G$38</definedName>
    <definedName name="AdjPermSalary" localSheetId="1">'GVEA|0348-00'!$G$38</definedName>
    <definedName name="AdjPermSalary" localSheetId="2">'GVEA|0349-00'!$G$38</definedName>
    <definedName name="AdjPermSalary" localSheetId="3">'GVEA|0494-00'!$G$38</definedName>
    <definedName name="AdjPermSalary" localSheetId="4">'GVEB|0199-00'!$G$38</definedName>
    <definedName name="AdjPermSalary">'B6'!$G$38</definedName>
    <definedName name="AdjPermVB" localSheetId="0">'GVEA|0125-00'!$I$38</definedName>
    <definedName name="AdjPermVB" localSheetId="1">'GVEA|0348-00'!$I$38</definedName>
    <definedName name="AdjPermVB" localSheetId="2">'GVEA|0349-00'!$I$38</definedName>
    <definedName name="AdjPermVB" localSheetId="3">'GVEA|0494-00'!$I$38</definedName>
    <definedName name="AdjPermVB" localSheetId="4">'GVEB|0199-00'!$I$38</definedName>
    <definedName name="AdjPermVB">'B6'!$I$38</definedName>
    <definedName name="AdjPermVBBY" localSheetId="0">'GVEA|0125-00'!$M$38</definedName>
    <definedName name="AdjPermVBBY" localSheetId="1">'GVEA|0348-00'!$M$38</definedName>
    <definedName name="AdjPermVBBY" localSheetId="2">'GVEA|0349-00'!$M$38</definedName>
    <definedName name="AdjPermVBBY" localSheetId="3">'GVEA|0494-00'!$M$38</definedName>
    <definedName name="AdjPermVBBY" localSheetId="4">'GVEB|0199-00'!$M$38</definedName>
    <definedName name="AdjPermVBBY">'B6'!$M$38</definedName>
    <definedName name="AdjustedTotal" localSheetId="0">'GVEA|0125-00'!$J$16</definedName>
    <definedName name="AdjustedTotal" localSheetId="1">'GVEA|0348-00'!$J$16</definedName>
    <definedName name="AdjustedTotal" localSheetId="2">'GVEA|0349-00'!$J$16</definedName>
    <definedName name="AdjustedTotal" localSheetId="3">'GVEA|0494-00'!$J$16</definedName>
    <definedName name="AdjustedTotal" localSheetId="4">'GVEB|0199-00'!$J$16</definedName>
    <definedName name="AdjustedTotal">'B6'!$J$16</definedName>
    <definedName name="AgencyNum" localSheetId="0">'GVEA|0125-00'!$M$1</definedName>
    <definedName name="AgencyNum" localSheetId="1">'GVEA|0348-00'!$M$1</definedName>
    <definedName name="AgencyNum" localSheetId="2">'GVEA|0349-00'!$M$1</definedName>
    <definedName name="AgencyNum" localSheetId="3">'GVEA|0494-00'!$M$1</definedName>
    <definedName name="AgencyNum" localSheetId="4">'GVEB|0199-00'!$M$1</definedName>
    <definedName name="AgencyNum">'B6'!$M$1</definedName>
    <definedName name="AppropFTP" localSheetId="0">'GVEA|0125-00'!$F$15</definedName>
    <definedName name="AppropFTP" localSheetId="1">'GVEA|0348-00'!$F$15</definedName>
    <definedName name="AppropFTP" localSheetId="2">'GVEA|0349-00'!$F$15</definedName>
    <definedName name="AppropFTP" localSheetId="3">'GVEA|0494-00'!$F$15</definedName>
    <definedName name="AppropFTP" localSheetId="4">'GVEB|0199-00'!$F$15</definedName>
    <definedName name="AppropFTP">'B6'!$F$15</definedName>
    <definedName name="AppropTotal" localSheetId="0">'GVEA|0125-00'!$J$15</definedName>
    <definedName name="AppropTotal" localSheetId="1">'GVEA|0348-00'!$J$15</definedName>
    <definedName name="AppropTotal" localSheetId="2">'GVEA|0349-00'!$J$15</definedName>
    <definedName name="AppropTotal" localSheetId="3">'GVEA|0494-00'!$J$15</definedName>
    <definedName name="AppropTotal" localSheetId="4">'GVEB|0199-00'!$J$15</definedName>
    <definedName name="AppropTotal">'B6'!$J$15</definedName>
    <definedName name="AtZHealth" localSheetId="0">'GVEA|0125-00'!$H$45</definedName>
    <definedName name="AtZHealth" localSheetId="1">'GVEA|0348-00'!$H$45</definedName>
    <definedName name="AtZHealth" localSheetId="2">'GVEA|0349-00'!$H$45</definedName>
    <definedName name="AtZHealth" localSheetId="3">'GVEA|0494-00'!$H$45</definedName>
    <definedName name="AtZHealth" localSheetId="4">'GVEB|0199-00'!$H$45</definedName>
    <definedName name="AtZHealth">'B6'!$H$45</definedName>
    <definedName name="AtZSalary" localSheetId="0">'GVEA|0125-00'!$G$45</definedName>
    <definedName name="AtZSalary" localSheetId="1">'GVEA|0348-00'!$G$45</definedName>
    <definedName name="AtZSalary" localSheetId="2">'GVEA|0349-00'!$G$45</definedName>
    <definedName name="AtZSalary" localSheetId="3">'GVEA|0494-00'!$G$45</definedName>
    <definedName name="AtZSalary" localSheetId="4">'GVEB|0199-00'!$G$45</definedName>
    <definedName name="AtZSalary">'B6'!$G$45</definedName>
    <definedName name="AtZTotal" localSheetId="0">'GVEA|0125-00'!$J$45</definedName>
    <definedName name="AtZTotal" localSheetId="1">'GVEA|0348-00'!$J$45</definedName>
    <definedName name="AtZTotal" localSheetId="2">'GVEA|0349-00'!$J$45</definedName>
    <definedName name="AtZTotal" localSheetId="3">'GVEA|0494-00'!$J$45</definedName>
    <definedName name="AtZTotal" localSheetId="4">'GVEB|0199-00'!$J$45</definedName>
    <definedName name="AtZTotal">'B6'!$J$45</definedName>
    <definedName name="AtZVarBen" localSheetId="0">'GVEA|0125-00'!$I$45</definedName>
    <definedName name="AtZVarBen" localSheetId="1">'GVEA|0348-00'!$I$45</definedName>
    <definedName name="AtZVarBen" localSheetId="2">'GVEA|0349-00'!$I$45</definedName>
    <definedName name="AtZVarBen" localSheetId="3">'GVEA|0494-00'!$I$45</definedName>
    <definedName name="AtZVarBen" localSheetId="4">'GVEB|0199-00'!$I$45</definedName>
    <definedName name="AtZVarBen">'B6'!$I$45</definedName>
    <definedName name="BudgetUnit" localSheetId="0">'GVEA|0125-00'!$M$3</definedName>
    <definedName name="BudgetUnit" localSheetId="1">'GVEA|0348-00'!$M$3</definedName>
    <definedName name="BudgetUnit" localSheetId="2">'GVEA|0349-00'!$M$3</definedName>
    <definedName name="BudgetUnit" localSheetId="3">'GVEA|0494-00'!$M$3</definedName>
    <definedName name="BudgetUnit" localSheetId="4">'GVEB|0199-00'!$M$3</definedName>
    <definedName name="BudgetUnit">'B6'!$M$3</definedName>
    <definedName name="BudgetYear">Benefits!$D$4</definedName>
    <definedName name="CECGroup">Benefits!$C$39</definedName>
    <definedName name="CECOrigElectSalary" localSheetId="0">'GVEA|0125-00'!$G$74</definedName>
    <definedName name="CECOrigElectSalary" localSheetId="1">'GVEA|0348-00'!$G$74</definedName>
    <definedName name="CECOrigElectSalary" localSheetId="2">'GVEA|0349-00'!$G$74</definedName>
    <definedName name="CECOrigElectSalary" localSheetId="3">'GVEA|0494-00'!$G$74</definedName>
    <definedName name="CECOrigElectSalary" localSheetId="4">'GVEB|0199-00'!$G$74</definedName>
    <definedName name="CECOrigElectSalary">'B6'!$G$74</definedName>
    <definedName name="CECOrigElectVB" localSheetId="0">'GVEA|0125-00'!$I$74</definedName>
    <definedName name="CECOrigElectVB" localSheetId="1">'GVEA|0348-00'!$I$74</definedName>
    <definedName name="CECOrigElectVB" localSheetId="2">'GVEA|0349-00'!$I$74</definedName>
    <definedName name="CECOrigElectVB" localSheetId="3">'GVEA|0494-00'!$I$74</definedName>
    <definedName name="CECOrigElectVB" localSheetId="4">'GVEB|0199-00'!$I$74</definedName>
    <definedName name="CECOrigElectVB">'B6'!$I$74</definedName>
    <definedName name="CECOrigGroupSalary" localSheetId="0">'GVEA|0125-00'!$G$73</definedName>
    <definedName name="CECOrigGroupSalary" localSheetId="1">'GVEA|0348-00'!$G$73</definedName>
    <definedName name="CECOrigGroupSalary" localSheetId="2">'GVEA|0349-00'!$G$73</definedName>
    <definedName name="CECOrigGroupSalary" localSheetId="3">'GVEA|0494-00'!$G$73</definedName>
    <definedName name="CECOrigGroupSalary" localSheetId="4">'GVEB|0199-00'!$G$73</definedName>
    <definedName name="CECOrigGroupSalary">'B6'!$G$73</definedName>
    <definedName name="CECOrigGroupVB" localSheetId="0">'GVEA|0125-00'!$I$73</definedName>
    <definedName name="CECOrigGroupVB" localSheetId="1">'GVEA|0348-00'!$I$73</definedName>
    <definedName name="CECOrigGroupVB" localSheetId="2">'GVEA|0349-00'!$I$73</definedName>
    <definedName name="CECOrigGroupVB" localSheetId="3">'GVEA|0494-00'!$I$73</definedName>
    <definedName name="CECOrigGroupVB" localSheetId="4">'GVEB|0199-00'!$I$73</definedName>
    <definedName name="CECOrigGroupVB">'B6'!$I$73</definedName>
    <definedName name="CECOrigPermSalary" localSheetId="0">'GVEA|0125-00'!$G$72</definedName>
    <definedName name="CECOrigPermSalary" localSheetId="1">'GVEA|0348-00'!$G$72</definedName>
    <definedName name="CECOrigPermSalary" localSheetId="2">'GVEA|0349-00'!$G$72</definedName>
    <definedName name="CECOrigPermSalary" localSheetId="3">'GVEA|0494-00'!$G$72</definedName>
    <definedName name="CECOrigPermSalary" localSheetId="4">'GVEB|0199-00'!$G$72</definedName>
    <definedName name="CECOrigPermSalary">'B6'!$G$72</definedName>
    <definedName name="CECOrigPermVB" localSheetId="0">'GVEA|0125-00'!$I$72</definedName>
    <definedName name="CECOrigPermVB" localSheetId="1">'GVEA|0348-00'!$I$72</definedName>
    <definedName name="CECOrigPermVB" localSheetId="2">'GVEA|0349-00'!$I$72</definedName>
    <definedName name="CECOrigPermVB" localSheetId="3">'GVEA|0494-00'!$I$72</definedName>
    <definedName name="CECOrigPermVB" localSheetId="4">'GVEB|0199-00'!$I$72</definedName>
    <definedName name="CECOrigPermVB">'B6'!$I$72</definedName>
    <definedName name="CECPerm">Benefits!$C$38</definedName>
    <definedName name="CECpermCalc" localSheetId="0">'GVEA|0125-00'!$E$72</definedName>
    <definedName name="CECpermCalc" localSheetId="1">'GVEA|0348-00'!$E$72</definedName>
    <definedName name="CECpermCalc" localSheetId="2">'GVEA|0349-00'!$E$72</definedName>
    <definedName name="CECpermCalc" localSheetId="3">'GVEA|0494-00'!$E$72</definedName>
    <definedName name="CECpermCalc" localSheetId="4">'GVEB|0199-00'!$E$72</definedName>
    <definedName name="CECpermCalc">'B6'!$E$72</definedName>
    <definedName name="Department" localSheetId="0">'GVEA|0125-00'!$D$1</definedName>
    <definedName name="Department" localSheetId="1">'GVEA|0348-00'!$D$1</definedName>
    <definedName name="Department" localSheetId="2">'GVEA|0349-00'!$D$1</definedName>
    <definedName name="Department" localSheetId="3">'GVEA|0494-00'!$D$1</definedName>
    <definedName name="Department" localSheetId="4">'GVEB|0199-00'!$D$1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'GVEA|0125-00'!$D$2</definedName>
    <definedName name="Division" localSheetId="1">'GVEA|0348-00'!$D$2</definedName>
    <definedName name="Division" localSheetId="2">'GVEA|0349-00'!$D$2</definedName>
    <definedName name="Division" localSheetId="3">'GVEA|0494-00'!$D$2</definedName>
    <definedName name="Division" localSheetId="4">'GVEB|0199-00'!$D$2</definedName>
    <definedName name="Division">'B6'!$D$2</definedName>
    <definedName name="DUCECElect" localSheetId="0">'GVEA|0125-00'!$J$74</definedName>
    <definedName name="DUCECElect" localSheetId="1">'GVEA|0348-00'!$J$74</definedName>
    <definedName name="DUCECElect" localSheetId="2">'GVEA|0349-00'!$J$74</definedName>
    <definedName name="DUCECElect" localSheetId="3">'GVEA|0494-00'!$J$74</definedName>
    <definedName name="DUCECElect" localSheetId="4">'GVEB|0199-00'!$J$74</definedName>
    <definedName name="DUCECElect">'B6'!$J$74</definedName>
    <definedName name="DUCECGroup" localSheetId="0">'GVEA|0125-00'!$J$73</definedName>
    <definedName name="DUCECGroup" localSheetId="1">'GVEA|0348-00'!$J$73</definedName>
    <definedName name="DUCECGroup" localSheetId="2">'GVEA|0349-00'!$J$73</definedName>
    <definedName name="DUCECGroup" localSheetId="3">'GVEA|0494-00'!$J$73</definedName>
    <definedName name="DUCECGroup" localSheetId="4">'GVEB|0199-00'!$J$73</definedName>
    <definedName name="DUCECGroup">'B6'!$J$73</definedName>
    <definedName name="DUCECPerm" localSheetId="0">'GVEA|0125-00'!$J$72</definedName>
    <definedName name="DUCECPerm" localSheetId="1">'GVEA|0348-00'!$J$72</definedName>
    <definedName name="DUCECPerm" localSheetId="2">'GVEA|0349-00'!$J$72</definedName>
    <definedName name="DUCECPerm" localSheetId="3">'GVEA|0494-00'!$J$72</definedName>
    <definedName name="DUCECPerm" localSheetId="4">'GVEB|0199-00'!$J$72</definedName>
    <definedName name="DUCECPerm">'B6'!$J$72</definedName>
    <definedName name="DUEleven" localSheetId="0">'GVEA|0125-00'!$J$75</definedName>
    <definedName name="DUEleven" localSheetId="1">'GVEA|0348-00'!$J$75</definedName>
    <definedName name="DUEleven" localSheetId="2">'GVEA|0349-00'!$J$75</definedName>
    <definedName name="DUEleven" localSheetId="3">'GVEA|0494-00'!$J$75</definedName>
    <definedName name="DUEleven" localSheetId="4">'GVEB|0199-00'!$J$75</definedName>
    <definedName name="DUEleven">'B6'!$J$75</definedName>
    <definedName name="DUHealthBen" localSheetId="0">'GVEA|0125-00'!$J$68</definedName>
    <definedName name="DUHealthBen" localSheetId="1">'GVEA|0348-00'!$J$68</definedName>
    <definedName name="DUHealthBen" localSheetId="2">'GVEA|0349-00'!$J$68</definedName>
    <definedName name="DUHealthBen" localSheetId="3">'GVEA|0494-00'!$J$68</definedName>
    <definedName name="DUHealthBen" localSheetId="4">'GVEB|0199-00'!$J$68</definedName>
    <definedName name="DUHealthBen">'B6'!$J$68</definedName>
    <definedName name="DUNine" localSheetId="0">'GVEA|0125-00'!$J$67</definedName>
    <definedName name="DUNine" localSheetId="1">'GVEA|0348-00'!$J$67</definedName>
    <definedName name="DUNine" localSheetId="2">'GVEA|0349-00'!$J$67</definedName>
    <definedName name="DUNine" localSheetId="3">'GVEA|0494-00'!$J$67</definedName>
    <definedName name="DUNine" localSheetId="4">'GVEB|0199-00'!$J$67</definedName>
    <definedName name="DUNine">'B6'!$J$67</definedName>
    <definedName name="DUThirteen" localSheetId="0">'GVEA|0125-00'!$J$80</definedName>
    <definedName name="DUThirteen" localSheetId="1">'GVEA|0348-00'!$J$80</definedName>
    <definedName name="DUThirteen" localSheetId="2">'GVEA|0349-00'!$J$80</definedName>
    <definedName name="DUThirteen" localSheetId="3">'GVEA|0494-00'!$J$80</definedName>
    <definedName name="DUThirteen" localSheetId="4">'GVEB|0199-00'!$J$80</definedName>
    <definedName name="DUThirteen">'B6'!$J$80</definedName>
    <definedName name="DUVariableBen" localSheetId="0">'GVEA|0125-00'!$J$69</definedName>
    <definedName name="DUVariableBen" localSheetId="1">'GVEA|0348-00'!$J$69</definedName>
    <definedName name="DUVariableBen" localSheetId="2">'GVEA|0349-00'!$J$69</definedName>
    <definedName name="DUVariableBen" localSheetId="3">'GVEA|0494-00'!$J$69</definedName>
    <definedName name="DUVariableBen" localSheetId="4">'GVEB|0199-00'!$J$69</definedName>
    <definedName name="DUVariableBen">'B6'!$J$69</definedName>
    <definedName name="Elect_chg_health" localSheetId="0">'GVEA|0125-00'!$L$12</definedName>
    <definedName name="Elect_chg_health" localSheetId="1">'GVEA|0348-00'!$L$12</definedName>
    <definedName name="Elect_chg_health" localSheetId="2">'GVEA|0349-00'!$L$12</definedName>
    <definedName name="Elect_chg_health" localSheetId="3">'GVEA|0494-00'!$L$12</definedName>
    <definedName name="Elect_chg_health" localSheetId="4">'GVEB|0199-00'!$L$12</definedName>
    <definedName name="Elect_chg_health">'B6'!$L$12</definedName>
    <definedName name="Elect_chg_Var" localSheetId="0">'GVEA|0125-00'!$M$12</definedName>
    <definedName name="Elect_chg_Var" localSheetId="1">'GVEA|0348-00'!$M$12</definedName>
    <definedName name="Elect_chg_Var" localSheetId="2">'GVEA|0349-00'!$M$12</definedName>
    <definedName name="Elect_chg_Var" localSheetId="3">'GVEA|0494-00'!$M$12</definedName>
    <definedName name="Elect_chg_Var" localSheetId="4">'GVEB|0199-00'!$M$12</definedName>
    <definedName name="Elect_chg_Var">'B6'!$M$12</definedName>
    <definedName name="elect_FTP" localSheetId="0">'GVEA|0125-00'!$F$12</definedName>
    <definedName name="elect_FTP" localSheetId="1">'GVEA|0348-00'!$F$12</definedName>
    <definedName name="elect_FTP" localSheetId="2">'GVEA|0349-00'!$F$12</definedName>
    <definedName name="elect_FTP" localSheetId="3">'GVEA|0494-00'!$F$12</definedName>
    <definedName name="elect_FTP" localSheetId="4">'GVEB|0199-00'!$F$12</definedName>
    <definedName name="elect_FTP">'B6'!$F$12</definedName>
    <definedName name="Elect_health" localSheetId="0">'GVEA|0125-00'!$H$12</definedName>
    <definedName name="Elect_health" localSheetId="1">'GVEA|0348-00'!$H$12</definedName>
    <definedName name="Elect_health" localSheetId="2">'GVEA|0349-00'!$H$12</definedName>
    <definedName name="Elect_health" localSheetId="3">'GVEA|0494-00'!$H$12</definedName>
    <definedName name="Elect_health" localSheetId="4">'GVEB|0199-00'!$H$12</definedName>
    <definedName name="Elect_health">'B6'!$H$12</definedName>
    <definedName name="Elect_name" localSheetId="0">'GVEA|0125-00'!$C$12</definedName>
    <definedName name="Elect_name" localSheetId="1">'GVEA|0348-00'!$C$12</definedName>
    <definedName name="Elect_name" localSheetId="2">'GVEA|0349-00'!$C$12</definedName>
    <definedName name="Elect_name" localSheetId="3">'GVEA|0494-00'!$C$12</definedName>
    <definedName name="Elect_name" localSheetId="4">'GVEB|0199-00'!$C$12</definedName>
    <definedName name="Elect_name">'B6'!$C$12</definedName>
    <definedName name="Elect_salary" localSheetId="0">'GVEA|0125-00'!$G$12</definedName>
    <definedName name="Elect_salary" localSheetId="1">'GVEA|0348-00'!$G$12</definedName>
    <definedName name="Elect_salary" localSheetId="2">'GVEA|0349-00'!$G$12</definedName>
    <definedName name="Elect_salary" localSheetId="3">'GVEA|0494-00'!$G$12</definedName>
    <definedName name="Elect_salary" localSheetId="4">'GVEB|0199-00'!$G$12</definedName>
    <definedName name="Elect_salary">'B6'!$G$12</definedName>
    <definedName name="Elect_Var" localSheetId="0">'GVEA|0125-00'!$I$12</definedName>
    <definedName name="Elect_Var" localSheetId="1">'GVEA|0348-00'!$I$12</definedName>
    <definedName name="Elect_Var" localSheetId="2">'GVEA|0349-00'!$I$12</definedName>
    <definedName name="Elect_Var" localSheetId="3">'GVEA|0494-00'!$I$12</definedName>
    <definedName name="Elect_Var" localSheetId="4">'GVEB|0199-00'!$I$12</definedName>
    <definedName name="Elect_Var">'B6'!$I$12</definedName>
    <definedName name="Elect_VarBen" localSheetId="0">'GVEA|0125-00'!$I$12</definedName>
    <definedName name="Elect_VarBen" localSheetId="1">'GVEA|0348-00'!$I$12</definedName>
    <definedName name="Elect_VarBen" localSheetId="2">'GVEA|0349-00'!$I$12</definedName>
    <definedName name="Elect_VarBen" localSheetId="3">'GVEA|0494-00'!$I$12</definedName>
    <definedName name="Elect_VarBen" localSheetId="4">'GVEB|0199-00'!$I$12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'GVEA|0125-00'!#REF!</definedName>
    <definedName name="FillRateAvg_B6" localSheetId="1">'GVEA|0348-00'!#REF!</definedName>
    <definedName name="FillRateAvg_B6" localSheetId="2">'GVEA|0349-00'!#REF!</definedName>
    <definedName name="FillRateAvg_B6" localSheetId="3">'GVEA|0494-00'!#REF!</definedName>
    <definedName name="FillRateAvg_B6" localSheetId="4">'GVEB|0199-00'!#REF!</definedName>
    <definedName name="FillRateAvg_B6">'B6'!#REF!</definedName>
    <definedName name="FiscalYear" localSheetId="0">'GVEA|0125-00'!$M$4</definedName>
    <definedName name="FiscalYear" localSheetId="1">'GVEA|0348-00'!$M$4</definedName>
    <definedName name="FiscalYear" localSheetId="2">'GVEA|0349-00'!$M$4</definedName>
    <definedName name="FiscalYear" localSheetId="3">'GVEA|0494-00'!$M$4</definedName>
    <definedName name="FiscalYear" localSheetId="4">'GVEB|0199-00'!$M$4</definedName>
    <definedName name="FiscalYear">'B6'!$M$4</definedName>
    <definedName name="FundName" localSheetId="0">'GVEA|0125-00'!$I$5</definedName>
    <definedName name="FundName" localSheetId="1">'GVEA|0348-00'!$I$5</definedName>
    <definedName name="FundName" localSheetId="2">'GVEA|0349-00'!$I$5</definedName>
    <definedName name="FundName" localSheetId="3">'GVEA|0494-00'!$I$5</definedName>
    <definedName name="FundName" localSheetId="4">'GVEB|0199-00'!$I$5</definedName>
    <definedName name="FundName">'B6'!$I$5</definedName>
    <definedName name="FundNum" localSheetId="0">'GVEA|0125-00'!$N$5</definedName>
    <definedName name="FundNum" localSheetId="1">'GVEA|0348-00'!$N$5</definedName>
    <definedName name="FundNum" localSheetId="2">'GVEA|0349-00'!$N$5</definedName>
    <definedName name="FundNum" localSheetId="3">'GVEA|0494-00'!$N$5</definedName>
    <definedName name="FundNum" localSheetId="4">'GVEB|0199-00'!$N$5</definedName>
    <definedName name="FundNum">'B6'!$N$5</definedName>
    <definedName name="FundNumber" localSheetId="0">'GVEA|0125-00'!$N$5</definedName>
    <definedName name="FundNumber" localSheetId="1">'GVEA|0348-00'!$N$5</definedName>
    <definedName name="FundNumber" localSheetId="2">'GVEA|0349-00'!$N$5</definedName>
    <definedName name="FundNumber" localSheetId="3">'GVEA|0494-00'!$N$5</definedName>
    <definedName name="FundNumber" localSheetId="4">'GVEB|0199-00'!$N$5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'GVEA|0125-00'!$C$11</definedName>
    <definedName name="Group_name" localSheetId="1">'GVEA|0348-00'!$C$11</definedName>
    <definedName name="Group_name" localSheetId="2">'GVEA|0349-00'!$C$11</definedName>
    <definedName name="Group_name" localSheetId="3">'GVEA|0494-00'!$C$11</definedName>
    <definedName name="Group_name" localSheetId="4">'GVEB|0199-00'!$C$11</definedName>
    <definedName name="Group_name">'B6'!$C$11</definedName>
    <definedName name="GroupFxdBen" localSheetId="0">'GVEA|0125-00'!$H$11</definedName>
    <definedName name="GroupFxdBen" localSheetId="1">'GVEA|0348-00'!$H$11</definedName>
    <definedName name="GroupFxdBen" localSheetId="2">'GVEA|0349-00'!$H$11</definedName>
    <definedName name="GroupFxdBen" localSheetId="3">'GVEA|0494-00'!$H$11</definedName>
    <definedName name="GroupFxdBen" localSheetId="4">'GVEB|0199-00'!$H$11</definedName>
    <definedName name="GroupFxdBen">'B6'!$H$11</definedName>
    <definedName name="GroupSalary" localSheetId="0">'GVEA|0125-00'!$G$11</definedName>
    <definedName name="GroupSalary" localSheetId="1">'GVEA|0348-00'!$G$11</definedName>
    <definedName name="GroupSalary" localSheetId="2">'GVEA|0349-00'!$G$11</definedName>
    <definedName name="GroupSalary" localSheetId="3">'GVEA|0494-00'!$G$11</definedName>
    <definedName name="GroupSalary" localSheetId="4">'GVEB|0199-00'!$G$11</definedName>
    <definedName name="GroupSalary">'B6'!$G$11</definedName>
    <definedName name="GroupVarBen" localSheetId="0">'GVEA|0125-00'!$I$11</definedName>
    <definedName name="GroupVarBen" localSheetId="1">'GVEA|0348-00'!$I$11</definedName>
    <definedName name="GroupVarBen" localSheetId="2">'GVEA|0349-00'!$I$11</definedName>
    <definedName name="GroupVarBen" localSheetId="3">'GVEA|0494-00'!$I$11</definedName>
    <definedName name="GroupVarBen" localSheetId="4">'GVEB|0199-00'!$I$11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GVEA012500col_1_27TH_PP">Data!$BA$29</definedName>
    <definedName name="GVEA012500col_DHR">Data!$BI$29</definedName>
    <definedName name="GVEA012500col_DHR_BY">Data!$BU$29</definedName>
    <definedName name="GVEA012500col_DHR_CHG">Data!$CG$29</definedName>
    <definedName name="GVEA012500col_FTI_SALARY_ELECT">Data!$AZ$29</definedName>
    <definedName name="GVEA012500col_FTI_SALARY_PERM">Data!$AY$29</definedName>
    <definedName name="GVEA012500col_FTI_SALARY_SSDI">Data!$AX$29</definedName>
    <definedName name="GVEA012500col_Group_Ben">Data!$CM$29</definedName>
    <definedName name="GVEA012500col_Group_Salary">Data!$CL$29</definedName>
    <definedName name="GVEA012500col_HEALTH_ELECT">Data!$BC$29</definedName>
    <definedName name="GVEA012500col_HEALTH_ELECT_BY">Data!$BO$29</definedName>
    <definedName name="GVEA012500col_HEALTH_ELECT_CHG">Data!$CA$29</definedName>
    <definedName name="GVEA012500col_HEALTH_PERM">Data!$BB$29</definedName>
    <definedName name="GVEA012500col_HEALTH_PERM_BY">Data!$BN$29</definedName>
    <definedName name="GVEA012500col_HEALTH_PERM_CHG">Data!$BZ$29</definedName>
    <definedName name="GVEA012500col_INC_FTI">Data!$AS$29</definedName>
    <definedName name="GVEA012500col_LIFE_INS">Data!$BG$29</definedName>
    <definedName name="GVEA012500col_LIFE_INS_BY">Data!$BS$29</definedName>
    <definedName name="GVEA012500col_LIFE_INS_CHG">Data!$CE$29</definedName>
    <definedName name="GVEA012500col_RETIREMENT">Data!$BF$29</definedName>
    <definedName name="GVEA012500col_RETIREMENT_BY">Data!$BR$29</definedName>
    <definedName name="GVEA012500col_RETIREMENT_CHG">Data!$CD$29</definedName>
    <definedName name="GVEA012500col_ROWS_PER_PCN">Data!$AW$29</definedName>
    <definedName name="GVEA012500col_SICK">Data!$BK$29</definedName>
    <definedName name="GVEA012500col_SICK_BY">Data!$BW$29</definedName>
    <definedName name="GVEA012500col_SICK_CHG">Data!$CI$29</definedName>
    <definedName name="GVEA012500col_SSDI">Data!$BD$29</definedName>
    <definedName name="GVEA012500col_SSDI_BY">Data!$BP$29</definedName>
    <definedName name="GVEA012500col_SSDI_CHG">Data!$CB$29</definedName>
    <definedName name="GVEA012500col_SSHI">Data!$BE$29</definedName>
    <definedName name="GVEA012500col_SSHI_BY">Data!$BQ$29</definedName>
    <definedName name="GVEA012500col_SSHI_CHGv">Data!$CC$29</definedName>
    <definedName name="GVEA012500col_TOT_VB_ELECT">Data!$BM$29</definedName>
    <definedName name="GVEA012500col_TOT_VB_ELECT_BY">Data!$BY$29</definedName>
    <definedName name="GVEA012500col_TOT_VB_ELECT_CHG">Data!$CK$29</definedName>
    <definedName name="GVEA012500col_TOT_VB_PERM">Data!$BL$29</definedName>
    <definedName name="GVEA012500col_TOT_VB_PERM_BY">Data!$BX$29</definedName>
    <definedName name="GVEA012500col_TOT_VB_PERM_CHG">Data!$CJ$29</definedName>
    <definedName name="GVEA012500col_TOTAL_ELECT_PCN_FTI">Data!$AT$29</definedName>
    <definedName name="GVEA012500col_TOTAL_ELECT_PCN_FTI_ALT">Data!$AV$29</definedName>
    <definedName name="GVEA012500col_TOTAL_PERM_PCN_FTI">Data!$AU$29</definedName>
    <definedName name="GVEA012500col_UNEMP_INS">Data!$BH$29</definedName>
    <definedName name="GVEA012500col_UNEMP_INS_BY">Data!$BT$29</definedName>
    <definedName name="GVEA012500col_UNEMP_INS_CHG">Data!$CF$29</definedName>
    <definedName name="GVEA012500col_WORKERS_COMP">Data!$BJ$29</definedName>
    <definedName name="GVEA012500col_WORKERS_COMP_BY">Data!$BV$29</definedName>
    <definedName name="GVEA012500col_WORKERS_COMP_CHG">Data!$CH$29</definedName>
    <definedName name="GVEA034800col_1_27TH_PP">Data!$BA$31</definedName>
    <definedName name="GVEA034800col_DHR">Data!$BI$31</definedName>
    <definedName name="GVEA034800col_DHR_BY">Data!$BU$31</definedName>
    <definedName name="GVEA034800col_DHR_CHG">Data!$CG$31</definedName>
    <definedName name="GVEA034800col_FTI_SALARY_ELECT">Data!$AZ$31</definedName>
    <definedName name="GVEA034800col_FTI_SALARY_PERM">Data!$AY$31</definedName>
    <definedName name="GVEA034800col_FTI_SALARY_SSDI">Data!$AX$31</definedName>
    <definedName name="GVEA034800col_Group_Ben">Data!$CM$31</definedName>
    <definedName name="GVEA034800col_Group_Salary">Data!$CL$31</definedName>
    <definedName name="GVEA034800col_HEALTH_ELECT">Data!$BC$31</definedName>
    <definedName name="GVEA034800col_HEALTH_ELECT_BY">Data!$BO$31</definedName>
    <definedName name="GVEA034800col_HEALTH_ELECT_CHG">Data!$CA$31</definedName>
    <definedName name="GVEA034800col_HEALTH_PERM">Data!$BB$31</definedName>
    <definedName name="GVEA034800col_HEALTH_PERM_BY">Data!$BN$31</definedName>
    <definedName name="GVEA034800col_HEALTH_PERM_CHG">Data!$BZ$31</definedName>
    <definedName name="GVEA034800col_INC_FTI">Data!$AS$31</definedName>
    <definedName name="GVEA034800col_LIFE_INS">Data!$BG$31</definedName>
    <definedName name="GVEA034800col_LIFE_INS_BY">Data!$BS$31</definedName>
    <definedName name="GVEA034800col_LIFE_INS_CHG">Data!$CE$31</definedName>
    <definedName name="GVEA034800col_RETIREMENT">Data!$BF$31</definedName>
    <definedName name="GVEA034800col_RETIREMENT_BY">Data!$BR$31</definedName>
    <definedName name="GVEA034800col_RETIREMENT_CHG">Data!$CD$31</definedName>
    <definedName name="GVEA034800col_ROWS_PER_PCN">Data!$AW$31</definedName>
    <definedName name="GVEA034800col_SICK">Data!$BK$31</definedName>
    <definedName name="GVEA034800col_SICK_BY">Data!$BW$31</definedName>
    <definedName name="GVEA034800col_SICK_CHG">Data!$CI$31</definedName>
    <definedName name="GVEA034800col_SSDI">Data!$BD$31</definedName>
    <definedName name="GVEA034800col_SSDI_BY">Data!$BP$31</definedName>
    <definedName name="GVEA034800col_SSDI_CHG">Data!$CB$31</definedName>
    <definedName name="GVEA034800col_SSHI">Data!$BE$31</definedName>
    <definedName name="GVEA034800col_SSHI_BY">Data!$BQ$31</definedName>
    <definedName name="GVEA034800col_SSHI_CHGv">Data!$CC$31</definedName>
    <definedName name="GVEA034800col_TOT_VB_ELECT">Data!$BM$31</definedName>
    <definedName name="GVEA034800col_TOT_VB_ELECT_BY">Data!$BY$31</definedName>
    <definedName name="GVEA034800col_TOT_VB_ELECT_CHG">Data!$CK$31</definedName>
    <definedName name="GVEA034800col_TOT_VB_PERM">Data!$BL$31</definedName>
    <definedName name="GVEA034800col_TOT_VB_PERM_BY">Data!$BX$31</definedName>
    <definedName name="GVEA034800col_TOT_VB_PERM_CHG">Data!$CJ$31</definedName>
    <definedName name="GVEA034800col_TOTAL_ELECT_PCN_FTI">Data!$AT$31</definedName>
    <definedName name="GVEA034800col_TOTAL_ELECT_PCN_FTI_ALT">Data!$AV$31</definedName>
    <definedName name="GVEA034800col_TOTAL_PERM_PCN_FTI">Data!$AU$31</definedName>
    <definedName name="GVEA034800col_UNEMP_INS">Data!$BH$31</definedName>
    <definedName name="GVEA034800col_UNEMP_INS_BY">Data!$BT$31</definedName>
    <definedName name="GVEA034800col_UNEMP_INS_CHG">Data!$CF$31</definedName>
    <definedName name="GVEA034800col_WORKERS_COMP">Data!$BJ$31</definedName>
    <definedName name="GVEA034800col_WORKERS_COMP_BY">Data!$BV$31</definedName>
    <definedName name="GVEA034800col_WORKERS_COMP_CHG">Data!$CH$31</definedName>
    <definedName name="GVEA034900col_1_27TH_PP">Data!$BA$33</definedName>
    <definedName name="GVEA034900col_DHR">Data!$BI$33</definedName>
    <definedName name="GVEA034900col_DHR_BY">Data!$BU$33</definedName>
    <definedName name="GVEA034900col_DHR_CHG">Data!$CG$33</definedName>
    <definedName name="GVEA034900col_FTI_SALARY_ELECT">Data!$AZ$33</definedName>
    <definedName name="GVEA034900col_FTI_SALARY_PERM">Data!$AY$33</definedName>
    <definedName name="GVEA034900col_FTI_SALARY_SSDI">Data!$AX$33</definedName>
    <definedName name="GVEA034900col_Group_Ben">Data!$CM$33</definedName>
    <definedName name="GVEA034900col_Group_Salary">Data!$CL$33</definedName>
    <definedName name="GVEA034900col_HEALTH_ELECT">Data!$BC$33</definedName>
    <definedName name="GVEA034900col_HEALTH_ELECT_BY">Data!$BO$33</definedName>
    <definedName name="GVEA034900col_HEALTH_ELECT_CHG">Data!$CA$33</definedName>
    <definedName name="GVEA034900col_HEALTH_PERM">Data!$BB$33</definedName>
    <definedName name="GVEA034900col_HEALTH_PERM_BY">Data!$BN$33</definedName>
    <definedName name="GVEA034900col_HEALTH_PERM_CHG">Data!$BZ$33</definedName>
    <definedName name="GVEA034900col_INC_FTI">Data!$AS$33</definedName>
    <definedName name="GVEA034900col_LIFE_INS">Data!$BG$33</definedName>
    <definedName name="GVEA034900col_LIFE_INS_BY">Data!$BS$33</definedName>
    <definedName name="GVEA034900col_LIFE_INS_CHG">Data!$CE$33</definedName>
    <definedName name="GVEA034900col_RETIREMENT">Data!$BF$33</definedName>
    <definedName name="GVEA034900col_RETIREMENT_BY">Data!$BR$33</definedName>
    <definedName name="GVEA034900col_RETIREMENT_CHG">Data!$CD$33</definedName>
    <definedName name="GVEA034900col_ROWS_PER_PCN">Data!$AW$33</definedName>
    <definedName name="GVEA034900col_SICK">Data!$BK$33</definedName>
    <definedName name="GVEA034900col_SICK_BY">Data!$BW$33</definedName>
    <definedName name="GVEA034900col_SICK_CHG">Data!$CI$33</definedName>
    <definedName name="GVEA034900col_SSDI">Data!$BD$33</definedName>
    <definedName name="GVEA034900col_SSDI_BY">Data!$BP$33</definedName>
    <definedName name="GVEA034900col_SSDI_CHG">Data!$CB$33</definedName>
    <definedName name="GVEA034900col_SSHI">Data!$BE$33</definedName>
    <definedName name="GVEA034900col_SSHI_BY">Data!$BQ$33</definedName>
    <definedName name="GVEA034900col_SSHI_CHGv">Data!$CC$33</definedName>
    <definedName name="GVEA034900col_TOT_VB_ELECT">Data!$BM$33</definedName>
    <definedName name="GVEA034900col_TOT_VB_ELECT_BY">Data!$BY$33</definedName>
    <definedName name="GVEA034900col_TOT_VB_ELECT_CHG">Data!$CK$33</definedName>
    <definedName name="GVEA034900col_TOT_VB_PERM">Data!$BL$33</definedName>
    <definedName name="GVEA034900col_TOT_VB_PERM_BY">Data!$BX$33</definedName>
    <definedName name="GVEA034900col_TOT_VB_PERM_CHG">Data!$CJ$33</definedName>
    <definedName name="GVEA034900col_TOTAL_ELECT_PCN_FTI">Data!$AT$33</definedName>
    <definedName name="GVEA034900col_TOTAL_ELECT_PCN_FTI_ALT">Data!$AV$33</definedName>
    <definedName name="GVEA034900col_TOTAL_PERM_PCN_FTI">Data!$AU$33</definedName>
    <definedName name="GVEA034900col_UNEMP_INS">Data!$BH$33</definedName>
    <definedName name="GVEA034900col_UNEMP_INS_BY">Data!$BT$33</definedName>
    <definedName name="GVEA034900col_UNEMP_INS_CHG">Data!$CF$33</definedName>
    <definedName name="GVEA034900col_WORKERS_COMP">Data!$BJ$33</definedName>
    <definedName name="GVEA034900col_WORKERS_COMP_BY">Data!$BV$33</definedName>
    <definedName name="GVEA034900col_WORKERS_COMP_CHG">Data!$CH$33</definedName>
    <definedName name="GVEA049400col_1_27TH_PP">Data!$BA$36</definedName>
    <definedName name="GVEA049400col_DHR">Data!$BI$36</definedName>
    <definedName name="GVEA049400col_DHR_BY">Data!$BU$36</definedName>
    <definedName name="GVEA049400col_DHR_CHG">Data!$CG$36</definedName>
    <definedName name="GVEA049400col_FTI_SALARY_ELECT">Data!$AZ$36</definedName>
    <definedName name="GVEA049400col_FTI_SALARY_PERM">Data!$AY$36</definedName>
    <definedName name="GVEA049400col_FTI_SALARY_SSDI">Data!$AX$36</definedName>
    <definedName name="GVEA049400col_Group_Ben">Data!$CM$36</definedName>
    <definedName name="GVEA049400col_Group_Salary">Data!$CL$36</definedName>
    <definedName name="GVEA049400col_HEALTH_ELECT">Data!$BC$36</definedName>
    <definedName name="GVEA049400col_HEALTH_ELECT_BY">Data!$BO$36</definedName>
    <definedName name="GVEA049400col_HEALTH_ELECT_CHG">Data!$CA$36</definedName>
    <definedName name="GVEA049400col_HEALTH_PERM">Data!$BB$36</definedName>
    <definedName name="GVEA049400col_HEALTH_PERM_BY">Data!$BN$36</definedName>
    <definedName name="GVEA049400col_HEALTH_PERM_CHG">Data!$BZ$36</definedName>
    <definedName name="GVEA049400col_INC_FTI">Data!$AS$36</definedName>
    <definedName name="GVEA049400col_LIFE_INS">Data!$BG$36</definedName>
    <definedName name="GVEA049400col_LIFE_INS_BY">Data!$BS$36</definedName>
    <definedName name="GVEA049400col_LIFE_INS_CHG">Data!$CE$36</definedName>
    <definedName name="GVEA049400col_RETIREMENT">Data!$BF$36</definedName>
    <definedName name="GVEA049400col_RETIREMENT_BY">Data!$BR$36</definedName>
    <definedName name="GVEA049400col_RETIREMENT_CHG">Data!$CD$36</definedName>
    <definedName name="GVEA049400col_ROWS_PER_PCN">Data!$AW$36</definedName>
    <definedName name="GVEA049400col_SICK">Data!$BK$36</definedName>
    <definedName name="GVEA049400col_SICK_BY">Data!$BW$36</definedName>
    <definedName name="GVEA049400col_SICK_CHG">Data!$CI$36</definedName>
    <definedName name="GVEA049400col_SSDI">Data!$BD$36</definedName>
    <definedName name="GVEA049400col_SSDI_BY">Data!$BP$36</definedName>
    <definedName name="GVEA049400col_SSDI_CHG">Data!$CB$36</definedName>
    <definedName name="GVEA049400col_SSHI">Data!$BE$36</definedName>
    <definedName name="GVEA049400col_SSHI_BY">Data!$BQ$36</definedName>
    <definedName name="GVEA049400col_SSHI_CHGv">Data!$CC$36</definedName>
    <definedName name="GVEA049400col_TOT_VB_ELECT">Data!$BM$36</definedName>
    <definedName name="GVEA049400col_TOT_VB_ELECT_BY">Data!$BY$36</definedName>
    <definedName name="GVEA049400col_TOT_VB_ELECT_CHG">Data!$CK$36</definedName>
    <definedName name="GVEA049400col_TOT_VB_PERM">Data!$BL$36</definedName>
    <definedName name="GVEA049400col_TOT_VB_PERM_BY">Data!$BX$36</definedName>
    <definedName name="GVEA049400col_TOT_VB_PERM_CHG">Data!$CJ$36</definedName>
    <definedName name="GVEA049400col_TOTAL_ELECT_PCN_FTI">Data!$AT$36</definedName>
    <definedName name="GVEA049400col_TOTAL_ELECT_PCN_FTI_ALT">Data!$AV$36</definedName>
    <definedName name="GVEA049400col_TOTAL_PERM_PCN_FTI">Data!$AU$36</definedName>
    <definedName name="GVEA049400col_UNEMP_INS">Data!$BH$36</definedName>
    <definedName name="GVEA049400col_UNEMP_INS_BY">Data!$BT$36</definedName>
    <definedName name="GVEA049400col_UNEMP_INS_CHG">Data!$CF$36</definedName>
    <definedName name="GVEA049400col_WORKERS_COMP">Data!$BJ$36</definedName>
    <definedName name="GVEA049400col_WORKERS_COMP_BY">Data!$BV$36</definedName>
    <definedName name="GVEA049400col_WORKERS_COMP_CHG">Data!$CH$36</definedName>
    <definedName name="GVEB019900col_1_27TH_PP">Data!$BA$38</definedName>
    <definedName name="GVEB019900col_DHR">Data!$BI$38</definedName>
    <definedName name="GVEB019900col_DHR_BY">Data!$BU$38</definedName>
    <definedName name="GVEB019900col_DHR_CHG">Data!$CG$38</definedName>
    <definedName name="GVEB019900col_FTI_SALARY_ELECT">Data!$AZ$38</definedName>
    <definedName name="GVEB019900col_FTI_SALARY_PERM">Data!$AY$38</definedName>
    <definedName name="GVEB019900col_FTI_SALARY_SSDI">Data!$AX$38</definedName>
    <definedName name="GVEB019900col_Group_Ben">Data!$CM$38</definedName>
    <definedName name="GVEB019900col_Group_Salary">Data!$CL$38</definedName>
    <definedName name="GVEB019900col_HEALTH_ELECT">Data!$BC$38</definedName>
    <definedName name="GVEB019900col_HEALTH_ELECT_BY">Data!$BO$38</definedName>
    <definedName name="GVEB019900col_HEALTH_ELECT_CHG">Data!$CA$38</definedName>
    <definedName name="GVEB019900col_HEALTH_PERM">Data!$BB$38</definedName>
    <definedName name="GVEB019900col_HEALTH_PERM_BY">Data!$BN$38</definedName>
    <definedName name="GVEB019900col_HEALTH_PERM_CHG">Data!$BZ$38</definedName>
    <definedName name="GVEB019900col_INC_FTI">Data!$AS$38</definedName>
    <definedName name="GVEB019900col_LIFE_INS">Data!$BG$38</definedName>
    <definedName name="GVEB019900col_LIFE_INS_BY">Data!$BS$38</definedName>
    <definedName name="GVEB019900col_LIFE_INS_CHG">Data!$CE$38</definedName>
    <definedName name="GVEB019900col_RETIREMENT">Data!$BF$38</definedName>
    <definedName name="GVEB019900col_RETIREMENT_BY">Data!$BR$38</definedName>
    <definedName name="GVEB019900col_RETIREMENT_CHG">Data!$CD$38</definedName>
    <definedName name="GVEB019900col_ROWS_PER_PCN">Data!$AW$38</definedName>
    <definedName name="GVEB019900col_SICK">Data!$BK$38</definedName>
    <definedName name="GVEB019900col_SICK_BY">Data!$BW$38</definedName>
    <definedName name="GVEB019900col_SICK_CHG">Data!$CI$38</definedName>
    <definedName name="GVEB019900col_SSDI">Data!$BD$38</definedName>
    <definedName name="GVEB019900col_SSDI_BY">Data!$BP$38</definedName>
    <definedName name="GVEB019900col_SSDI_CHG">Data!$CB$38</definedName>
    <definedName name="GVEB019900col_SSHI">Data!$BE$38</definedName>
    <definedName name="GVEB019900col_SSHI_BY">Data!$BQ$38</definedName>
    <definedName name="GVEB019900col_SSHI_CHGv">Data!$CC$38</definedName>
    <definedName name="GVEB019900col_TOT_VB_ELECT">Data!$BM$38</definedName>
    <definedName name="GVEB019900col_TOT_VB_ELECT_BY">Data!$BY$38</definedName>
    <definedName name="GVEB019900col_TOT_VB_ELECT_CHG">Data!$CK$38</definedName>
    <definedName name="GVEB019900col_TOT_VB_PERM">Data!$BL$38</definedName>
    <definedName name="GVEB019900col_TOT_VB_PERM_BY">Data!$BX$38</definedName>
    <definedName name="GVEB019900col_TOT_VB_PERM_CHG">Data!$CJ$38</definedName>
    <definedName name="GVEB019900col_TOTAL_ELECT_PCN_FTI">Data!$AT$38</definedName>
    <definedName name="GVEB019900col_TOTAL_ELECT_PCN_FTI_ALT">Data!$AV$38</definedName>
    <definedName name="GVEB019900col_TOTAL_PERM_PCN_FTI">Data!$AU$38</definedName>
    <definedName name="GVEB019900col_UNEMP_INS">Data!$BH$38</definedName>
    <definedName name="GVEB019900col_UNEMP_INS_BY">Data!$BT$38</definedName>
    <definedName name="GVEB019900col_UNEMP_INS_CHG">Data!$CF$38</definedName>
    <definedName name="GVEB019900col_WORKERS_COMP">Data!$BJ$38</definedName>
    <definedName name="GVEB019900col_WORKERS_COMP_BY">Data!$BV$38</definedName>
    <definedName name="GVEB019900col_WORKERS_COMP_CHG">Data!$CH$38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'GVEA|0125-00'!$M$2</definedName>
    <definedName name="LUMAFund" localSheetId="1">'GVEA|0348-00'!$M$2</definedName>
    <definedName name="LUMAFund" localSheetId="2">'GVEA|0349-00'!$M$2</definedName>
    <definedName name="LUMAFund" localSheetId="3">'GVEA|0494-00'!$M$2</definedName>
    <definedName name="LUMAFund" localSheetId="4">'GVEB|0199-00'!$M$2</definedName>
    <definedName name="LUMAFund">'B6'!$M$2</definedName>
    <definedName name="MAXSSDI">Benefits!$F$5</definedName>
    <definedName name="MAXSSDIBY">Benefits!$G$5</definedName>
    <definedName name="NEW_AdjGroup" localSheetId="0">'GVEA|0125-00'!$AC$39</definedName>
    <definedName name="NEW_AdjGroup" localSheetId="1">'GVEA|0348-00'!$AC$39</definedName>
    <definedName name="NEW_AdjGroup" localSheetId="2">'GVEA|0349-00'!$AC$39</definedName>
    <definedName name="NEW_AdjGroup" localSheetId="3">'GVEA|0494-00'!$AC$39</definedName>
    <definedName name="NEW_AdjGroup" localSheetId="4">'GVEB|0199-00'!$AC$39</definedName>
    <definedName name="NEW_AdjGroup">'B6'!$AC$39</definedName>
    <definedName name="NEW_AdjGroupSalary" localSheetId="0">'GVEA|0125-00'!$AA$39</definedName>
    <definedName name="NEW_AdjGroupSalary" localSheetId="1">'GVEA|0348-00'!$AA$39</definedName>
    <definedName name="NEW_AdjGroupSalary" localSheetId="2">'GVEA|0349-00'!$AA$39</definedName>
    <definedName name="NEW_AdjGroupSalary" localSheetId="3">'GVEA|0494-00'!$AA$39</definedName>
    <definedName name="NEW_AdjGroupSalary" localSheetId="4">'GVEB|0199-00'!$AA$39</definedName>
    <definedName name="NEW_AdjGroupSalary">'B6'!$AA$39</definedName>
    <definedName name="NEW_AdjGroupVB" localSheetId="0">'GVEA|0125-00'!$AB$39</definedName>
    <definedName name="NEW_AdjGroupVB" localSheetId="1">'GVEA|0348-00'!$AB$39</definedName>
    <definedName name="NEW_AdjGroupVB" localSheetId="2">'GVEA|0349-00'!$AB$39</definedName>
    <definedName name="NEW_AdjGroupVB" localSheetId="3">'GVEA|0494-00'!$AB$39</definedName>
    <definedName name="NEW_AdjGroupVB" localSheetId="4">'GVEB|0199-00'!$AB$39</definedName>
    <definedName name="NEW_AdjGroupVB">'B6'!$AB$39</definedName>
    <definedName name="NEW_AdjONLYGroup" localSheetId="0">'GVEA|0125-00'!$AC$45</definedName>
    <definedName name="NEW_AdjONLYGroup" localSheetId="1">'GVEA|0348-00'!$AC$45</definedName>
    <definedName name="NEW_AdjONLYGroup" localSheetId="2">'GVEA|0349-00'!$AC$45</definedName>
    <definedName name="NEW_AdjONLYGroup" localSheetId="3">'GVEA|0494-00'!$AC$45</definedName>
    <definedName name="NEW_AdjONLYGroup" localSheetId="4">'GVEB|0199-00'!$AC$45</definedName>
    <definedName name="NEW_AdjONLYGroup">'B6'!$AC$45</definedName>
    <definedName name="NEW_AdjONLYGroupSalary" localSheetId="0">'GVEA|0125-00'!$AA$45</definedName>
    <definedName name="NEW_AdjONLYGroupSalary" localSheetId="1">'GVEA|0348-00'!$AA$45</definedName>
    <definedName name="NEW_AdjONLYGroupSalary" localSheetId="2">'GVEA|0349-00'!$AA$45</definedName>
    <definedName name="NEW_AdjONLYGroupSalary" localSheetId="3">'GVEA|0494-00'!$AA$45</definedName>
    <definedName name="NEW_AdjONLYGroupSalary" localSheetId="4">'GVEB|0199-00'!$AA$45</definedName>
    <definedName name="NEW_AdjONLYGroupSalary">'B6'!$AA$45</definedName>
    <definedName name="NEW_AdjONLYGroupVB" localSheetId="0">'GVEA|0125-00'!$AB$45</definedName>
    <definedName name="NEW_AdjONLYGroupVB" localSheetId="1">'GVEA|0348-00'!$AB$45</definedName>
    <definedName name="NEW_AdjONLYGroupVB" localSheetId="2">'GVEA|0349-00'!$AB$45</definedName>
    <definedName name="NEW_AdjONLYGroupVB" localSheetId="3">'GVEA|0494-00'!$AB$45</definedName>
    <definedName name="NEW_AdjONLYGroupVB" localSheetId="4">'GVEB|0199-00'!$AB$45</definedName>
    <definedName name="NEW_AdjONLYGroupVB">'B6'!$AB$45</definedName>
    <definedName name="NEW_AdjONLYPerm" localSheetId="0">'GVEA|0125-00'!$AC$44</definedName>
    <definedName name="NEW_AdjONLYPerm" localSheetId="1">'GVEA|0348-00'!$AC$44</definedName>
    <definedName name="NEW_AdjONLYPerm" localSheetId="2">'GVEA|0349-00'!$AC$44</definedName>
    <definedName name="NEW_AdjONLYPerm" localSheetId="3">'GVEA|0494-00'!$AC$44</definedName>
    <definedName name="NEW_AdjONLYPerm" localSheetId="4">'GVEB|0199-00'!$AC$44</definedName>
    <definedName name="NEW_AdjONLYPerm">'B6'!$AC$44</definedName>
    <definedName name="NEW_AdjONLYPermSalary" localSheetId="0">'GVEA|0125-00'!$AA$44</definedName>
    <definedName name="NEW_AdjONLYPermSalary" localSheetId="1">'GVEA|0348-00'!$AA$44</definedName>
    <definedName name="NEW_AdjONLYPermSalary" localSheetId="2">'GVEA|0349-00'!$AA$44</definedName>
    <definedName name="NEW_AdjONLYPermSalary" localSheetId="3">'GVEA|0494-00'!$AA$44</definedName>
    <definedName name="NEW_AdjONLYPermSalary" localSheetId="4">'GVEB|0199-00'!$AA$44</definedName>
    <definedName name="NEW_AdjONLYPermSalary">'B6'!$AA$44</definedName>
    <definedName name="NEW_AdjONLYPermVB" localSheetId="0">'GVEA|0125-00'!$AB$44</definedName>
    <definedName name="NEW_AdjONLYPermVB" localSheetId="1">'GVEA|0348-00'!$AB$44</definedName>
    <definedName name="NEW_AdjONLYPermVB" localSheetId="2">'GVEA|0349-00'!$AB$44</definedName>
    <definedName name="NEW_AdjONLYPermVB" localSheetId="3">'GVEA|0494-00'!$AB$44</definedName>
    <definedName name="NEW_AdjONLYPermVB" localSheetId="4">'GVEB|0199-00'!$AB$44</definedName>
    <definedName name="NEW_AdjONLYPermVB">'B6'!$AB$44</definedName>
    <definedName name="NEW_AdjPerm" localSheetId="0">'GVEA|0125-00'!$AC$38</definedName>
    <definedName name="NEW_AdjPerm" localSheetId="1">'GVEA|0348-00'!$AC$38</definedName>
    <definedName name="NEW_AdjPerm" localSheetId="2">'GVEA|0349-00'!$AC$38</definedName>
    <definedName name="NEW_AdjPerm" localSheetId="3">'GVEA|0494-00'!$AC$38</definedName>
    <definedName name="NEW_AdjPerm" localSheetId="4">'GVEB|0199-00'!$AC$38</definedName>
    <definedName name="NEW_AdjPerm">'B6'!$AC$38</definedName>
    <definedName name="NEW_AdjPermSalary" localSheetId="0">'GVEA|0125-00'!$AA$38</definedName>
    <definedName name="NEW_AdjPermSalary" localSheetId="1">'GVEA|0348-00'!$AA$38</definedName>
    <definedName name="NEW_AdjPermSalary" localSheetId="2">'GVEA|0349-00'!$AA$38</definedName>
    <definedName name="NEW_AdjPermSalary" localSheetId="3">'GVEA|0494-00'!$AA$38</definedName>
    <definedName name="NEW_AdjPermSalary" localSheetId="4">'GVEB|0199-00'!$AA$38</definedName>
    <definedName name="NEW_AdjPermSalary">'B6'!$AA$38</definedName>
    <definedName name="NEW_AdjPermVB" localSheetId="0">'GVEA|0125-00'!$AB$38</definedName>
    <definedName name="NEW_AdjPermVB" localSheetId="1">'GVEA|0348-00'!$AB$38</definedName>
    <definedName name="NEW_AdjPermVB" localSheetId="2">'GVEA|0349-00'!$AB$38</definedName>
    <definedName name="NEW_AdjPermVB" localSheetId="3">'GVEA|0494-00'!$AB$38</definedName>
    <definedName name="NEW_AdjPermVB" localSheetId="4">'GVEB|0199-00'!$AB$38</definedName>
    <definedName name="NEW_AdjPermVB">'B6'!$AB$38</definedName>
    <definedName name="NEW_GroupFilled" localSheetId="0">'GVEA|0125-00'!$AC$11</definedName>
    <definedName name="NEW_GroupFilled" localSheetId="1">'GVEA|0348-00'!$AC$11</definedName>
    <definedName name="NEW_GroupFilled" localSheetId="2">'GVEA|0349-00'!$AC$11</definedName>
    <definedName name="NEW_GroupFilled" localSheetId="3">'GVEA|0494-00'!$AC$11</definedName>
    <definedName name="NEW_GroupFilled" localSheetId="4">'GVEB|0199-00'!$AC$11</definedName>
    <definedName name="NEW_GroupFilled">'B6'!$AC$11</definedName>
    <definedName name="NEW_GroupSalaryFilled" localSheetId="0">'GVEA|0125-00'!$AA$11</definedName>
    <definedName name="NEW_GroupSalaryFilled" localSheetId="1">'GVEA|0348-00'!$AA$11</definedName>
    <definedName name="NEW_GroupSalaryFilled" localSheetId="2">'GVEA|0349-00'!$AA$11</definedName>
    <definedName name="NEW_GroupSalaryFilled" localSheetId="3">'GVEA|0494-00'!$AA$11</definedName>
    <definedName name="NEW_GroupSalaryFilled" localSheetId="4">'GVEB|0199-00'!$AA$11</definedName>
    <definedName name="NEW_GroupSalaryFilled">'B6'!$AA$11</definedName>
    <definedName name="NEW_GroupVBFilled" localSheetId="0">'GVEA|0125-00'!$AB$11</definedName>
    <definedName name="NEW_GroupVBFilled" localSheetId="1">'GVEA|0348-00'!$AB$11</definedName>
    <definedName name="NEW_GroupVBFilled" localSheetId="2">'GVEA|0349-00'!$AB$11</definedName>
    <definedName name="NEW_GroupVBFilled" localSheetId="3">'GVEA|0494-00'!$AB$11</definedName>
    <definedName name="NEW_GroupVBFilled" localSheetId="4">'GVEB|0199-00'!$AB$11</definedName>
    <definedName name="NEW_GroupVBFilled">'B6'!$AB$11</definedName>
    <definedName name="NEW_PermFilled" localSheetId="0">'GVEA|0125-00'!$AC$10</definedName>
    <definedName name="NEW_PermFilled" localSheetId="1">'GVEA|0348-00'!$AC$10</definedName>
    <definedName name="NEW_PermFilled" localSheetId="2">'GVEA|0349-00'!$AC$10</definedName>
    <definedName name="NEW_PermFilled" localSheetId="3">'GVEA|0494-00'!$AC$10</definedName>
    <definedName name="NEW_PermFilled" localSheetId="4">'GVEB|0199-00'!$AC$10</definedName>
    <definedName name="NEW_PermFilled">'B6'!$AC$10</definedName>
    <definedName name="NEW_PermSalaryFilled" localSheetId="0">'GVEA|0125-00'!$AA$10</definedName>
    <definedName name="NEW_PermSalaryFilled" localSheetId="1">'GVEA|0348-00'!$AA$10</definedName>
    <definedName name="NEW_PermSalaryFilled" localSheetId="2">'GVEA|0349-00'!$AA$10</definedName>
    <definedName name="NEW_PermSalaryFilled" localSheetId="3">'GVEA|0494-00'!$AA$10</definedName>
    <definedName name="NEW_PermSalaryFilled" localSheetId="4">'GVEB|0199-00'!$AA$10</definedName>
    <definedName name="NEW_PermSalaryFilled">'B6'!$AA$10</definedName>
    <definedName name="NEW_PermVBFilled" localSheetId="0">'GVEA|0125-00'!$AB$10</definedName>
    <definedName name="NEW_PermVBFilled" localSheetId="1">'GVEA|0348-00'!$AB$10</definedName>
    <definedName name="NEW_PermVBFilled" localSheetId="2">'GVEA|0349-00'!$AB$10</definedName>
    <definedName name="NEW_PermVBFilled" localSheetId="3">'GVEA|0494-00'!$AB$10</definedName>
    <definedName name="NEW_PermVBFilled" localSheetId="4">'GVEB|0199-00'!$AB$10</definedName>
    <definedName name="NEW_PermVBFilled">'B6'!$AB$10</definedName>
    <definedName name="OneTimePC_Total" localSheetId="0">'GVEA|0125-00'!$J$63</definedName>
    <definedName name="OneTimePC_Total" localSheetId="1">'GVEA|0348-00'!$J$63</definedName>
    <definedName name="OneTimePC_Total" localSheetId="2">'GVEA|0349-00'!$J$63</definedName>
    <definedName name="OneTimePC_Total" localSheetId="3">'GVEA|0494-00'!$J$63</definedName>
    <definedName name="OneTimePC_Total" localSheetId="4">'GVEB|0199-00'!$J$63</definedName>
    <definedName name="OneTimePC_Total">'B6'!$J$63</definedName>
    <definedName name="OrigApprop" localSheetId="0">'GVEA|0125-00'!$E$15</definedName>
    <definedName name="OrigApprop" localSheetId="1">'GVEA|0348-00'!$E$15</definedName>
    <definedName name="OrigApprop" localSheetId="2">'GVEA|0349-00'!$E$15</definedName>
    <definedName name="OrigApprop" localSheetId="3">'GVEA|0494-00'!$E$15</definedName>
    <definedName name="OrigApprop" localSheetId="4">'GVEB|0199-00'!$E$15</definedName>
    <definedName name="OrigApprop">'B6'!$E$15</definedName>
    <definedName name="perm_name" localSheetId="0">'GVEA|0125-00'!$C$10</definedName>
    <definedName name="perm_name" localSheetId="1">'GVEA|0348-00'!$C$10</definedName>
    <definedName name="perm_name" localSheetId="2">'GVEA|0349-00'!$C$10</definedName>
    <definedName name="perm_name" localSheetId="3">'GVEA|0494-00'!$C$10</definedName>
    <definedName name="perm_name" localSheetId="4">'GVEB|0199-00'!$C$10</definedName>
    <definedName name="perm_name">'B6'!$C$10</definedName>
    <definedName name="PermFTP" localSheetId="0">'GVEA|0125-00'!$F$10</definedName>
    <definedName name="PermFTP" localSheetId="1">'GVEA|0348-00'!$F$10</definedName>
    <definedName name="PermFTP" localSheetId="2">'GVEA|0349-00'!$F$10</definedName>
    <definedName name="PermFTP" localSheetId="3">'GVEA|0494-00'!$F$10</definedName>
    <definedName name="PermFTP" localSheetId="4">'GVEB|0199-00'!$F$10</definedName>
    <definedName name="PermFTP">'B6'!$F$10</definedName>
    <definedName name="PermFxdBen" localSheetId="0">'GVEA|0125-00'!$H$10</definedName>
    <definedName name="PermFxdBen" localSheetId="1">'GVEA|0348-00'!$H$10</definedName>
    <definedName name="PermFxdBen" localSheetId="2">'GVEA|0349-00'!$H$10</definedName>
    <definedName name="PermFxdBen" localSheetId="3">'GVEA|0494-00'!$H$10</definedName>
    <definedName name="PermFxdBen" localSheetId="4">'GVEB|0199-00'!$H$10</definedName>
    <definedName name="PermFxdBen">'B6'!$H$10</definedName>
    <definedName name="PermFxdBenChg" localSheetId="0">'GVEA|0125-00'!$L$10</definedName>
    <definedName name="PermFxdBenChg" localSheetId="1">'GVEA|0348-00'!$L$10</definedName>
    <definedName name="PermFxdBenChg" localSheetId="2">'GVEA|0349-00'!$L$10</definedName>
    <definedName name="PermFxdBenChg" localSheetId="3">'GVEA|0494-00'!$L$10</definedName>
    <definedName name="PermFxdBenChg" localSheetId="4">'GVEB|0199-00'!$L$10</definedName>
    <definedName name="PermFxdBenChg">'B6'!$L$10</definedName>
    <definedName name="PermFxdChg" localSheetId="0">'GVEA|0125-00'!$L$10</definedName>
    <definedName name="PermFxdChg" localSheetId="1">'GVEA|0348-00'!$L$10</definedName>
    <definedName name="PermFxdChg" localSheetId="2">'GVEA|0349-00'!$L$10</definedName>
    <definedName name="PermFxdChg" localSheetId="3">'GVEA|0494-00'!$L$10</definedName>
    <definedName name="PermFxdChg" localSheetId="4">'GVEB|0199-00'!$L$10</definedName>
    <definedName name="PermFxdChg">'B6'!$L$10</definedName>
    <definedName name="PermSalary" localSheetId="0">'GVEA|0125-00'!$G$10</definedName>
    <definedName name="PermSalary" localSheetId="1">'GVEA|0348-00'!$G$10</definedName>
    <definedName name="PermSalary" localSheetId="2">'GVEA|0349-00'!$G$10</definedName>
    <definedName name="PermSalary" localSheetId="3">'GVEA|0494-00'!$G$10</definedName>
    <definedName name="PermSalary" localSheetId="4">'GVEB|0199-00'!$G$10</definedName>
    <definedName name="PermSalary">'B6'!$G$10</definedName>
    <definedName name="PermVarBen" localSheetId="0">'GVEA|0125-00'!$I$10</definedName>
    <definedName name="PermVarBen" localSheetId="1">'GVEA|0348-00'!$I$10</definedName>
    <definedName name="PermVarBen" localSheetId="2">'GVEA|0349-00'!$I$10</definedName>
    <definedName name="PermVarBen" localSheetId="3">'GVEA|0494-00'!$I$10</definedName>
    <definedName name="PermVarBen" localSheetId="4">'GVEB|0199-00'!$I$10</definedName>
    <definedName name="PermVarBen">'B6'!$I$10</definedName>
    <definedName name="PermVarBenChg" localSheetId="0">'GVEA|0125-00'!$M$10</definedName>
    <definedName name="PermVarBenChg" localSheetId="1">'GVEA|0348-00'!$M$10</definedName>
    <definedName name="PermVarBenChg" localSheetId="2">'GVEA|0349-00'!$M$10</definedName>
    <definedName name="PermVarBenChg" localSheetId="3">'GVEA|0494-00'!$M$10</definedName>
    <definedName name="PermVarBenChg" localSheetId="4">'GVEB|0199-00'!$M$10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7">'B6'!$A$1:$N$81</definedName>
    <definedName name="_xlnm.Print_Area" localSheetId="6">Benefits!$A$1:$G$36</definedName>
    <definedName name="_xlnm.Print_Area" localSheetId="0">'GVEA|0125-00'!$A$1:$N$81</definedName>
    <definedName name="_xlnm.Print_Area" localSheetId="1">'GVEA|0348-00'!$A$1:$N$81</definedName>
    <definedName name="_xlnm.Print_Area" localSheetId="2">'GVEA|0349-00'!$A$1:$N$81</definedName>
    <definedName name="_xlnm.Print_Area" localSheetId="3">'GVEA|0494-00'!$A$1:$N$81</definedName>
    <definedName name="_xlnm.Print_Area" localSheetId="4">'GVEB|0199-00'!$A$1:$N$81</definedName>
    <definedName name="Prog_Unadjusted_Total" localSheetId="0">'GVEA|0125-00'!$C$8:$N$16</definedName>
    <definedName name="Prog_Unadjusted_Total" localSheetId="1">'GVEA|0348-00'!$C$8:$N$16</definedName>
    <definedName name="Prog_Unadjusted_Total" localSheetId="2">'GVEA|0349-00'!$C$8:$N$16</definedName>
    <definedName name="Prog_Unadjusted_Total" localSheetId="3">'GVEA|0494-00'!$C$8:$N$16</definedName>
    <definedName name="Prog_Unadjusted_Total" localSheetId="4">'GVEB|0199-00'!$C$8:$N$16</definedName>
    <definedName name="Prog_Unadjusted_Total">'B6'!$C$8:$N$16</definedName>
    <definedName name="Program" localSheetId="0">'GVEA|0125-00'!$D$3</definedName>
    <definedName name="Program" localSheetId="1">'GVEA|0348-00'!$D$3</definedName>
    <definedName name="Program" localSheetId="2">'GVEA|0349-00'!$D$3</definedName>
    <definedName name="Program" localSheetId="3">'GVEA|0494-00'!$D$3</definedName>
    <definedName name="Program" localSheetId="4">'GVEB|0199-00'!$D$3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'GVEA|0125-00'!$G$52</definedName>
    <definedName name="RoundedAppropSalary" localSheetId="1">'GVEA|0348-00'!$G$52</definedName>
    <definedName name="RoundedAppropSalary" localSheetId="2">'GVEA|0349-00'!$G$52</definedName>
    <definedName name="RoundedAppropSalary" localSheetId="3">'GVEA|0494-00'!$G$52</definedName>
    <definedName name="RoundedAppropSalary" localSheetId="4">'GVEB|0199-00'!$G$52</definedName>
    <definedName name="RoundedAppropSalary">'B6'!$G$52</definedName>
    <definedName name="SalaryChg" localSheetId="0">'GVEA|0125-00'!$K$10</definedName>
    <definedName name="SalaryChg" localSheetId="1">'GVEA|0348-00'!$K$10</definedName>
    <definedName name="SalaryChg" localSheetId="2">'GVEA|0349-00'!$K$10</definedName>
    <definedName name="SalaryChg" localSheetId="3">'GVEA|0494-00'!$K$10</definedName>
    <definedName name="SalaryChg" localSheetId="4">'GVEB|0199-00'!$K$10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'GVEA|0125-00'!#REF!</definedName>
    <definedName name="SubCECBase" localSheetId="1">'GVEA|0348-00'!#REF!</definedName>
    <definedName name="SubCECBase" localSheetId="2">'GVEA|0349-00'!#REF!</definedName>
    <definedName name="SubCECBase" localSheetId="3">'GVEA|0494-00'!#REF!</definedName>
    <definedName name="SubCECBase" localSheetId="4">'GVEB|0199-00'!#REF!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J8" i="11"/>
  <c r="K8" i="11"/>
  <c r="L8" i="11"/>
  <c r="M8" i="11"/>
  <c r="E9" i="11"/>
  <c r="F9" i="11"/>
  <c r="G9" i="11"/>
  <c r="H9" i="11"/>
  <c r="I9" i="11"/>
  <c r="J9" i="11"/>
  <c r="K9" i="11"/>
  <c r="L9" i="11"/>
  <c r="M9" i="11"/>
  <c r="E10" i="11"/>
  <c r="F10" i="11"/>
  <c r="G10" i="11"/>
  <c r="H10" i="11"/>
  <c r="I10" i="11"/>
  <c r="J10" i="11"/>
  <c r="K10" i="11"/>
  <c r="L10" i="11"/>
  <c r="M10" i="11"/>
  <c r="E11" i="11"/>
  <c r="F11" i="11"/>
  <c r="G11" i="11"/>
  <c r="H11" i="11"/>
  <c r="I11" i="11"/>
  <c r="J11" i="11"/>
  <c r="K11" i="11"/>
  <c r="L11" i="11"/>
  <c r="M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J13" i="11"/>
  <c r="K13" i="11"/>
  <c r="L13" i="11"/>
  <c r="M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J23" i="11"/>
  <c r="K23" i="11"/>
  <c r="L23" i="11"/>
  <c r="M23" i="11"/>
  <c r="BA61" i="5"/>
  <c r="AZ61" i="5"/>
  <c r="AY61" i="5"/>
  <c r="AX61" i="5"/>
  <c r="AW61" i="5"/>
  <c r="AV61" i="5"/>
  <c r="AU61" i="5"/>
  <c r="AT61" i="5"/>
  <c r="AS61" i="5"/>
  <c r="BA55" i="5"/>
  <c r="AZ55" i="5"/>
  <c r="AY55" i="5"/>
  <c r="AX55" i="5"/>
  <c r="AW55" i="5"/>
  <c r="AV55" i="5"/>
  <c r="AU55" i="5"/>
  <c r="AT55" i="5"/>
  <c r="AS55" i="5"/>
  <c r="A53" i="10"/>
  <c r="K46" i="10"/>
  <c r="J46" i="10"/>
  <c r="I46" i="10"/>
  <c r="H46" i="10"/>
  <c r="G46" i="10"/>
  <c r="F46" i="10"/>
  <c r="E46" i="10"/>
  <c r="C80" i="16"/>
  <c r="J79" i="16"/>
  <c r="J78" i="16"/>
  <c r="J77" i="16"/>
  <c r="C75" i="16"/>
  <c r="I74" i="16"/>
  <c r="J74" i="16" s="1"/>
  <c r="E73" i="16"/>
  <c r="E72" i="16"/>
  <c r="I71" i="16"/>
  <c r="J71" i="16" s="1"/>
  <c r="J70" i="16"/>
  <c r="C67" i="16"/>
  <c r="J66" i="16"/>
  <c r="I66" i="16"/>
  <c r="H66" i="16"/>
  <c r="G66" i="16"/>
  <c r="N64" i="16"/>
  <c r="J64" i="16"/>
  <c r="N63" i="16"/>
  <c r="H63" i="16"/>
  <c r="G63" i="16" s="1"/>
  <c r="I63" i="16" s="1"/>
  <c r="N62" i="16"/>
  <c r="J62" i="16"/>
  <c r="C60" i="16"/>
  <c r="N59" i="16"/>
  <c r="J59" i="16"/>
  <c r="N58" i="16"/>
  <c r="J58" i="16"/>
  <c r="C56" i="16"/>
  <c r="N55" i="16"/>
  <c r="J55" i="16"/>
  <c r="J54" i="16"/>
  <c r="F51" i="16"/>
  <c r="E51" i="16"/>
  <c r="C51" i="16"/>
  <c r="M50" i="16"/>
  <c r="L50" i="16"/>
  <c r="K50" i="16"/>
  <c r="J50" i="16"/>
  <c r="I50" i="16"/>
  <c r="H50" i="16"/>
  <c r="G50" i="16"/>
  <c r="C40" i="16"/>
  <c r="M39" i="16"/>
  <c r="L39" i="16"/>
  <c r="H39" i="16"/>
  <c r="F39" i="16"/>
  <c r="C39" i="16"/>
  <c r="C38" i="16"/>
  <c r="M35" i="16"/>
  <c r="L35" i="16"/>
  <c r="N35" i="16" s="1"/>
  <c r="J35" i="16"/>
  <c r="I35" i="16"/>
  <c r="H35" i="16"/>
  <c r="M34" i="16"/>
  <c r="L34" i="16"/>
  <c r="N34" i="16" s="1"/>
  <c r="J34" i="16"/>
  <c r="I34" i="16"/>
  <c r="H34" i="16"/>
  <c r="M33" i="16"/>
  <c r="N33" i="16" s="1"/>
  <c r="L33" i="16"/>
  <c r="J33" i="16"/>
  <c r="I33" i="16"/>
  <c r="H33" i="16"/>
  <c r="N32" i="16"/>
  <c r="M32" i="16"/>
  <c r="L32" i="16"/>
  <c r="J32" i="16"/>
  <c r="I32" i="16"/>
  <c r="H32" i="16"/>
  <c r="M30" i="16"/>
  <c r="L30" i="16"/>
  <c r="N30" i="16" s="1"/>
  <c r="J30" i="16"/>
  <c r="I30" i="16"/>
  <c r="H30" i="16"/>
  <c r="M29" i="16"/>
  <c r="L29" i="16"/>
  <c r="N29" i="16" s="1"/>
  <c r="J29" i="16"/>
  <c r="I29" i="16"/>
  <c r="H29" i="16"/>
  <c r="M28" i="16"/>
  <c r="N28" i="16" s="1"/>
  <c r="L28" i="16"/>
  <c r="J28" i="16"/>
  <c r="I28" i="16"/>
  <c r="H28" i="16"/>
  <c r="N27" i="16"/>
  <c r="M27" i="16"/>
  <c r="L27" i="16"/>
  <c r="J27" i="16"/>
  <c r="I27" i="16"/>
  <c r="H27" i="16"/>
  <c r="M26" i="16"/>
  <c r="L26" i="16"/>
  <c r="N26" i="16" s="1"/>
  <c r="J26" i="16"/>
  <c r="I26" i="16"/>
  <c r="H26" i="16"/>
  <c r="M25" i="16"/>
  <c r="L25" i="16"/>
  <c r="N25" i="16" s="1"/>
  <c r="J25" i="16"/>
  <c r="I25" i="16"/>
  <c r="H25" i="16"/>
  <c r="M24" i="16"/>
  <c r="N24" i="16" s="1"/>
  <c r="L24" i="16"/>
  <c r="J24" i="16"/>
  <c r="I24" i="16"/>
  <c r="H24" i="16"/>
  <c r="N23" i="16"/>
  <c r="M23" i="16"/>
  <c r="L23" i="16"/>
  <c r="J23" i="16"/>
  <c r="I23" i="16"/>
  <c r="H23" i="16"/>
  <c r="M22" i="16"/>
  <c r="L22" i="16"/>
  <c r="N22" i="16" s="1"/>
  <c r="J22" i="16"/>
  <c r="I22" i="16"/>
  <c r="H22" i="16"/>
  <c r="M21" i="16"/>
  <c r="L21" i="16"/>
  <c r="N21" i="16" s="1"/>
  <c r="J21" i="16"/>
  <c r="I21" i="16"/>
  <c r="H21" i="16"/>
  <c r="M20" i="16"/>
  <c r="N20" i="16" s="1"/>
  <c r="L20" i="16"/>
  <c r="J20" i="16"/>
  <c r="I20" i="16"/>
  <c r="H20" i="16"/>
  <c r="C15" i="16"/>
  <c r="AC11" i="16"/>
  <c r="M8" i="16"/>
  <c r="L8" i="16"/>
  <c r="K8" i="16"/>
  <c r="J8" i="16"/>
  <c r="I8" i="16"/>
  <c r="H8" i="16"/>
  <c r="G8" i="16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I74" i="15"/>
  <c r="J74" i="15" s="1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G63" i="15" s="1"/>
  <c r="I63" i="15" s="1"/>
  <c r="N62" i="15"/>
  <c r="J62" i="15"/>
  <c r="C60" i="15"/>
  <c r="N59" i="15"/>
  <c r="J59" i="15"/>
  <c r="N58" i="15"/>
  <c r="J58" i="15"/>
  <c r="C56" i="15"/>
  <c r="N55" i="15"/>
  <c r="J55" i="15"/>
  <c r="J54" i="15"/>
  <c r="F51" i="15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N35" i="15" s="1"/>
  <c r="J35" i="15"/>
  <c r="I35" i="15"/>
  <c r="H35" i="15"/>
  <c r="M34" i="15"/>
  <c r="L34" i="15"/>
  <c r="N34" i="15" s="1"/>
  <c r="J34" i="15"/>
  <c r="I34" i="15"/>
  <c r="H34" i="15"/>
  <c r="M33" i="15"/>
  <c r="L33" i="15"/>
  <c r="J33" i="15"/>
  <c r="I33" i="15"/>
  <c r="H33" i="15"/>
  <c r="M32" i="15"/>
  <c r="L32" i="15"/>
  <c r="N32" i="15" s="1"/>
  <c r="J32" i="15"/>
  <c r="I32" i="15"/>
  <c r="H32" i="15"/>
  <c r="M30" i="15"/>
  <c r="L30" i="15"/>
  <c r="N30" i="15" s="1"/>
  <c r="J30" i="15"/>
  <c r="I30" i="15"/>
  <c r="H30" i="15"/>
  <c r="M29" i="15"/>
  <c r="L29" i="15"/>
  <c r="N29" i="15" s="1"/>
  <c r="J29" i="15"/>
  <c r="I29" i="15"/>
  <c r="H29" i="15"/>
  <c r="M28" i="15"/>
  <c r="L28" i="15"/>
  <c r="J28" i="15"/>
  <c r="I28" i="15"/>
  <c r="H28" i="15"/>
  <c r="N27" i="15"/>
  <c r="M27" i="15"/>
  <c r="L27" i="15"/>
  <c r="J27" i="15"/>
  <c r="I27" i="15"/>
  <c r="H27" i="15"/>
  <c r="M26" i="15"/>
  <c r="L26" i="15"/>
  <c r="N26" i="15" s="1"/>
  <c r="J26" i="15"/>
  <c r="I26" i="15"/>
  <c r="H26" i="15"/>
  <c r="M25" i="15"/>
  <c r="L25" i="15"/>
  <c r="N25" i="15" s="1"/>
  <c r="J25" i="15"/>
  <c r="I25" i="15"/>
  <c r="H25" i="15"/>
  <c r="M24" i="15"/>
  <c r="N24" i="15" s="1"/>
  <c r="L24" i="15"/>
  <c r="J24" i="15"/>
  <c r="I24" i="15"/>
  <c r="H24" i="15"/>
  <c r="N23" i="15"/>
  <c r="M23" i="15"/>
  <c r="L23" i="15"/>
  <c r="J23" i="15"/>
  <c r="I23" i="15"/>
  <c r="H23" i="15"/>
  <c r="M22" i="15"/>
  <c r="L22" i="15"/>
  <c r="N22" i="15" s="1"/>
  <c r="J22" i="15"/>
  <c r="I22" i="15"/>
  <c r="H22" i="15"/>
  <c r="M21" i="15"/>
  <c r="L21" i="15"/>
  <c r="J21" i="15"/>
  <c r="I21" i="15"/>
  <c r="H21" i="15"/>
  <c r="M20" i="15"/>
  <c r="N20" i="15" s="1"/>
  <c r="L20" i="15"/>
  <c r="J20" i="15"/>
  <c r="I20" i="15"/>
  <c r="H20" i="15"/>
  <c r="C15" i="15"/>
  <c r="AC11" i="15"/>
  <c r="M8" i="15"/>
  <c r="L8" i="15"/>
  <c r="K8" i="15"/>
  <c r="J8" i="15"/>
  <c r="I8" i="15"/>
  <c r="H8" i="15"/>
  <c r="G8" i="15"/>
  <c r="CM34" i="5"/>
  <c r="CL34" i="5"/>
  <c r="CK34" i="5"/>
  <c r="CJ34" i="5"/>
  <c r="CI34" i="5"/>
  <c r="CH34" i="5"/>
  <c r="CG34" i="5"/>
  <c r="CF34" i="5"/>
  <c r="CE34" i="5"/>
  <c r="CD34" i="5"/>
  <c r="CC34" i="5"/>
  <c r="CB34" i="5"/>
  <c r="CA34" i="5"/>
  <c r="BZ34" i="5"/>
  <c r="BY34" i="5"/>
  <c r="BX34" i="5"/>
  <c r="BW34" i="5"/>
  <c r="BV34" i="5"/>
  <c r="BU34" i="5"/>
  <c r="BT34" i="5"/>
  <c r="BS34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G63" i="14" s="1"/>
  <c r="I63" i="14" s="1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N34" i="14" s="1"/>
  <c r="J34" i="14"/>
  <c r="I34" i="14"/>
  <c r="H34" i="14"/>
  <c r="M33" i="14"/>
  <c r="L33" i="14"/>
  <c r="N33" i="14" s="1"/>
  <c r="J33" i="14"/>
  <c r="I33" i="14"/>
  <c r="H33" i="14"/>
  <c r="M32" i="14"/>
  <c r="L32" i="14"/>
  <c r="J32" i="14"/>
  <c r="I32" i="14"/>
  <c r="H32" i="14"/>
  <c r="M30" i="14"/>
  <c r="L30" i="14"/>
  <c r="J30" i="14"/>
  <c r="I30" i="14"/>
  <c r="H30" i="14"/>
  <c r="M29" i="14"/>
  <c r="L29" i="14"/>
  <c r="J29" i="14"/>
  <c r="I29" i="14"/>
  <c r="H29" i="14"/>
  <c r="M28" i="14"/>
  <c r="L28" i="14"/>
  <c r="J28" i="14"/>
  <c r="I28" i="14"/>
  <c r="H28" i="14"/>
  <c r="M27" i="14"/>
  <c r="L27" i="14"/>
  <c r="J27" i="14"/>
  <c r="I27" i="14"/>
  <c r="H27" i="14"/>
  <c r="M26" i="14"/>
  <c r="L26" i="14"/>
  <c r="J26" i="14"/>
  <c r="I26" i="14"/>
  <c r="H26" i="14"/>
  <c r="M25" i="14"/>
  <c r="L25" i="14"/>
  <c r="N25" i="14" s="1"/>
  <c r="J25" i="14"/>
  <c r="I25" i="14"/>
  <c r="H25" i="14"/>
  <c r="M24" i="14"/>
  <c r="L24" i="14"/>
  <c r="N24" i="14" s="1"/>
  <c r="J24" i="14"/>
  <c r="I24" i="14"/>
  <c r="H24" i="14"/>
  <c r="M23" i="14"/>
  <c r="L23" i="14"/>
  <c r="J23" i="14"/>
  <c r="I23" i="14"/>
  <c r="H23" i="14"/>
  <c r="M22" i="14"/>
  <c r="L22" i="14"/>
  <c r="J22" i="14"/>
  <c r="I22" i="14"/>
  <c r="H22" i="14"/>
  <c r="M21" i="14"/>
  <c r="L21" i="14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CM32" i="5"/>
  <c r="CM33" i="5" s="1"/>
  <c r="G27" i="10" s="1"/>
  <c r="CL32" i="5"/>
  <c r="CL33" i="5" s="1"/>
  <c r="CK32" i="5"/>
  <c r="CK33" i="5" s="1"/>
  <c r="K28" i="10" s="1"/>
  <c r="CJ32" i="5"/>
  <c r="CJ33" i="5" s="1"/>
  <c r="CI32" i="5"/>
  <c r="CI33" i="5" s="1"/>
  <c r="CH32" i="5"/>
  <c r="CH33" i="5" s="1"/>
  <c r="CG32" i="5"/>
  <c r="CG33" i="5" s="1"/>
  <c r="CF32" i="5"/>
  <c r="CF33" i="5" s="1"/>
  <c r="CE32" i="5"/>
  <c r="CE33" i="5" s="1"/>
  <c r="CD32" i="5"/>
  <c r="CD33" i="5" s="1"/>
  <c r="CC32" i="5"/>
  <c r="CC33" i="5" s="1"/>
  <c r="CB32" i="5"/>
  <c r="CB33" i="5" s="1"/>
  <c r="CA32" i="5"/>
  <c r="CA33" i="5" s="1"/>
  <c r="BZ32" i="5"/>
  <c r="BZ33" i="5" s="1"/>
  <c r="J26" i="10" s="1"/>
  <c r="BY32" i="5"/>
  <c r="BY33" i="5" s="1"/>
  <c r="BX32" i="5"/>
  <c r="BX33" i="5" s="1"/>
  <c r="BW32" i="5"/>
  <c r="BW33" i="5" s="1"/>
  <c r="BV32" i="5"/>
  <c r="BV33" i="5" s="1"/>
  <c r="BU32" i="5"/>
  <c r="BU33" i="5" s="1"/>
  <c r="BT32" i="5"/>
  <c r="BT33" i="5" s="1"/>
  <c r="BS32" i="5"/>
  <c r="BS33" i="5" s="1"/>
  <c r="BR32" i="5"/>
  <c r="BR33" i="5" s="1"/>
  <c r="BQ32" i="5"/>
  <c r="BQ33" i="5" s="1"/>
  <c r="BP32" i="5"/>
  <c r="BP33" i="5" s="1"/>
  <c r="BO32" i="5"/>
  <c r="BO33" i="5" s="1"/>
  <c r="BN32" i="5"/>
  <c r="BN33" i="5" s="1"/>
  <c r="BM32" i="5"/>
  <c r="BM33" i="5" s="1"/>
  <c r="G28" i="10" s="1"/>
  <c r="BL32" i="5"/>
  <c r="BL33" i="5" s="1"/>
  <c r="BK32" i="5"/>
  <c r="BK33" i="5" s="1"/>
  <c r="BJ32" i="5"/>
  <c r="BJ33" i="5" s="1"/>
  <c r="BI32" i="5"/>
  <c r="BI33" i="5" s="1"/>
  <c r="BH32" i="5"/>
  <c r="BH33" i="5" s="1"/>
  <c r="BG32" i="5"/>
  <c r="BG33" i="5" s="1"/>
  <c r="BF32" i="5"/>
  <c r="BF33" i="5" s="1"/>
  <c r="BE32" i="5"/>
  <c r="BE33" i="5" s="1"/>
  <c r="BD32" i="5"/>
  <c r="BD33" i="5" s="1"/>
  <c r="BC32" i="5"/>
  <c r="BC33" i="5" s="1"/>
  <c r="BB32" i="5"/>
  <c r="BB33" i="5" s="1"/>
  <c r="H10" i="14" s="1"/>
  <c r="BA32" i="5"/>
  <c r="BA33" i="5" s="1"/>
  <c r="AZ32" i="5"/>
  <c r="AZ33" i="5" s="1"/>
  <c r="AY32" i="5"/>
  <c r="AY33" i="5" s="1"/>
  <c r="AX32" i="5"/>
  <c r="AX33" i="5" s="1"/>
  <c r="AW32" i="5"/>
  <c r="AW33" i="5" s="1"/>
  <c r="AV32" i="5"/>
  <c r="AV33" i="5" s="1"/>
  <c r="AU32" i="5"/>
  <c r="AU33" i="5" s="1"/>
  <c r="AT32" i="5"/>
  <c r="AT33" i="5" s="1"/>
  <c r="AS32" i="5"/>
  <c r="AS33" i="5" s="1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G63" i="13" s="1"/>
  <c r="I63" i="13" s="1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N35" i="13" s="1"/>
  <c r="J35" i="13"/>
  <c r="I35" i="13"/>
  <c r="H35" i="13"/>
  <c r="M34" i="13"/>
  <c r="L34" i="13"/>
  <c r="N34" i="13" s="1"/>
  <c r="J34" i="13"/>
  <c r="I34" i="13"/>
  <c r="H34" i="13"/>
  <c r="M33" i="13"/>
  <c r="L33" i="13"/>
  <c r="N33" i="13" s="1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N26" i="13" s="1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G63" i="12" s="1"/>
  <c r="I63" i="12" s="1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F56" i="12" s="1"/>
  <c r="F60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N34" i="12" s="1"/>
  <c r="J34" i="12"/>
  <c r="I34" i="12"/>
  <c r="H34" i="12"/>
  <c r="M33" i="12"/>
  <c r="L33" i="12"/>
  <c r="N33" i="12" s="1"/>
  <c r="J33" i="12"/>
  <c r="I33" i="12"/>
  <c r="H33" i="12"/>
  <c r="M32" i="12"/>
  <c r="L32" i="12"/>
  <c r="N32" i="12" s="1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N25" i="12" s="1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T4" i="5" s="1"/>
  <c r="AS5" i="5"/>
  <c r="AX5" i="5" s="1"/>
  <c r="AS6" i="5"/>
  <c r="AX6" i="5" s="1"/>
  <c r="AS7" i="5"/>
  <c r="AT7" i="5" s="1"/>
  <c r="AS8" i="5"/>
  <c r="AT8" i="5" s="1"/>
  <c r="AS9" i="5"/>
  <c r="AX9" i="5" s="1"/>
  <c r="AS10" i="5"/>
  <c r="AX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T19" i="5" s="1"/>
  <c r="AS20" i="5"/>
  <c r="AX20" i="5" s="1"/>
  <c r="AS21" i="5"/>
  <c r="AX21" i="5" s="1"/>
  <c r="AS22" i="5"/>
  <c r="AX22" i="5" s="1"/>
  <c r="AS23" i="5"/>
  <c r="AX23" i="5" s="1"/>
  <c r="AS24" i="5"/>
  <c r="AX24" i="5" s="1"/>
  <c r="AS25" i="5"/>
  <c r="AT25" i="5" s="1"/>
  <c r="AU25" i="5" s="1"/>
  <c r="AS2" i="5"/>
  <c r="AX2" i="5" s="1"/>
  <c r="CL37" i="5" l="1"/>
  <c r="CL38" i="5" s="1"/>
  <c r="E49" i="10" s="1"/>
  <c r="AW35" i="5"/>
  <c r="AW36" i="5" s="1"/>
  <c r="CL35" i="5"/>
  <c r="CL36" i="5" s="1"/>
  <c r="CM35" i="5"/>
  <c r="CM36" i="5" s="1"/>
  <c r="G38" i="10" s="1"/>
  <c r="CM37" i="5"/>
  <c r="CM38" i="5" s="1"/>
  <c r="I11" i="16" s="1"/>
  <c r="I39" i="16" s="1"/>
  <c r="AB39" i="16" s="1"/>
  <c r="AW37" i="5"/>
  <c r="AW38" i="5" s="1"/>
  <c r="AU46" i="5"/>
  <c r="AT48" i="5"/>
  <c r="AT49" i="5" s="1"/>
  <c r="AU48" i="5"/>
  <c r="AU49" i="5" s="1"/>
  <c r="AT50" i="5"/>
  <c r="AU52" i="5"/>
  <c r="AT52" i="5"/>
  <c r="AU50" i="5"/>
  <c r="AT46" i="5"/>
  <c r="AT47" i="5" s="1"/>
  <c r="N39" i="16"/>
  <c r="N35" i="12"/>
  <c r="N20" i="14"/>
  <c r="N23" i="14"/>
  <c r="N28" i="14"/>
  <c r="N32" i="14"/>
  <c r="N33" i="15"/>
  <c r="N28" i="15"/>
  <c r="N23" i="13"/>
  <c r="N32" i="13"/>
  <c r="F52" i="16"/>
  <c r="F56" i="16" s="1"/>
  <c r="F60" i="16" s="1"/>
  <c r="N20" i="13"/>
  <c r="N28" i="13"/>
  <c r="N21" i="14"/>
  <c r="N29" i="14"/>
  <c r="N21" i="15"/>
  <c r="N26" i="14"/>
  <c r="N35" i="14"/>
  <c r="N39" i="15"/>
  <c r="N27" i="13"/>
  <c r="N24" i="13"/>
  <c r="N29" i="13"/>
  <c r="N22" i="14"/>
  <c r="N30" i="14"/>
  <c r="N27" i="14"/>
  <c r="F52" i="15"/>
  <c r="F56" i="15" s="1"/>
  <c r="F60" i="15" s="1"/>
  <c r="N21" i="12"/>
  <c r="N30" i="13"/>
  <c r="L10" i="14"/>
  <c r="L38" i="14" s="1"/>
  <c r="F10" i="14"/>
  <c r="F38" i="14" s="1"/>
  <c r="D26" i="10"/>
  <c r="M10" i="14"/>
  <c r="K26" i="10"/>
  <c r="L26" i="10" s="1"/>
  <c r="G10" i="14"/>
  <c r="E26" i="10"/>
  <c r="I26" i="10"/>
  <c r="K10" i="14"/>
  <c r="D28" i="10"/>
  <c r="F12" i="14"/>
  <c r="F40" i="14" s="1"/>
  <c r="H38" i="14"/>
  <c r="F28" i="10"/>
  <c r="H12" i="14"/>
  <c r="H40" i="14" s="1"/>
  <c r="J28" i="10"/>
  <c r="L28" i="10" s="1"/>
  <c r="L12" i="14"/>
  <c r="G26" i="10"/>
  <c r="G29" i="10" s="1"/>
  <c r="I10" i="14"/>
  <c r="E27" i="10"/>
  <c r="H27" i="10" s="1"/>
  <c r="G11" i="14"/>
  <c r="E28" i="10"/>
  <c r="G12" i="14"/>
  <c r="I12" i="14"/>
  <c r="I40" i="14" s="1"/>
  <c r="M12" i="14"/>
  <c r="M40" i="14" s="1"/>
  <c r="I11" i="14"/>
  <c r="I39" i="14" s="1"/>
  <c r="AB39" i="14" s="1"/>
  <c r="F26" i="10"/>
  <c r="N39" i="14"/>
  <c r="N29" i="12"/>
  <c r="N20" i="12"/>
  <c r="N26" i="12"/>
  <c r="N22" i="13"/>
  <c r="F52" i="14"/>
  <c r="F56" i="14" s="1"/>
  <c r="F60" i="14" s="1"/>
  <c r="N28" i="12"/>
  <c r="N25" i="13"/>
  <c r="N22" i="12"/>
  <c r="N30" i="12"/>
  <c r="N21" i="13"/>
  <c r="N39" i="13"/>
  <c r="N23" i="12"/>
  <c r="F52" i="13"/>
  <c r="F56" i="13" s="1"/>
  <c r="F60" i="13" s="1"/>
  <c r="N24" i="12"/>
  <c r="N27" i="12"/>
  <c r="AW30" i="5"/>
  <c r="AW31" i="5" s="1"/>
  <c r="CL30" i="5"/>
  <c r="CL31" i="5" s="1"/>
  <c r="CM30" i="5"/>
  <c r="CM31" i="5" s="1"/>
  <c r="AT16" i="5"/>
  <c r="BI16" i="5" s="1"/>
  <c r="AT11" i="5"/>
  <c r="BD11" i="5" s="1"/>
  <c r="AT9" i="5"/>
  <c r="BI9" i="5" s="1"/>
  <c r="AX25" i="5"/>
  <c r="BD25" i="5" s="1"/>
  <c r="N39" i="12"/>
  <c r="F67" i="12"/>
  <c r="CC4" i="5"/>
  <c r="AU4" i="5"/>
  <c r="BN4" i="5" s="1"/>
  <c r="AT12" i="5"/>
  <c r="BD12" i="5" s="1"/>
  <c r="CL28" i="5"/>
  <c r="CL29" i="5" s="1"/>
  <c r="CM28" i="5"/>
  <c r="CM29" i="5" s="1"/>
  <c r="AT5" i="5"/>
  <c r="BA5" i="5" s="1"/>
  <c r="AX4" i="5"/>
  <c r="AX28" i="5" s="1"/>
  <c r="AX29" i="5" s="1"/>
  <c r="AT21" i="5"/>
  <c r="AT20" i="5"/>
  <c r="BF20" i="5" s="1"/>
  <c r="AT17" i="5"/>
  <c r="BQ17" i="5" s="1"/>
  <c r="CG8" i="5"/>
  <c r="CF8" i="5"/>
  <c r="CE8" i="5"/>
  <c r="CD8" i="5"/>
  <c r="CC8" i="5"/>
  <c r="CA8" i="5"/>
  <c r="BY8" i="5"/>
  <c r="CK8" i="5"/>
  <c r="BW8" i="5"/>
  <c r="BV8" i="5"/>
  <c r="BU8" i="5"/>
  <c r="BT8" i="5"/>
  <c r="BS8" i="5"/>
  <c r="BR8" i="5"/>
  <c r="BQ8" i="5"/>
  <c r="CI8" i="5"/>
  <c r="BK8" i="5"/>
  <c r="BI8" i="5"/>
  <c r="AV8" i="5"/>
  <c r="BC8" i="5" s="1"/>
  <c r="BH8" i="5"/>
  <c r="AZ8" i="5"/>
  <c r="BA8" i="5"/>
  <c r="AU8" i="5"/>
  <c r="BB8" i="5" s="1"/>
  <c r="BM8" i="5"/>
  <c r="BE8" i="5"/>
  <c r="BF8" i="5"/>
  <c r="BJ8" i="5"/>
  <c r="BG8" i="5"/>
  <c r="AY8" i="5"/>
  <c r="CG7" i="5"/>
  <c r="CK7" i="5"/>
  <c r="CI7" i="5"/>
  <c r="BK7" i="5"/>
  <c r="BJ7" i="5"/>
  <c r="BI7" i="5"/>
  <c r="CC7" i="5"/>
  <c r="BH7" i="5"/>
  <c r="BG7" i="5"/>
  <c r="BF7" i="5"/>
  <c r="BE7" i="5"/>
  <c r="BA7" i="5"/>
  <c r="AZ7" i="5"/>
  <c r="AY7" i="5"/>
  <c r="CE7" i="5"/>
  <c r="CA7" i="5"/>
  <c r="AU7" i="5"/>
  <c r="BB7" i="5" s="1"/>
  <c r="BM7" i="5"/>
  <c r="BY7" i="5"/>
  <c r="BR7" i="5"/>
  <c r="BQ7" i="5"/>
  <c r="CD7" i="5"/>
  <c r="BT7" i="5"/>
  <c r="BS7" i="5"/>
  <c r="AV7" i="5"/>
  <c r="BC7" i="5" s="1"/>
  <c r="BV7" i="5"/>
  <c r="BU7" i="5"/>
  <c r="CF7" i="5"/>
  <c r="BW7" i="5"/>
  <c r="CH19" i="5"/>
  <c r="CI19" i="5"/>
  <c r="BX19" i="5"/>
  <c r="BK19" i="5"/>
  <c r="BJ19" i="5"/>
  <c r="CJ19" i="5"/>
  <c r="CG19" i="5"/>
  <c r="CF19" i="5"/>
  <c r="CE19" i="5"/>
  <c r="CD19" i="5"/>
  <c r="CC19" i="5"/>
  <c r="CA19" i="5"/>
  <c r="BZ19" i="5"/>
  <c r="BY19" i="5"/>
  <c r="CK19" i="5"/>
  <c r="BV19" i="5"/>
  <c r="BT19" i="5"/>
  <c r="BR19" i="5"/>
  <c r="BL19" i="5"/>
  <c r="BW19" i="5"/>
  <c r="BU19" i="5"/>
  <c r="BS19" i="5"/>
  <c r="BQ19" i="5"/>
  <c r="AV19" i="5"/>
  <c r="BO19" i="5" s="1"/>
  <c r="BI19" i="5"/>
  <c r="BA19" i="5"/>
  <c r="BM19" i="5"/>
  <c r="AU19" i="5"/>
  <c r="BB19" i="5" s="1"/>
  <c r="BE19" i="5"/>
  <c r="BF19" i="5"/>
  <c r="BG19" i="5"/>
  <c r="AY19" i="5"/>
  <c r="BH19" i="5"/>
  <c r="AZ19" i="5"/>
  <c r="CJ25" i="5"/>
  <c r="CI25" i="5"/>
  <c r="CH25" i="5"/>
  <c r="CG25" i="5"/>
  <c r="CF25" i="5"/>
  <c r="CE25" i="5"/>
  <c r="CD25" i="5"/>
  <c r="CC25" i="5"/>
  <c r="CA25" i="5"/>
  <c r="BZ25" i="5"/>
  <c r="BY25" i="5"/>
  <c r="CK25" i="5"/>
  <c r="BN25" i="5"/>
  <c r="AT15" i="5"/>
  <c r="AX7" i="5"/>
  <c r="BD7" i="5" s="1"/>
  <c r="AX19" i="5"/>
  <c r="BD19" i="5" s="1"/>
  <c r="BA4" i="5"/>
  <c r="AT24" i="5"/>
  <c r="AT13" i="5"/>
  <c r="AT3" i="5"/>
  <c r="AX8" i="5"/>
  <c r="AZ4" i="5"/>
  <c r="BH4" i="5"/>
  <c r="BJ4" i="5"/>
  <c r="BW4" i="5"/>
  <c r="CA4" i="5"/>
  <c r="AT23" i="5"/>
  <c r="AY4" i="5"/>
  <c r="BB25" i="5"/>
  <c r="BG4" i="5"/>
  <c r="BU4" i="5"/>
  <c r="BW25" i="5"/>
  <c r="BX25" i="5"/>
  <c r="BA25" i="5"/>
  <c r="BF4" i="5"/>
  <c r="BI25" i="5"/>
  <c r="BK25" i="5"/>
  <c r="BM25" i="5"/>
  <c r="BS4" i="5"/>
  <c r="BU25" i="5"/>
  <c r="BV25" i="5"/>
  <c r="BZ4" i="5"/>
  <c r="AZ25" i="5"/>
  <c r="BE4" i="5"/>
  <c r="BH25" i="5"/>
  <c r="BQ4" i="5"/>
  <c r="BS25" i="5"/>
  <c r="BT25" i="5"/>
  <c r="BY4" i="5"/>
  <c r="AV4" i="5"/>
  <c r="BO4" i="5" s="1"/>
  <c r="AV25" i="5"/>
  <c r="BC25" i="5" s="1"/>
  <c r="AY25" i="5"/>
  <c r="BG25" i="5"/>
  <c r="BK4" i="5"/>
  <c r="BM4" i="5"/>
  <c r="BQ25" i="5"/>
  <c r="BR25" i="5"/>
  <c r="CE4" i="5"/>
  <c r="BF25" i="5"/>
  <c r="BL25" i="5"/>
  <c r="BE25" i="5"/>
  <c r="BJ25" i="5"/>
  <c r="CK4" i="5"/>
  <c r="CH4" i="5"/>
  <c r="CI4" i="5"/>
  <c r="BX4" i="5"/>
  <c r="CG4" i="5"/>
  <c r="CJ4" i="5"/>
  <c r="CD4" i="5"/>
  <c r="BV4" i="5"/>
  <c r="BT4" i="5"/>
  <c r="BR4" i="5"/>
  <c r="BI4" i="5"/>
  <c r="BL4" i="5"/>
  <c r="CF4" i="5"/>
  <c r="AT2" i="5"/>
  <c r="AT18" i="5"/>
  <c r="AT10" i="5"/>
  <c r="AW28" i="5"/>
  <c r="AW29" i="5" s="1"/>
  <c r="AT22" i="5"/>
  <c r="AT14" i="5"/>
  <c r="AT6" i="5"/>
  <c r="C12" i="7"/>
  <c r="C13" i="7"/>
  <c r="C14" i="7"/>
  <c r="E51" i="9"/>
  <c r="AS46" i="5" l="1"/>
  <c r="AS47" i="5" s="1"/>
  <c r="G11" i="16"/>
  <c r="G39" i="16" s="1"/>
  <c r="L13" i="14"/>
  <c r="G49" i="10"/>
  <c r="H49" i="10" s="1"/>
  <c r="AS50" i="5"/>
  <c r="AS51" i="5" s="1"/>
  <c r="G11" i="15"/>
  <c r="E38" i="10"/>
  <c r="H38" i="10" s="1"/>
  <c r="I11" i="15"/>
  <c r="I39" i="15" s="1"/>
  <c r="AB39" i="15" s="1"/>
  <c r="AS48" i="5"/>
  <c r="AS49" i="5" s="1"/>
  <c r="AU53" i="5"/>
  <c r="AS52" i="5"/>
  <c r="AS53" i="5" s="1"/>
  <c r="AX35" i="5"/>
  <c r="AX36" i="5" s="1"/>
  <c r="AT53" i="5"/>
  <c r="AT51" i="5"/>
  <c r="AX37" i="5"/>
  <c r="AX38" i="5" s="1"/>
  <c r="BD21" i="5"/>
  <c r="AT37" i="5"/>
  <c r="AT38" i="5" s="1"/>
  <c r="AS37" i="5"/>
  <c r="AS38" i="5" s="1"/>
  <c r="AU47" i="5"/>
  <c r="N10" i="14"/>
  <c r="AU51" i="5"/>
  <c r="H13" i="14"/>
  <c r="F67" i="16"/>
  <c r="F67" i="15"/>
  <c r="F41" i="14"/>
  <c r="F43" i="14" s="1"/>
  <c r="L29" i="10"/>
  <c r="J29" i="10"/>
  <c r="H41" i="14"/>
  <c r="AT35" i="5"/>
  <c r="AT36" i="5" s="1"/>
  <c r="AS35" i="5"/>
  <c r="AS36" i="5" s="1"/>
  <c r="K29" i="10"/>
  <c r="F13" i="14"/>
  <c r="F16" i="14" s="1"/>
  <c r="G40" i="14"/>
  <c r="J40" i="14" s="1"/>
  <c r="J12" i="14"/>
  <c r="H26" i="10"/>
  <c r="E29" i="10"/>
  <c r="H28" i="10"/>
  <c r="F29" i="10"/>
  <c r="G38" i="14"/>
  <c r="AA10" i="14"/>
  <c r="G13" i="14"/>
  <c r="G39" i="14"/>
  <c r="AB11" i="14"/>
  <c r="AB45" i="14" s="1"/>
  <c r="AA11" i="14"/>
  <c r="J11" i="14"/>
  <c r="J10" i="14"/>
  <c r="I38" i="14"/>
  <c r="I13" i="14"/>
  <c r="AB10" i="14"/>
  <c r="M38" i="14"/>
  <c r="M41" i="14" s="1"/>
  <c r="M13" i="14"/>
  <c r="D29" i="10"/>
  <c r="D32" i="10" s="1"/>
  <c r="N12" i="14"/>
  <c r="L40" i="14"/>
  <c r="N40" i="14" s="1"/>
  <c r="F67" i="14"/>
  <c r="BI11" i="5"/>
  <c r="BV16" i="5"/>
  <c r="BM11" i="5"/>
  <c r="I11" i="13"/>
  <c r="I39" i="13" s="1"/>
  <c r="AB39" i="13" s="1"/>
  <c r="G16" i="10"/>
  <c r="G11" i="13"/>
  <c r="E16" i="10"/>
  <c r="F67" i="13"/>
  <c r="BF11" i="5"/>
  <c r="AU11" i="5"/>
  <c r="BB11" i="5" s="1"/>
  <c r="BU20" i="5"/>
  <c r="BK16" i="5"/>
  <c r="BZ21" i="5"/>
  <c r="BT5" i="5"/>
  <c r="AZ9" i="5"/>
  <c r="BQ9" i="5"/>
  <c r="CD21" i="5"/>
  <c r="BR20" i="5"/>
  <c r="BA9" i="5"/>
  <c r="BP9" i="5" s="1"/>
  <c r="CA5" i="5"/>
  <c r="BP25" i="5"/>
  <c r="CB25" i="5" s="1"/>
  <c r="CC5" i="5"/>
  <c r="BW5" i="5"/>
  <c r="BI20" i="5"/>
  <c r="BG16" i="5"/>
  <c r="CA12" i="5"/>
  <c r="BD16" i="5"/>
  <c r="BW20" i="5"/>
  <c r="AV16" i="5"/>
  <c r="BO16" i="5" s="1"/>
  <c r="BY16" i="5"/>
  <c r="BT12" i="5"/>
  <c r="BY20" i="5"/>
  <c r="BT20" i="5"/>
  <c r="CD5" i="5"/>
  <c r="BG20" i="5"/>
  <c r="BR5" i="5"/>
  <c r="BE9" i="5"/>
  <c r="AZ20" i="5"/>
  <c r="BY17" i="5"/>
  <c r="CG9" i="5"/>
  <c r="AY9" i="5"/>
  <c r="BK20" i="5"/>
  <c r="CI9" i="5"/>
  <c r="BE20" i="5"/>
  <c r="BV20" i="5"/>
  <c r="BM5" i="5"/>
  <c r="BU5" i="5"/>
  <c r="BE17" i="5"/>
  <c r="CG11" i="5"/>
  <c r="AZ17" i="5"/>
  <c r="BD17" i="5"/>
  <c r="CI5" i="5"/>
  <c r="BQ21" i="5"/>
  <c r="AV5" i="5"/>
  <c r="BC5" i="5" s="1"/>
  <c r="BS5" i="5"/>
  <c r="BK17" i="5"/>
  <c r="CC17" i="5"/>
  <c r="BL17" i="5"/>
  <c r="AU17" i="5"/>
  <c r="BB17" i="5" s="1"/>
  <c r="BF17" i="5"/>
  <c r="BL20" i="5"/>
  <c r="BG12" i="5"/>
  <c r="CA9" i="5"/>
  <c r="AZ16" i="5"/>
  <c r="AV9" i="5"/>
  <c r="BC9" i="5" s="1"/>
  <c r="AY20" i="5"/>
  <c r="BW9" i="5"/>
  <c r="BZ20" i="5"/>
  <c r="BQ20" i="5"/>
  <c r="BX17" i="5"/>
  <c r="CK20" i="5"/>
  <c r="CF9" i="5"/>
  <c r="BH12" i="5"/>
  <c r="CE5" i="5"/>
  <c r="CI20" i="5"/>
  <c r="BM20" i="5"/>
  <c r="CE20" i="5"/>
  <c r="BJ20" i="5"/>
  <c r="CG5" i="5"/>
  <c r="BH20" i="5"/>
  <c r="BI5" i="5"/>
  <c r="CH20" i="5"/>
  <c r="CF5" i="5"/>
  <c r="BV5" i="5"/>
  <c r="BS17" i="5"/>
  <c r="BZ17" i="5"/>
  <c r="CF20" i="5"/>
  <c r="CA20" i="5"/>
  <c r="BK5" i="5"/>
  <c r="BX20" i="5"/>
  <c r="AV20" i="5"/>
  <c r="BC20" i="5" s="1"/>
  <c r="BP4" i="5"/>
  <c r="BA20" i="5"/>
  <c r="BP20" i="5" s="1"/>
  <c r="BT17" i="5"/>
  <c r="CE17" i="5"/>
  <c r="CG20" i="5"/>
  <c r="BD20" i="5"/>
  <c r="BJ5" i="5"/>
  <c r="BQ5" i="5"/>
  <c r="BS20" i="5"/>
  <c r="CD20" i="5"/>
  <c r="CJ20" i="5"/>
  <c r="BA12" i="5"/>
  <c r="BP12" i="5" s="1"/>
  <c r="CB12" i="5" s="1"/>
  <c r="BG17" i="5"/>
  <c r="BZ16" i="5"/>
  <c r="CC21" i="5"/>
  <c r="BR17" i="5"/>
  <c r="BB4" i="5"/>
  <c r="BJ12" i="5"/>
  <c r="AZ21" i="5"/>
  <c r="CD17" i="5"/>
  <c r="BI21" i="5"/>
  <c r="BU12" i="5"/>
  <c r="BR11" i="5"/>
  <c r="BS9" i="5"/>
  <c r="BF9" i="5"/>
  <c r="CF17" i="5"/>
  <c r="BK9" i="5"/>
  <c r="AZ12" i="5"/>
  <c r="BX16" i="5"/>
  <c r="BQ11" i="5"/>
  <c r="BW21" i="5"/>
  <c r="BJ9" i="5"/>
  <c r="BH9" i="5"/>
  <c r="BJ17" i="5"/>
  <c r="CI17" i="5"/>
  <c r="BD4" i="5"/>
  <c r="BY9" i="5"/>
  <c r="BD9" i="5"/>
  <c r="BS16" i="5"/>
  <c r="CK11" i="5"/>
  <c r="BS12" i="5"/>
  <c r="CF16" i="5"/>
  <c r="CJ21" i="5"/>
  <c r="BG21" i="5"/>
  <c r="BH21" i="5"/>
  <c r="CI21" i="5"/>
  <c r="BJ21" i="5"/>
  <c r="BA21" i="5"/>
  <c r="BR21" i="5"/>
  <c r="BC16" i="5"/>
  <c r="AU21" i="5"/>
  <c r="BM21" i="5"/>
  <c r="BV21" i="5"/>
  <c r="CA21" i="5"/>
  <c r="BT21" i="5"/>
  <c r="AU16" i="5"/>
  <c r="BN16" i="5" s="1"/>
  <c r="BI12" i="5"/>
  <c r="BM12" i="5"/>
  <c r="BQ16" i="5"/>
  <c r="CE16" i="5"/>
  <c r="CD11" i="5"/>
  <c r="BK12" i="5"/>
  <c r="CG21" i="5"/>
  <c r="CK21" i="5"/>
  <c r="AY12" i="5"/>
  <c r="BW12" i="5"/>
  <c r="BW16" i="5"/>
  <c r="BV11" i="5"/>
  <c r="BK11" i="5"/>
  <c r="CK12" i="5"/>
  <c r="CK16" i="5"/>
  <c r="BF12" i="5"/>
  <c r="BF16" i="5"/>
  <c r="CI16" i="5"/>
  <c r="CC16" i="5"/>
  <c r="CA11" i="5"/>
  <c r="BR12" i="5"/>
  <c r="BP8" i="5"/>
  <c r="BX8" i="5" s="1"/>
  <c r="BC4" i="5"/>
  <c r="BF21" i="5"/>
  <c r="CF21" i="5"/>
  <c r="BU21" i="5"/>
  <c r="BV12" i="5"/>
  <c r="BG9" i="5"/>
  <c r="AY21" i="5"/>
  <c r="CH17" i="5"/>
  <c r="CJ17" i="5"/>
  <c r="BV17" i="5"/>
  <c r="BH11" i="5"/>
  <c r="AZ11" i="5"/>
  <c r="CK9" i="5"/>
  <c r="BM9" i="5"/>
  <c r="CC12" i="5"/>
  <c r="BT16" i="5"/>
  <c r="CD16" i="5"/>
  <c r="BW11" i="5"/>
  <c r="CI11" i="5"/>
  <c r="AU12" i="5"/>
  <c r="BN12" i="5" s="1"/>
  <c r="BE11" i="5"/>
  <c r="BY21" i="5"/>
  <c r="BX21" i="5"/>
  <c r="CH21" i="5"/>
  <c r="BG11" i="5"/>
  <c r="AY11" i="5"/>
  <c r="CA17" i="5"/>
  <c r="BE16" i="5"/>
  <c r="CC9" i="5"/>
  <c r="AY16" i="5"/>
  <c r="BH16" i="5"/>
  <c r="CE12" i="5"/>
  <c r="BJ16" i="5"/>
  <c r="CH16" i="5"/>
  <c r="CJ16" i="5"/>
  <c r="CC11" i="5"/>
  <c r="BT9" i="5"/>
  <c r="CF12" i="5"/>
  <c r="BM17" i="5"/>
  <c r="BE12" i="5"/>
  <c r="BU17" i="5"/>
  <c r="CK17" i="5"/>
  <c r="CG17" i="5"/>
  <c r="AU5" i="5"/>
  <c r="BN5" i="5" s="1"/>
  <c r="BQ12" i="5"/>
  <c r="BM16" i="5"/>
  <c r="BU16" i="5"/>
  <c r="CA16" i="5"/>
  <c r="BA16" i="5"/>
  <c r="BP16" i="5" s="1"/>
  <c r="BA17" i="5"/>
  <c r="BP17" i="5" s="1"/>
  <c r="CB17" i="5" s="1"/>
  <c r="BI17" i="5"/>
  <c r="AY17" i="5"/>
  <c r="CI12" i="5"/>
  <c r="BR16" i="5"/>
  <c r="BL16" i="5"/>
  <c r="CG16" i="5"/>
  <c r="BY12" i="5"/>
  <c r="BH17" i="5"/>
  <c r="BK21" i="5"/>
  <c r="CE9" i="5"/>
  <c r="BA11" i="5"/>
  <c r="BP11" i="5" s="1"/>
  <c r="CB11" i="5" s="1"/>
  <c r="BE5" i="5"/>
  <c r="BR9" i="5"/>
  <c r="BF5" i="5"/>
  <c r="AV11" i="5"/>
  <c r="BC11" i="5" s="1"/>
  <c r="BU11" i="5"/>
  <c r="CF11" i="5"/>
  <c r="BG5" i="5"/>
  <c r="BU9" i="5"/>
  <c r="BT11" i="5"/>
  <c r="BY11" i="5"/>
  <c r="BJ11" i="5"/>
  <c r="BE21" i="5"/>
  <c r="BY5" i="5"/>
  <c r="BP5" i="5"/>
  <c r="CK5" i="5"/>
  <c r="CE21" i="5"/>
  <c r="BS21" i="5"/>
  <c r="BL21" i="5"/>
  <c r="CD9" i="5"/>
  <c r="BD5" i="5"/>
  <c r="AV21" i="5"/>
  <c r="BS11" i="5"/>
  <c r="CE11" i="5"/>
  <c r="AY5" i="5"/>
  <c r="BV9" i="5"/>
  <c r="AU9" i="5"/>
  <c r="G11" i="12"/>
  <c r="E5" i="10"/>
  <c r="CG12" i="5"/>
  <c r="AT30" i="5"/>
  <c r="AT31" i="5" s="1"/>
  <c r="AS30" i="5"/>
  <c r="AS31" i="5" s="1"/>
  <c r="I11" i="12"/>
  <c r="I39" i="12" s="1"/>
  <c r="AB39" i="12" s="1"/>
  <c r="G5" i="10"/>
  <c r="AX30" i="5"/>
  <c r="AX31" i="5" s="1"/>
  <c r="F75" i="12"/>
  <c r="F80" i="12" s="1"/>
  <c r="BH5" i="5"/>
  <c r="AZ5" i="5"/>
  <c r="BN19" i="5"/>
  <c r="BC19" i="5"/>
  <c r="BN7" i="5"/>
  <c r="BZ7" i="5" s="1"/>
  <c r="BW17" i="5"/>
  <c r="AV17" i="5"/>
  <c r="CD12" i="5"/>
  <c r="AV12" i="5"/>
  <c r="CC20" i="5"/>
  <c r="AU20" i="5"/>
  <c r="BO7" i="5"/>
  <c r="CG14" i="5"/>
  <c r="CF14" i="5"/>
  <c r="CE14" i="5"/>
  <c r="CD14" i="5"/>
  <c r="CC14" i="5"/>
  <c r="CK14" i="5"/>
  <c r="BW14" i="5"/>
  <c r="BV14" i="5"/>
  <c r="BU14" i="5"/>
  <c r="BT14" i="5"/>
  <c r="BS14" i="5"/>
  <c r="BR14" i="5"/>
  <c r="BQ14" i="5"/>
  <c r="BM14" i="5"/>
  <c r="CI14" i="5"/>
  <c r="CA14" i="5"/>
  <c r="BY14" i="5"/>
  <c r="BH14" i="5"/>
  <c r="BG14" i="5"/>
  <c r="BF14" i="5"/>
  <c r="BE14" i="5"/>
  <c r="BD14" i="5"/>
  <c r="BA14" i="5"/>
  <c r="AZ14" i="5"/>
  <c r="AY14" i="5"/>
  <c r="AV14" i="5"/>
  <c r="AU14" i="5"/>
  <c r="BI14" i="5"/>
  <c r="BJ14" i="5"/>
  <c r="BK14" i="5"/>
  <c r="CG22" i="5"/>
  <c r="CF22" i="5"/>
  <c r="CE22" i="5"/>
  <c r="CD22" i="5"/>
  <c r="CC22" i="5"/>
  <c r="CK22" i="5"/>
  <c r="BW22" i="5"/>
  <c r="BV22" i="5"/>
  <c r="BU22" i="5"/>
  <c r="BT22" i="5"/>
  <c r="BS22" i="5"/>
  <c r="BR22" i="5"/>
  <c r="BQ22" i="5"/>
  <c r="BM22" i="5"/>
  <c r="CI22" i="5"/>
  <c r="BI22" i="5"/>
  <c r="BH22" i="5"/>
  <c r="BG22" i="5"/>
  <c r="BF22" i="5"/>
  <c r="BE22" i="5"/>
  <c r="BD22" i="5"/>
  <c r="BA22" i="5"/>
  <c r="BP22" i="5" s="1"/>
  <c r="AZ22" i="5"/>
  <c r="AY22" i="5"/>
  <c r="AV22" i="5"/>
  <c r="BC22" i="5" s="1"/>
  <c r="AU22" i="5"/>
  <c r="BN22" i="5" s="1"/>
  <c r="CA22" i="5"/>
  <c r="BY22" i="5"/>
  <c r="BK22" i="5"/>
  <c r="BJ22" i="5"/>
  <c r="CG23" i="5"/>
  <c r="CK23" i="5"/>
  <c r="CI23" i="5"/>
  <c r="BK23" i="5"/>
  <c r="BJ23" i="5"/>
  <c r="CE23" i="5"/>
  <c r="BM23" i="5"/>
  <c r="BI23" i="5"/>
  <c r="BH23" i="5"/>
  <c r="BG23" i="5"/>
  <c r="BF23" i="5"/>
  <c r="BE23" i="5"/>
  <c r="BD23" i="5"/>
  <c r="BA23" i="5"/>
  <c r="BP23" i="5" s="1"/>
  <c r="AZ23" i="5"/>
  <c r="AY23" i="5"/>
  <c r="CC23" i="5"/>
  <c r="CA23" i="5"/>
  <c r="CF23" i="5"/>
  <c r="BY23" i="5"/>
  <c r="BR23" i="5"/>
  <c r="BQ23" i="5"/>
  <c r="BT23" i="5"/>
  <c r="BS23" i="5"/>
  <c r="BV23" i="5"/>
  <c r="BU23" i="5"/>
  <c r="BW23" i="5"/>
  <c r="AV23" i="5"/>
  <c r="BC23" i="5" s="1"/>
  <c r="AU23" i="5"/>
  <c r="BB23" i="5" s="1"/>
  <c r="CD23" i="5"/>
  <c r="CI10" i="5"/>
  <c r="CG10" i="5"/>
  <c r="CF10" i="5"/>
  <c r="CE10" i="5"/>
  <c r="CD10" i="5"/>
  <c r="CC10" i="5"/>
  <c r="CK10" i="5"/>
  <c r="BW10" i="5"/>
  <c r="BV10" i="5"/>
  <c r="BU10" i="5"/>
  <c r="BT10" i="5"/>
  <c r="BS10" i="5"/>
  <c r="BR10" i="5"/>
  <c r="BQ10" i="5"/>
  <c r="BM10" i="5"/>
  <c r="BJ10" i="5"/>
  <c r="BH10" i="5"/>
  <c r="BG10" i="5"/>
  <c r="BF10" i="5"/>
  <c r="BE10" i="5"/>
  <c r="BD10" i="5"/>
  <c r="BA10" i="5"/>
  <c r="BP10" i="5" s="1"/>
  <c r="AZ10" i="5"/>
  <c r="AY10" i="5"/>
  <c r="AV10" i="5"/>
  <c r="BO10" i="5" s="1"/>
  <c r="AU10" i="5"/>
  <c r="BN10" i="5" s="1"/>
  <c r="BI10" i="5"/>
  <c r="BY10" i="5"/>
  <c r="BK10" i="5"/>
  <c r="CA10" i="5"/>
  <c r="BO25" i="5"/>
  <c r="BO8" i="5"/>
  <c r="CI18" i="5"/>
  <c r="BX18" i="5"/>
  <c r="CJ18" i="5"/>
  <c r="CG18" i="5"/>
  <c r="CF18" i="5"/>
  <c r="CE18" i="5"/>
  <c r="CD18" i="5"/>
  <c r="CC18" i="5"/>
  <c r="CK18" i="5"/>
  <c r="CH18" i="5"/>
  <c r="BW18" i="5"/>
  <c r="BV18" i="5"/>
  <c r="BU18" i="5"/>
  <c r="BT18" i="5"/>
  <c r="BS18" i="5"/>
  <c r="BR18" i="5"/>
  <c r="BQ18" i="5"/>
  <c r="BM18" i="5"/>
  <c r="BL18" i="5"/>
  <c r="BK18" i="5"/>
  <c r="BI18" i="5"/>
  <c r="BH18" i="5"/>
  <c r="BG18" i="5"/>
  <c r="BF18" i="5"/>
  <c r="BE18" i="5"/>
  <c r="BD18" i="5"/>
  <c r="BA18" i="5"/>
  <c r="BP18" i="5" s="1"/>
  <c r="AZ18" i="5"/>
  <c r="AY18" i="5"/>
  <c r="AV18" i="5"/>
  <c r="BO18" i="5" s="1"/>
  <c r="AU18" i="5"/>
  <c r="BN18" i="5" s="1"/>
  <c r="BZ18" i="5"/>
  <c r="CA18" i="5"/>
  <c r="BJ18" i="5"/>
  <c r="BY18" i="5"/>
  <c r="BD8" i="5"/>
  <c r="CJ2" i="5"/>
  <c r="CI2" i="5"/>
  <c r="CH2" i="5"/>
  <c r="CG2" i="5"/>
  <c r="CF2" i="5"/>
  <c r="CE2" i="5"/>
  <c r="CD2" i="5"/>
  <c r="CC2" i="5"/>
  <c r="AT28" i="5"/>
  <c r="AT29" i="5" s="1"/>
  <c r="AS28" i="5"/>
  <c r="AS29" i="5" s="1"/>
  <c r="CK2" i="5"/>
  <c r="BX2" i="5"/>
  <c r="BW2" i="5"/>
  <c r="BV2" i="5"/>
  <c r="BU2" i="5"/>
  <c r="BT2" i="5"/>
  <c r="BS2" i="5"/>
  <c r="BR2" i="5"/>
  <c r="BQ2" i="5"/>
  <c r="BM2" i="5"/>
  <c r="BJ2" i="5"/>
  <c r="BL2" i="5"/>
  <c r="BI2" i="5"/>
  <c r="BH2" i="5"/>
  <c r="BG2" i="5"/>
  <c r="BF2" i="5"/>
  <c r="BE2" i="5"/>
  <c r="BD2" i="5"/>
  <c r="BA2" i="5"/>
  <c r="AZ2" i="5"/>
  <c r="AY2" i="5"/>
  <c r="AV2" i="5"/>
  <c r="BC2" i="5" s="1"/>
  <c r="AU2" i="5"/>
  <c r="BB2" i="5" s="1"/>
  <c r="BZ2" i="5"/>
  <c r="BY2" i="5"/>
  <c r="CA2" i="5"/>
  <c r="BK2" i="5"/>
  <c r="BP7" i="5"/>
  <c r="BN8" i="5"/>
  <c r="BZ8" i="5" s="1"/>
  <c r="CI3" i="5"/>
  <c r="BK3" i="5"/>
  <c r="BJ3" i="5"/>
  <c r="BI3" i="5"/>
  <c r="CG3" i="5"/>
  <c r="CF3" i="5"/>
  <c r="CE3" i="5"/>
  <c r="CD3" i="5"/>
  <c r="CC3" i="5"/>
  <c r="CA3" i="5"/>
  <c r="BY3" i="5"/>
  <c r="CK3" i="5"/>
  <c r="BV3" i="5"/>
  <c r="BT3" i="5"/>
  <c r="BR3" i="5"/>
  <c r="BW3" i="5"/>
  <c r="BU3" i="5"/>
  <c r="BS3" i="5"/>
  <c r="BQ3" i="5"/>
  <c r="BM3" i="5"/>
  <c r="BD3" i="5"/>
  <c r="BE3" i="5"/>
  <c r="AV3" i="5"/>
  <c r="BC3" i="5" s="1"/>
  <c r="BF3" i="5"/>
  <c r="BG3" i="5"/>
  <c r="AY3" i="5"/>
  <c r="BH3" i="5"/>
  <c r="AZ3" i="5"/>
  <c r="AU3" i="5"/>
  <c r="BN3" i="5" s="1"/>
  <c r="BA3" i="5"/>
  <c r="BP3" i="5" s="1"/>
  <c r="BP19" i="5"/>
  <c r="CB19" i="5" s="1"/>
  <c r="CG6" i="5"/>
  <c r="CF6" i="5"/>
  <c r="CE6" i="5"/>
  <c r="CD6" i="5"/>
  <c r="CC6" i="5"/>
  <c r="CK6" i="5"/>
  <c r="BW6" i="5"/>
  <c r="BV6" i="5"/>
  <c r="BU6" i="5"/>
  <c r="BT6" i="5"/>
  <c r="BS6" i="5"/>
  <c r="BR6" i="5"/>
  <c r="BQ6" i="5"/>
  <c r="BM6" i="5"/>
  <c r="CI6" i="5"/>
  <c r="BH6" i="5"/>
  <c r="BG6" i="5"/>
  <c r="BF6" i="5"/>
  <c r="BE6" i="5"/>
  <c r="BD6" i="5"/>
  <c r="BA6" i="5"/>
  <c r="AZ6" i="5"/>
  <c r="AY6" i="5"/>
  <c r="AV6" i="5"/>
  <c r="AU6" i="5"/>
  <c r="BJ6" i="5"/>
  <c r="CA6" i="5"/>
  <c r="BY6" i="5"/>
  <c r="BI6" i="5"/>
  <c r="BK6" i="5"/>
  <c r="CJ13" i="5"/>
  <c r="CK13" i="5"/>
  <c r="BW13" i="5"/>
  <c r="BV13" i="5"/>
  <c r="BU13" i="5"/>
  <c r="BT13" i="5"/>
  <c r="BS13" i="5"/>
  <c r="BR13" i="5"/>
  <c r="BQ13" i="5"/>
  <c r="CH13" i="5"/>
  <c r="CI13" i="5"/>
  <c r="CG13" i="5"/>
  <c r="CF13" i="5"/>
  <c r="CE13" i="5"/>
  <c r="CD13" i="5"/>
  <c r="CC13" i="5"/>
  <c r="CA13" i="5"/>
  <c r="BZ13" i="5"/>
  <c r="BY13" i="5"/>
  <c r="BI13" i="5"/>
  <c r="BK13" i="5"/>
  <c r="BD13" i="5"/>
  <c r="BE13" i="5"/>
  <c r="BJ13" i="5"/>
  <c r="BF13" i="5"/>
  <c r="AV13" i="5"/>
  <c r="BC13" i="5" s="1"/>
  <c r="BX13" i="5"/>
  <c r="BG13" i="5"/>
  <c r="AY13" i="5"/>
  <c r="BH13" i="5"/>
  <c r="AZ13" i="5"/>
  <c r="BL13" i="5"/>
  <c r="BA13" i="5"/>
  <c r="BP13" i="5" s="1"/>
  <c r="AU13" i="5"/>
  <c r="BN13" i="5" s="1"/>
  <c r="BM13" i="5"/>
  <c r="BL7" i="5"/>
  <c r="CG24" i="5"/>
  <c r="CF24" i="5"/>
  <c r="CE24" i="5"/>
  <c r="CD24" i="5"/>
  <c r="CC24" i="5"/>
  <c r="CA24" i="5"/>
  <c r="BY24" i="5"/>
  <c r="CK24" i="5"/>
  <c r="BW24" i="5"/>
  <c r="BV24" i="5"/>
  <c r="BU24" i="5"/>
  <c r="BT24" i="5"/>
  <c r="BS24" i="5"/>
  <c r="BR24" i="5"/>
  <c r="BQ24" i="5"/>
  <c r="CI24" i="5"/>
  <c r="BK24" i="5"/>
  <c r="BF24" i="5"/>
  <c r="BG24" i="5"/>
  <c r="AY24" i="5"/>
  <c r="BH24" i="5"/>
  <c r="AZ24" i="5"/>
  <c r="AV24" i="5"/>
  <c r="BC24" i="5" s="1"/>
  <c r="BM24" i="5"/>
  <c r="BI24" i="5"/>
  <c r="BA24" i="5"/>
  <c r="BP24" i="5" s="1"/>
  <c r="AU24" i="5"/>
  <c r="BN24" i="5" s="1"/>
  <c r="BD24" i="5"/>
  <c r="BJ24" i="5"/>
  <c r="BE24" i="5"/>
  <c r="CJ15" i="5"/>
  <c r="CG15" i="5"/>
  <c r="CK15" i="5"/>
  <c r="CH15" i="5"/>
  <c r="CI15" i="5"/>
  <c r="BX15" i="5"/>
  <c r="BK15" i="5"/>
  <c r="BJ15" i="5"/>
  <c r="BI15" i="5"/>
  <c r="CF15" i="5"/>
  <c r="CA15" i="5"/>
  <c r="BY15" i="5"/>
  <c r="BH15" i="5"/>
  <c r="BG15" i="5"/>
  <c r="BF15" i="5"/>
  <c r="BE15" i="5"/>
  <c r="BD15" i="5"/>
  <c r="BA15" i="5"/>
  <c r="BP15" i="5" s="1"/>
  <c r="AZ15" i="5"/>
  <c r="AY15" i="5"/>
  <c r="CD15" i="5"/>
  <c r="BU15" i="5"/>
  <c r="BT15" i="5"/>
  <c r="CC15" i="5"/>
  <c r="BW15" i="5"/>
  <c r="BV15" i="5"/>
  <c r="AV15" i="5"/>
  <c r="BO15" i="5" s="1"/>
  <c r="CE15" i="5"/>
  <c r="AU15" i="5"/>
  <c r="BB15" i="5" s="1"/>
  <c r="BQ15" i="5"/>
  <c r="BL15" i="5"/>
  <c r="BZ15" i="5"/>
  <c r="BS15" i="5"/>
  <c r="BR15" i="5"/>
  <c r="BM15" i="5"/>
  <c r="D14" i="7"/>
  <c r="BN11" i="5" l="1"/>
  <c r="BZ11" i="5" s="1"/>
  <c r="J11" i="16"/>
  <c r="AB11" i="16"/>
  <c r="AB45" i="16" s="1"/>
  <c r="J11" i="15"/>
  <c r="N13" i="14"/>
  <c r="AA11" i="16"/>
  <c r="G39" i="15"/>
  <c r="AB11" i="15"/>
  <c r="AB45" i="15" s="1"/>
  <c r="AA11" i="15"/>
  <c r="F10" i="15"/>
  <c r="D37" i="10"/>
  <c r="F12" i="16"/>
  <c r="F40" i="16" s="1"/>
  <c r="D50" i="10"/>
  <c r="BN21" i="5"/>
  <c r="AU37" i="5"/>
  <c r="AU38" i="5" s="1"/>
  <c r="AZ37" i="5"/>
  <c r="AZ38" i="5" s="1"/>
  <c r="F12" i="15"/>
  <c r="F40" i="15" s="1"/>
  <c r="D39" i="10"/>
  <c r="AA39" i="16"/>
  <c r="J39" i="16"/>
  <c r="AY46" i="5"/>
  <c r="AY48" i="5"/>
  <c r="AY49" i="5" s="1"/>
  <c r="AV46" i="5"/>
  <c r="AY52" i="5"/>
  <c r="AV52" i="5"/>
  <c r="AV50" i="5"/>
  <c r="AV48" i="5"/>
  <c r="AV49" i="5" s="1"/>
  <c r="AY50" i="5"/>
  <c r="BC21" i="5"/>
  <c r="AV37" i="5"/>
  <c r="AV38" i="5" s="1"/>
  <c r="BP21" i="5"/>
  <c r="CB21" i="5" s="1"/>
  <c r="BA37" i="5"/>
  <c r="BA38" i="5" s="1"/>
  <c r="BD37" i="5"/>
  <c r="BD38" i="5" s="1"/>
  <c r="AY37" i="5"/>
  <c r="AY38" i="5" s="1"/>
  <c r="F10" i="16"/>
  <c r="D48" i="10"/>
  <c r="BV37" i="5"/>
  <c r="BV38" i="5" s="1"/>
  <c r="BH37" i="5"/>
  <c r="BH38" i="5" s="1"/>
  <c r="BI37" i="5"/>
  <c r="BI38" i="5" s="1"/>
  <c r="F44" i="14"/>
  <c r="BS37" i="5"/>
  <c r="BS38" i="5" s="1"/>
  <c r="BY37" i="5"/>
  <c r="BY38" i="5" s="1"/>
  <c r="BM37" i="5"/>
  <c r="BM38" i="5" s="1"/>
  <c r="BG37" i="5"/>
  <c r="BG38" i="5" s="1"/>
  <c r="CE37" i="5"/>
  <c r="CE38" i="5" s="1"/>
  <c r="BU37" i="5"/>
  <c r="BU38" i="5" s="1"/>
  <c r="BQ37" i="5"/>
  <c r="BQ38" i="5" s="1"/>
  <c r="BK37" i="5"/>
  <c r="BK38" i="5" s="1"/>
  <c r="CF37" i="5"/>
  <c r="CF38" i="5" s="1"/>
  <c r="BR37" i="5"/>
  <c r="BR38" i="5" s="1"/>
  <c r="F75" i="16"/>
  <c r="F80" i="16" s="1"/>
  <c r="BK35" i="5"/>
  <c r="BK36" i="5" s="1"/>
  <c r="BC37" i="5"/>
  <c r="BC38" i="5" s="1"/>
  <c r="BF37" i="5"/>
  <c r="BF38" i="5" s="1"/>
  <c r="CK37" i="5"/>
  <c r="CK38" i="5" s="1"/>
  <c r="BE37" i="5"/>
  <c r="BE38" i="5" s="1"/>
  <c r="CG37" i="5"/>
  <c r="CG38" i="5" s="1"/>
  <c r="BT37" i="5"/>
  <c r="BT38" i="5" s="1"/>
  <c r="BJ37" i="5"/>
  <c r="BJ38" i="5" s="1"/>
  <c r="BW37" i="5"/>
  <c r="BW38" i="5" s="1"/>
  <c r="CC37" i="5"/>
  <c r="CC38" i="5" s="1"/>
  <c r="CA37" i="5"/>
  <c r="CA38" i="5" s="1"/>
  <c r="CI37" i="5"/>
  <c r="CI38" i="5" s="1"/>
  <c r="CD37" i="5"/>
  <c r="CD38" i="5" s="1"/>
  <c r="F75" i="15"/>
  <c r="F80" i="15" s="1"/>
  <c r="BP14" i="5"/>
  <c r="BP35" i="5" s="1"/>
  <c r="BP36" i="5" s="1"/>
  <c r="BA35" i="5"/>
  <c r="BA36" i="5" s="1"/>
  <c r="CI35" i="5"/>
  <c r="CI36" i="5" s="1"/>
  <c r="BW35" i="5"/>
  <c r="BW36" i="5" s="1"/>
  <c r="BD35" i="5"/>
  <c r="BD36" i="5" s="1"/>
  <c r="BM35" i="5"/>
  <c r="BM36" i="5" s="1"/>
  <c r="CK35" i="5"/>
  <c r="CK36" i="5" s="1"/>
  <c r="BJ35" i="5"/>
  <c r="BJ36" i="5" s="1"/>
  <c r="BE35" i="5"/>
  <c r="BE36" i="5" s="1"/>
  <c r="BQ35" i="5"/>
  <c r="BQ36" i="5" s="1"/>
  <c r="CC35" i="5"/>
  <c r="CC36" i="5" s="1"/>
  <c r="BI35" i="5"/>
  <c r="BI36" i="5" s="1"/>
  <c r="BF35" i="5"/>
  <c r="BF36" i="5" s="1"/>
  <c r="BR35" i="5"/>
  <c r="BR36" i="5" s="1"/>
  <c r="CD35" i="5"/>
  <c r="CD36" i="5" s="1"/>
  <c r="BN14" i="5"/>
  <c r="AU35" i="5"/>
  <c r="AU36" i="5" s="1"/>
  <c r="BG35" i="5"/>
  <c r="BG36" i="5" s="1"/>
  <c r="BS35" i="5"/>
  <c r="BS36" i="5" s="1"/>
  <c r="CE35" i="5"/>
  <c r="CE36" i="5" s="1"/>
  <c r="BO14" i="5"/>
  <c r="AV35" i="5"/>
  <c r="AV36" i="5" s="1"/>
  <c r="BH35" i="5"/>
  <c r="BH36" i="5" s="1"/>
  <c r="BT35" i="5"/>
  <c r="BT36" i="5" s="1"/>
  <c r="CF35" i="5"/>
  <c r="CF36" i="5" s="1"/>
  <c r="AY35" i="5"/>
  <c r="AY36" i="5" s="1"/>
  <c r="BY35" i="5"/>
  <c r="BY36" i="5" s="1"/>
  <c r="BU35" i="5"/>
  <c r="BU36" i="5" s="1"/>
  <c r="CG35" i="5"/>
  <c r="CG36" i="5" s="1"/>
  <c r="AZ35" i="5"/>
  <c r="AZ36" i="5" s="1"/>
  <c r="CA35" i="5"/>
  <c r="CA36" i="5" s="1"/>
  <c r="BV35" i="5"/>
  <c r="BV36" i="5" s="1"/>
  <c r="J38" i="14"/>
  <c r="G41" i="14"/>
  <c r="AA38" i="14"/>
  <c r="N38" i="14"/>
  <c r="L41" i="14"/>
  <c r="N41" i="14" s="1"/>
  <c r="H29" i="10"/>
  <c r="F31" i="10" s="1"/>
  <c r="F32" i="10" s="1"/>
  <c r="AA39" i="14"/>
  <c r="J39" i="14"/>
  <c r="J13" i="14"/>
  <c r="AB38" i="14"/>
  <c r="AB44" i="14" s="1"/>
  <c r="I41" i="14"/>
  <c r="AC10" i="14"/>
  <c r="F45" i="14"/>
  <c r="F75" i="14"/>
  <c r="F80" i="14" s="1"/>
  <c r="H16" i="10"/>
  <c r="F10" i="13"/>
  <c r="F38" i="13" s="1"/>
  <c r="D15" i="10"/>
  <c r="F12" i="13"/>
  <c r="D17" i="10"/>
  <c r="G39" i="13"/>
  <c r="AB11" i="13"/>
  <c r="AB45" i="13" s="1"/>
  <c r="AA11" i="13"/>
  <c r="J11" i="13"/>
  <c r="F75" i="13"/>
  <c r="F80" i="13" s="1"/>
  <c r="CB16" i="5"/>
  <c r="BB21" i="5"/>
  <c r="CB4" i="5"/>
  <c r="BO5" i="5"/>
  <c r="BO20" i="5"/>
  <c r="CB9" i="5"/>
  <c r="CB20" i="5"/>
  <c r="BX9" i="5"/>
  <c r="BX12" i="5"/>
  <c r="BO9" i="5"/>
  <c r="BN17" i="5"/>
  <c r="BL12" i="5"/>
  <c r="BX11" i="5"/>
  <c r="BX5" i="5"/>
  <c r="CB8" i="5"/>
  <c r="BL9" i="5"/>
  <c r="BL11" i="5"/>
  <c r="BB16" i="5"/>
  <c r="BH30" i="5"/>
  <c r="BH31" i="5" s="1"/>
  <c r="BL5" i="5"/>
  <c r="BG30" i="5"/>
  <c r="BG31" i="5" s="1"/>
  <c r="BU30" i="5"/>
  <c r="BU31" i="5" s="1"/>
  <c r="CG30" i="5"/>
  <c r="CG31" i="5" s="1"/>
  <c r="BB5" i="5"/>
  <c r="BZ5" i="5" s="1"/>
  <c r="BV30" i="5"/>
  <c r="BV31" i="5" s="1"/>
  <c r="BO11" i="5"/>
  <c r="BB12" i="5"/>
  <c r="BZ12" i="5" s="1"/>
  <c r="BT30" i="5"/>
  <c r="BT31" i="5" s="1"/>
  <c r="BK30" i="5"/>
  <c r="BK31" i="5" s="1"/>
  <c r="BO21" i="5"/>
  <c r="CI30" i="5"/>
  <c r="CI31" i="5" s="1"/>
  <c r="BB9" i="5"/>
  <c r="BN9" i="5"/>
  <c r="BM30" i="5"/>
  <c r="BM31" i="5" s="1"/>
  <c r="BJ30" i="5"/>
  <c r="BJ31" i="5" s="1"/>
  <c r="CB5" i="5"/>
  <c r="AZ30" i="5"/>
  <c r="AZ31" i="5" s="1"/>
  <c r="BL8" i="5"/>
  <c r="CE28" i="5"/>
  <c r="CE29" i="5" s="1"/>
  <c r="BC15" i="5"/>
  <c r="BI30" i="5"/>
  <c r="BI31" i="5" s="1"/>
  <c r="H5" i="10"/>
  <c r="BO6" i="5"/>
  <c r="AV30" i="5"/>
  <c r="AV31" i="5" s="1"/>
  <c r="CB15" i="5"/>
  <c r="AY30" i="5"/>
  <c r="AY31" i="5" s="1"/>
  <c r="BW30" i="5"/>
  <c r="BW31" i="5" s="1"/>
  <c r="CK30" i="5"/>
  <c r="CK31" i="5" s="1"/>
  <c r="BQ30" i="5"/>
  <c r="BQ31" i="5" s="1"/>
  <c r="BP6" i="5"/>
  <c r="BX6" i="5" s="1"/>
  <c r="BA30" i="5"/>
  <c r="BA31" i="5" s="1"/>
  <c r="CC30" i="5"/>
  <c r="CC31" i="5" s="1"/>
  <c r="BY30" i="5"/>
  <c r="BY31" i="5" s="1"/>
  <c r="BD30" i="5"/>
  <c r="BD31" i="5" s="1"/>
  <c r="BR30" i="5"/>
  <c r="BR31" i="5" s="1"/>
  <c r="CD30" i="5"/>
  <c r="CD31" i="5" s="1"/>
  <c r="BN6" i="5"/>
  <c r="AU30" i="5"/>
  <c r="AU31" i="5" s="1"/>
  <c r="CA30" i="5"/>
  <c r="CA31" i="5" s="1"/>
  <c r="BE30" i="5"/>
  <c r="BE31" i="5" s="1"/>
  <c r="BS30" i="5"/>
  <c r="BS31" i="5" s="1"/>
  <c r="CE30" i="5"/>
  <c r="CE31" i="5" s="1"/>
  <c r="CB10" i="5"/>
  <c r="CB22" i="5"/>
  <c r="BF30" i="5"/>
  <c r="BF31" i="5" s="1"/>
  <c r="CF30" i="5"/>
  <c r="CF31" i="5" s="1"/>
  <c r="CB18" i="5"/>
  <c r="F10" i="12"/>
  <c r="D4" i="10"/>
  <c r="F12" i="12"/>
  <c r="F40" i="12" s="1"/>
  <c r="D6" i="10"/>
  <c r="AB11" i="12"/>
  <c r="AB45" i="12" s="1"/>
  <c r="AA11" i="12"/>
  <c r="J11" i="12"/>
  <c r="G39" i="12"/>
  <c r="BT28" i="5"/>
  <c r="BT29" i="5" s="1"/>
  <c r="BO24" i="5"/>
  <c r="CA28" i="5"/>
  <c r="CA29" i="5" s="1"/>
  <c r="BN23" i="5"/>
  <c r="BZ23" i="5" s="1"/>
  <c r="BC12" i="5"/>
  <c r="BO12" i="5"/>
  <c r="BD28" i="5"/>
  <c r="BD29" i="5" s="1"/>
  <c r="BM28" i="5"/>
  <c r="BM29" i="5" s="1"/>
  <c r="BO13" i="5"/>
  <c r="BO17" i="5"/>
  <c r="BC17" i="5"/>
  <c r="BR28" i="5"/>
  <c r="BR29" i="5" s="1"/>
  <c r="CI28" i="5"/>
  <c r="CI29" i="5" s="1"/>
  <c r="BB18" i="5"/>
  <c r="BB13" i="5"/>
  <c r="BB3" i="5"/>
  <c r="CB3" i="5"/>
  <c r="AY28" i="5"/>
  <c r="AY29" i="5" s="1"/>
  <c r="BC18" i="5"/>
  <c r="BN20" i="5"/>
  <c r="BB20" i="5"/>
  <c r="CB24" i="5"/>
  <c r="BL3" i="5"/>
  <c r="BK28" i="5"/>
  <c r="BK29" i="5" s="1"/>
  <c r="BA28" i="5"/>
  <c r="BA29" i="5" s="1"/>
  <c r="BB22" i="5"/>
  <c r="BZ22" i="5" s="1"/>
  <c r="CB23" i="5"/>
  <c r="BX23" i="5"/>
  <c r="BY28" i="5"/>
  <c r="BY29" i="5" s="1"/>
  <c r="BC28" i="5"/>
  <c r="BC29" i="5" s="1"/>
  <c r="BJ28" i="5"/>
  <c r="BJ29" i="5" s="1"/>
  <c r="CC28" i="5"/>
  <c r="CC29" i="5" s="1"/>
  <c r="BX22" i="5"/>
  <c r="BO3" i="5"/>
  <c r="BX3" i="5"/>
  <c r="BI28" i="5"/>
  <c r="BI29" i="5" s="1"/>
  <c r="BL24" i="5"/>
  <c r="BU28" i="5"/>
  <c r="BU29" i="5" s="1"/>
  <c r="CD28" i="5"/>
  <c r="CD29" i="5" s="1"/>
  <c r="BX24" i="5"/>
  <c r="BL6" i="5"/>
  <c r="AU28" i="5"/>
  <c r="AU29" i="5" s="1"/>
  <c r="BE28" i="5"/>
  <c r="BE29" i="5" s="1"/>
  <c r="BN2" i="5"/>
  <c r="BV28" i="5"/>
  <c r="BV29" i="5" s="1"/>
  <c r="BO23" i="5"/>
  <c r="BL23" i="5"/>
  <c r="BO22" i="5"/>
  <c r="BB14" i="5"/>
  <c r="BB24" i="5"/>
  <c r="BZ24" i="5" s="1"/>
  <c r="BB6" i="5"/>
  <c r="AV28" i="5"/>
  <c r="AV29" i="5" s="1"/>
  <c r="BF28" i="5"/>
  <c r="BF29" i="5" s="1"/>
  <c r="BO2" i="5"/>
  <c r="BW28" i="5"/>
  <c r="BW29" i="5" s="1"/>
  <c r="CF28" i="5"/>
  <c r="CF29" i="5" s="1"/>
  <c r="BB10" i="5"/>
  <c r="BZ10" i="5" s="1"/>
  <c r="BX10" i="5"/>
  <c r="BC14" i="5"/>
  <c r="BN15" i="5"/>
  <c r="BC6" i="5"/>
  <c r="CB7" i="5"/>
  <c r="BX7" i="5"/>
  <c r="BG28" i="5"/>
  <c r="BG29" i="5" s="1"/>
  <c r="BP2" i="5"/>
  <c r="CG28" i="5"/>
  <c r="CG29" i="5" s="1"/>
  <c r="BC10" i="5"/>
  <c r="BL14" i="5"/>
  <c r="BL35" i="5" s="1"/>
  <c r="BL36" i="5" s="1"/>
  <c r="CB13" i="5"/>
  <c r="AZ28" i="5"/>
  <c r="AZ29" i="5" s="1"/>
  <c r="BH28" i="5"/>
  <c r="BH29" i="5" s="1"/>
  <c r="BQ28" i="5"/>
  <c r="BQ29" i="5" s="1"/>
  <c r="CK28" i="5"/>
  <c r="CK29" i="5" s="1"/>
  <c r="BL10" i="5"/>
  <c r="BL22" i="5"/>
  <c r="BS28" i="5"/>
  <c r="BS29" i="5" s="1"/>
  <c r="AB10" i="9"/>
  <c r="BN30" i="5" l="1"/>
  <c r="BN31" i="5" s="1"/>
  <c r="BX14" i="5"/>
  <c r="BX35" i="5" s="1"/>
  <c r="BX36" i="5" s="1"/>
  <c r="CB14" i="5"/>
  <c r="CB35" i="5" s="1"/>
  <c r="CB36" i="5" s="1"/>
  <c r="D51" i="10"/>
  <c r="D54" i="10" s="1"/>
  <c r="BP37" i="5"/>
  <c r="BP38" i="5" s="1"/>
  <c r="D40" i="10"/>
  <c r="D43" i="10" s="1"/>
  <c r="BL37" i="5"/>
  <c r="BL38" i="5" s="1"/>
  <c r="G48" i="10" s="1"/>
  <c r="BX37" i="5"/>
  <c r="BX38" i="5" s="1"/>
  <c r="E31" i="10"/>
  <c r="G31" i="10" s="1"/>
  <c r="G32" i="10" s="1"/>
  <c r="AA39" i="15"/>
  <c r="J39" i="15"/>
  <c r="E37" i="10"/>
  <c r="G10" i="15"/>
  <c r="I37" i="10"/>
  <c r="K10" i="15"/>
  <c r="M12" i="16"/>
  <c r="M40" i="16" s="1"/>
  <c r="K50" i="10"/>
  <c r="AX52" i="5"/>
  <c r="AY51" i="5"/>
  <c r="AV53" i="5"/>
  <c r="AY47" i="5"/>
  <c r="BN28" i="5"/>
  <c r="BN29" i="5" s="1"/>
  <c r="AZ52" i="5"/>
  <c r="AZ48" i="5"/>
  <c r="AZ49" i="5" s="1"/>
  <c r="AZ50" i="5"/>
  <c r="AZ46" i="5"/>
  <c r="AX50" i="5"/>
  <c r="I48" i="10"/>
  <c r="K10" i="16"/>
  <c r="BC35" i="5"/>
  <c r="BC36" i="5" s="1"/>
  <c r="H12" i="15" s="1"/>
  <c r="H12" i="16"/>
  <c r="H40" i="16" s="1"/>
  <c r="F50" i="10"/>
  <c r="AV47" i="5"/>
  <c r="BZ37" i="5"/>
  <c r="BZ38" i="5" s="1"/>
  <c r="AX48" i="5"/>
  <c r="AX49" i="5" s="1"/>
  <c r="AY53" i="5"/>
  <c r="AW48" i="5"/>
  <c r="AW49" i="5" s="1"/>
  <c r="G12" i="15"/>
  <c r="G40" i="15" s="1"/>
  <c r="E39" i="10"/>
  <c r="F38" i="16"/>
  <c r="F41" i="16" s="1"/>
  <c r="F13" i="16"/>
  <c r="F16" i="16" s="1"/>
  <c r="AW52" i="5"/>
  <c r="AW50" i="5"/>
  <c r="AC39" i="16"/>
  <c r="AA45" i="16"/>
  <c r="AC45" i="16" s="1"/>
  <c r="G50" i="10"/>
  <c r="I12" i="16"/>
  <c r="I40" i="16" s="1"/>
  <c r="G10" i="16"/>
  <c r="E48" i="10"/>
  <c r="AX46" i="5"/>
  <c r="AW46" i="5"/>
  <c r="AW47" i="5" s="1"/>
  <c r="F38" i="15"/>
  <c r="F41" i="15" s="1"/>
  <c r="F13" i="15"/>
  <c r="F16" i="15" s="1"/>
  <c r="J50" i="10"/>
  <c r="L12" i="16"/>
  <c r="AV51" i="5"/>
  <c r="G12" i="16"/>
  <c r="E50" i="10"/>
  <c r="BB37" i="5"/>
  <c r="BB38" i="5" s="1"/>
  <c r="I10" i="15"/>
  <c r="G37" i="10"/>
  <c r="CB37" i="5"/>
  <c r="CB38" i="5" s="1"/>
  <c r="BN37" i="5"/>
  <c r="BN38" i="5" s="1"/>
  <c r="BO37" i="5"/>
  <c r="BO38" i="5" s="1"/>
  <c r="J39" i="10"/>
  <c r="L12" i="15"/>
  <c r="K39" i="10"/>
  <c r="M12" i="15"/>
  <c r="M40" i="15" s="1"/>
  <c r="G39" i="10"/>
  <c r="I12" i="15"/>
  <c r="I40" i="15" s="1"/>
  <c r="J41" i="14"/>
  <c r="G51" i="14" s="1"/>
  <c r="J51" i="14" s="1"/>
  <c r="J52" i="14" s="1"/>
  <c r="J56" i="14" s="1"/>
  <c r="J60" i="14" s="1"/>
  <c r="J67" i="14" s="1"/>
  <c r="I69" i="14" s="1"/>
  <c r="J69" i="14" s="1"/>
  <c r="BZ14" i="5"/>
  <c r="BZ35" i="5" s="1"/>
  <c r="BZ36" i="5" s="1"/>
  <c r="BB35" i="5"/>
  <c r="BB36" i="5" s="1"/>
  <c r="BN35" i="5"/>
  <c r="BN36" i="5" s="1"/>
  <c r="BO35" i="5"/>
  <c r="BO36" i="5" s="1"/>
  <c r="G15" i="14"/>
  <c r="H15" i="14"/>
  <c r="H16" i="14" s="1"/>
  <c r="AC38" i="14"/>
  <c r="AA44" i="14"/>
  <c r="AC44" i="14" s="1"/>
  <c r="AC39" i="14"/>
  <c r="AA45" i="14"/>
  <c r="AC45" i="14" s="1"/>
  <c r="E17" i="10"/>
  <c r="G12" i="13"/>
  <c r="L12" i="13"/>
  <c r="J17" i="10"/>
  <c r="I15" i="10"/>
  <c r="K10" i="13"/>
  <c r="I12" i="13"/>
  <c r="I40" i="13" s="1"/>
  <c r="G17" i="10"/>
  <c r="AA39" i="13"/>
  <c r="J39" i="13"/>
  <c r="D18" i="10"/>
  <c r="D21" i="10" s="1"/>
  <c r="M12" i="13"/>
  <c r="M40" i="13" s="1"/>
  <c r="K17" i="10"/>
  <c r="F13" i="13"/>
  <c r="F16" i="13" s="1"/>
  <c r="F40" i="13"/>
  <c r="F41" i="13" s="1"/>
  <c r="G10" i="13"/>
  <c r="E15" i="10"/>
  <c r="BL28" i="5"/>
  <c r="BL29" i="5" s="1"/>
  <c r="G4" i="10" s="1"/>
  <c r="BB28" i="5"/>
  <c r="BB29" i="5" s="1"/>
  <c r="F4" i="10" s="1"/>
  <c r="BX28" i="5"/>
  <c r="BX29" i="5" s="1"/>
  <c r="BL30" i="5"/>
  <c r="BL31" i="5" s="1"/>
  <c r="BZ9" i="5"/>
  <c r="BZ3" i="5"/>
  <c r="BZ28" i="5" s="1"/>
  <c r="BZ29" i="5" s="1"/>
  <c r="L10" i="12" s="1"/>
  <c r="M12" i="12"/>
  <c r="M40" i="12" s="1"/>
  <c r="K6" i="10"/>
  <c r="I4" i="10"/>
  <c r="K10" i="12"/>
  <c r="BX30" i="5"/>
  <c r="BX31" i="5" s="1"/>
  <c r="F6" i="10"/>
  <c r="H12" i="12"/>
  <c r="H40" i="12" s="1"/>
  <c r="I12" i="12"/>
  <c r="I40" i="12" s="1"/>
  <c r="G6" i="10"/>
  <c r="D7" i="10"/>
  <c r="D10" i="10" s="1"/>
  <c r="BC30" i="5"/>
  <c r="BC31" i="5" s="1"/>
  <c r="BZ6" i="5"/>
  <c r="BB30" i="5"/>
  <c r="BB31" i="5" s="1"/>
  <c r="F13" i="12"/>
  <c r="F16" i="12" s="1"/>
  <c r="F38" i="12"/>
  <c r="F41" i="12" s="1"/>
  <c r="AA39" i="12"/>
  <c r="J39" i="12"/>
  <c r="G12" i="12"/>
  <c r="E6" i="10"/>
  <c r="G10" i="12"/>
  <c r="E4" i="10"/>
  <c r="L12" i="12"/>
  <c r="J6" i="10"/>
  <c r="CB6" i="5"/>
  <c r="CB30" i="5" s="1"/>
  <c r="CB31" i="5" s="1"/>
  <c r="BP30" i="5"/>
  <c r="BP31" i="5" s="1"/>
  <c r="BO30" i="5"/>
  <c r="BO31" i="5" s="1"/>
  <c r="BO28" i="5"/>
  <c r="BO29" i="5" s="1"/>
  <c r="CB2" i="5"/>
  <c r="CB28" i="5" s="1"/>
  <c r="CB29" i="5" s="1"/>
  <c r="BP28" i="5"/>
  <c r="BP29" i="5" s="1"/>
  <c r="AA11" i="9"/>
  <c r="AC11" i="9"/>
  <c r="AA10" i="9"/>
  <c r="E32" i="10" l="1"/>
  <c r="H31" i="10"/>
  <c r="H32" i="10" s="1"/>
  <c r="BA50" i="5"/>
  <c r="BA51" i="5" s="1"/>
  <c r="BA46" i="5"/>
  <c r="BA47" i="5" s="1"/>
  <c r="BA52" i="5"/>
  <c r="BA48" i="5"/>
  <c r="BA49" i="5" s="1"/>
  <c r="F39" i="10"/>
  <c r="H39" i="10" s="1"/>
  <c r="L50" i="10"/>
  <c r="I10" i="16"/>
  <c r="I38" i="16" s="1"/>
  <c r="AZ53" i="5"/>
  <c r="AA45" i="15"/>
  <c r="AC45" i="15" s="1"/>
  <c r="AC39" i="15"/>
  <c r="I51" i="14"/>
  <c r="I52" i="14" s="1"/>
  <c r="I56" i="14" s="1"/>
  <c r="I60" i="14" s="1"/>
  <c r="J48" i="10"/>
  <c r="L10" i="16"/>
  <c r="H51" i="14"/>
  <c r="H52" i="14" s="1"/>
  <c r="H56" i="14" s="1"/>
  <c r="H60" i="14" s="1"/>
  <c r="H44" i="14" s="1"/>
  <c r="F43" i="15"/>
  <c r="F44" i="15"/>
  <c r="F45" i="15"/>
  <c r="F43" i="16"/>
  <c r="F44" i="16"/>
  <c r="F45" i="16"/>
  <c r="H50" i="10"/>
  <c r="AX47" i="5"/>
  <c r="E51" i="10"/>
  <c r="AW51" i="5"/>
  <c r="AZ51" i="5"/>
  <c r="G40" i="16"/>
  <c r="J40" i="16" s="1"/>
  <c r="J12" i="16"/>
  <c r="G38" i="16"/>
  <c r="AA10" i="16"/>
  <c r="G13" i="16"/>
  <c r="G51" i="10"/>
  <c r="H10" i="16"/>
  <c r="F48" i="10"/>
  <c r="F51" i="10" s="1"/>
  <c r="AW53" i="5"/>
  <c r="AX51" i="5"/>
  <c r="AZ47" i="5"/>
  <c r="AX53" i="5"/>
  <c r="G38" i="15"/>
  <c r="AA10" i="15"/>
  <c r="G13" i="15"/>
  <c r="N12" i="16"/>
  <c r="L40" i="16"/>
  <c r="N40" i="16" s="1"/>
  <c r="E40" i="10"/>
  <c r="G72" i="14"/>
  <c r="I72" i="14" s="1"/>
  <c r="L40" i="15"/>
  <c r="N40" i="15" s="1"/>
  <c r="N12" i="15"/>
  <c r="L39" i="10"/>
  <c r="G40" i="10"/>
  <c r="I38" i="15"/>
  <c r="I13" i="15"/>
  <c r="H10" i="15"/>
  <c r="F37" i="10"/>
  <c r="H37" i="10" s="1"/>
  <c r="H40" i="15"/>
  <c r="J40" i="15" s="1"/>
  <c r="J12" i="15"/>
  <c r="M72" i="14"/>
  <c r="L10" i="15"/>
  <c r="J37" i="10"/>
  <c r="G43" i="14"/>
  <c r="J43" i="14" s="1"/>
  <c r="K43" i="14" s="1"/>
  <c r="G52" i="14"/>
  <c r="G56" i="14" s="1"/>
  <c r="G60" i="14" s="1"/>
  <c r="K45" i="14"/>
  <c r="O72" i="14"/>
  <c r="G73" i="14"/>
  <c r="I73" i="14" s="1"/>
  <c r="J73" i="14" s="1"/>
  <c r="G16" i="14"/>
  <c r="J15" i="14"/>
  <c r="J16" i="14" s="1"/>
  <c r="I15" i="14"/>
  <c r="I16" i="14" s="1"/>
  <c r="H68" i="14"/>
  <c r="J68" i="14" s="1"/>
  <c r="G40" i="13"/>
  <c r="G13" i="13"/>
  <c r="G38" i="13"/>
  <c r="AA10" i="13"/>
  <c r="F43" i="13"/>
  <c r="F44" i="13"/>
  <c r="F45" i="13"/>
  <c r="G15" i="10"/>
  <c r="G18" i="10" s="1"/>
  <c r="I10" i="13"/>
  <c r="I10" i="12"/>
  <c r="I38" i="12" s="1"/>
  <c r="H12" i="13"/>
  <c r="H40" i="13" s="1"/>
  <c r="F17" i="10"/>
  <c r="H17" i="10" s="1"/>
  <c r="L17" i="10"/>
  <c r="F15" i="10"/>
  <c r="H10" i="13"/>
  <c r="N12" i="13"/>
  <c r="L40" i="13"/>
  <c r="N40" i="13" s="1"/>
  <c r="E18" i="10"/>
  <c r="AC39" i="13"/>
  <c r="AA45" i="13"/>
  <c r="AC45" i="13" s="1"/>
  <c r="BZ30" i="5"/>
  <c r="BZ31" i="5" s="1"/>
  <c r="H10" i="12"/>
  <c r="H13" i="12" s="1"/>
  <c r="J4" i="10"/>
  <c r="J7" i="10" s="1"/>
  <c r="F7" i="10"/>
  <c r="L6" i="10"/>
  <c r="J12" i="12"/>
  <c r="G40" i="12"/>
  <c r="J40" i="12" s="1"/>
  <c r="AA45" i="12"/>
  <c r="AC45" i="12" s="1"/>
  <c r="AC39" i="12"/>
  <c r="E7" i="10"/>
  <c r="H6" i="10"/>
  <c r="F43" i="12"/>
  <c r="F45" i="12"/>
  <c r="F44" i="12"/>
  <c r="H4" i="10"/>
  <c r="G7" i="10"/>
  <c r="N12" i="12"/>
  <c r="L40" i="12"/>
  <c r="N40" i="12" s="1"/>
  <c r="G38" i="12"/>
  <c r="G13" i="12"/>
  <c r="AA10" i="12"/>
  <c r="L38" i="12"/>
  <c r="L13" i="12"/>
  <c r="AC10" i="9"/>
  <c r="BA53" i="5" l="1"/>
  <c r="J10" i="16"/>
  <c r="I13" i="16"/>
  <c r="H67" i="14"/>
  <c r="H45" i="14" s="1"/>
  <c r="J72" i="14"/>
  <c r="J75" i="14" s="1"/>
  <c r="J80" i="14" s="1"/>
  <c r="I67" i="14"/>
  <c r="I45" i="14" s="1"/>
  <c r="I44" i="14"/>
  <c r="H38" i="16"/>
  <c r="H41" i="16" s="1"/>
  <c r="H13" i="16"/>
  <c r="I41" i="16"/>
  <c r="J51" i="10"/>
  <c r="I43" i="14"/>
  <c r="G41" i="15"/>
  <c r="AA38" i="15"/>
  <c r="AA44" i="15" s="1"/>
  <c r="H43" i="14"/>
  <c r="AA38" i="16"/>
  <c r="G41" i="16"/>
  <c r="H48" i="10"/>
  <c r="L13" i="16"/>
  <c r="L38" i="16"/>
  <c r="L41" i="16" s="1"/>
  <c r="H51" i="10"/>
  <c r="F53" i="10" s="1"/>
  <c r="F54" i="10" s="1"/>
  <c r="F40" i="10"/>
  <c r="H38" i="15"/>
  <c r="H13" i="15"/>
  <c r="J13" i="15" s="1"/>
  <c r="J10" i="15"/>
  <c r="J40" i="10"/>
  <c r="L13" i="15"/>
  <c r="L38" i="15"/>
  <c r="I41" i="15"/>
  <c r="G67" i="14"/>
  <c r="G44" i="14"/>
  <c r="J44" i="14" s="1"/>
  <c r="K44" i="14" s="1"/>
  <c r="H15" i="10"/>
  <c r="L16" i="14"/>
  <c r="J32" i="10"/>
  <c r="J10" i="13"/>
  <c r="I13" i="12"/>
  <c r="J13" i="12" s="1"/>
  <c r="H15" i="12" s="1"/>
  <c r="H16" i="12" s="1"/>
  <c r="F18" i="10"/>
  <c r="H18" i="10" s="1"/>
  <c r="F20" i="10" s="1"/>
  <c r="F21" i="10" s="1"/>
  <c r="G41" i="13"/>
  <c r="AA38" i="13"/>
  <c r="I13" i="13"/>
  <c r="I38" i="13"/>
  <c r="H38" i="13"/>
  <c r="H41" i="13" s="1"/>
  <c r="H13" i="13"/>
  <c r="J12" i="13"/>
  <c r="L10" i="13"/>
  <c r="J15" i="10"/>
  <c r="J40" i="13"/>
  <c r="J10" i="12"/>
  <c r="H38" i="12"/>
  <c r="H41" i="12" s="1"/>
  <c r="H7" i="10"/>
  <c r="F9" i="10" s="1"/>
  <c r="F10" i="10" s="1"/>
  <c r="L41" i="12"/>
  <c r="AA38" i="12"/>
  <c r="G41" i="12"/>
  <c r="I41" i="12"/>
  <c r="E73" i="9"/>
  <c r="E72" i="9"/>
  <c r="J13" i="16" l="1"/>
  <c r="H15" i="16" s="1"/>
  <c r="H16" i="16" s="1"/>
  <c r="H75" i="14"/>
  <c r="H80" i="14" s="1"/>
  <c r="J38" i="16"/>
  <c r="J41" i="16" s="1"/>
  <c r="I51" i="16" s="1"/>
  <c r="I43" i="16" s="1"/>
  <c r="E53" i="10"/>
  <c r="G53" i="10" s="1"/>
  <c r="G54" i="10" s="1"/>
  <c r="I75" i="14"/>
  <c r="I80" i="14" s="1"/>
  <c r="AA44" i="16"/>
  <c r="L41" i="15"/>
  <c r="H15" i="15"/>
  <c r="H16" i="15" s="1"/>
  <c r="G15" i="15"/>
  <c r="J38" i="15"/>
  <c r="J41" i="15" s="1"/>
  <c r="H41" i="15"/>
  <c r="H40" i="10"/>
  <c r="E42" i="10" s="1"/>
  <c r="G45" i="14"/>
  <c r="J45" i="14" s="1"/>
  <c r="K46" i="14" s="1"/>
  <c r="G75" i="14"/>
  <c r="G80" i="14" s="1"/>
  <c r="E20" i="10"/>
  <c r="G20" i="10" s="1"/>
  <c r="G21" i="10" s="1"/>
  <c r="J13" i="13"/>
  <c r="G15" i="13" s="1"/>
  <c r="G16" i="13" s="1"/>
  <c r="J38" i="13"/>
  <c r="J41" i="13" s="1"/>
  <c r="H51" i="13" s="1"/>
  <c r="I41" i="13"/>
  <c r="L38" i="13"/>
  <c r="L13" i="13"/>
  <c r="J18" i="10"/>
  <c r="AA44" i="13"/>
  <c r="J38" i="12"/>
  <c r="J41" i="12" s="1"/>
  <c r="H51" i="12" s="1"/>
  <c r="H43" i="12" s="1"/>
  <c r="G15" i="12"/>
  <c r="I15" i="12" s="1"/>
  <c r="I16" i="12" s="1"/>
  <c r="E9" i="10"/>
  <c r="G9" i="10" s="1"/>
  <c r="G10" i="10" s="1"/>
  <c r="AA44" i="12"/>
  <c r="J79" i="9"/>
  <c r="J78" i="9"/>
  <c r="J77" i="9"/>
  <c r="G15" i="16" l="1"/>
  <c r="I15" i="16" s="1"/>
  <c r="I16" i="16" s="1"/>
  <c r="I52" i="16"/>
  <c r="I56" i="16" s="1"/>
  <c r="I60" i="16" s="1"/>
  <c r="I67" i="16" s="1"/>
  <c r="H51" i="16"/>
  <c r="H43" i="16" s="1"/>
  <c r="G51" i="16"/>
  <c r="E54" i="10"/>
  <c r="H51" i="15"/>
  <c r="H43" i="15" s="1"/>
  <c r="F42" i="10"/>
  <c r="F43" i="10" s="1"/>
  <c r="H53" i="10"/>
  <c r="H54" i="10" s="1"/>
  <c r="E43" i="10"/>
  <c r="G42" i="10"/>
  <c r="G43" i="10" s="1"/>
  <c r="I51" i="15"/>
  <c r="G51" i="15"/>
  <c r="G16" i="15"/>
  <c r="I15" i="15"/>
  <c r="I16" i="15" s="1"/>
  <c r="I51" i="13"/>
  <c r="I52" i="13" s="1"/>
  <c r="I56" i="13" s="1"/>
  <c r="I60" i="13" s="1"/>
  <c r="E21" i="10"/>
  <c r="G51" i="13"/>
  <c r="G43" i="13" s="1"/>
  <c r="H15" i="13"/>
  <c r="H16" i="13" s="1"/>
  <c r="I15" i="13"/>
  <c r="I16" i="13" s="1"/>
  <c r="H20" i="10"/>
  <c r="H21" i="10" s="1"/>
  <c r="H52" i="13"/>
  <c r="H56" i="13" s="1"/>
  <c r="H60" i="13" s="1"/>
  <c r="H43" i="13"/>
  <c r="L41" i="13"/>
  <c r="I51" i="12"/>
  <c r="I43" i="12" s="1"/>
  <c r="G51" i="12"/>
  <c r="G43" i="12" s="1"/>
  <c r="H52" i="12"/>
  <c r="H56" i="12" s="1"/>
  <c r="H60" i="12" s="1"/>
  <c r="H44" i="12" s="1"/>
  <c r="G16" i="12"/>
  <c r="E10" i="10"/>
  <c r="J15" i="12"/>
  <c r="J16" i="12" s="1"/>
  <c r="H9" i="10"/>
  <c r="H10" i="10" s="1"/>
  <c r="H63" i="9"/>
  <c r="G16" i="16" l="1"/>
  <c r="J51" i="16"/>
  <c r="J52" i="16" s="1"/>
  <c r="J56" i="16" s="1"/>
  <c r="J60" i="16" s="1"/>
  <c r="J67" i="16" s="1"/>
  <c r="M72" i="16" s="1"/>
  <c r="H52" i="15"/>
  <c r="H56" i="15" s="1"/>
  <c r="H60" i="15" s="1"/>
  <c r="H44" i="15" s="1"/>
  <c r="H52" i="16"/>
  <c r="H56" i="16" s="1"/>
  <c r="H60" i="16" s="1"/>
  <c r="H67" i="16" s="1"/>
  <c r="I44" i="16"/>
  <c r="J15" i="16"/>
  <c r="J16" i="16" s="1"/>
  <c r="L16" i="16" s="1"/>
  <c r="G43" i="16"/>
  <c r="J43" i="16" s="1"/>
  <c r="G52" i="16"/>
  <c r="J15" i="15"/>
  <c r="J16" i="15" s="1"/>
  <c r="J43" i="10" s="1"/>
  <c r="I45" i="16"/>
  <c r="G52" i="15"/>
  <c r="G56" i="15" s="1"/>
  <c r="G60" i="15" s="1"/>
  <c r="J51" i="15"/>
  <c r="J52" i="15" s="1"/>
  <c r="J56" i="15" s="1"/>
  <c r="J60" i="15" s="1"/>
  <c r="J67" i="15" s="1"/>
  <c r="G43" i="15"/>
  <c r="I52" i="15"/>
  <c r="I56" i="15" s="1"/>
  <c r="I60" i="15" s="1"/>
  <c r="I43" i="15"/>
  <c r="H42" i="10"/>
  <c r="H43" i="10" s="1"/>
  <c r="I43" i="13"/>
  <c r="J43" i="13" s="1"/>
  <c r="J51" i="13"/>
  <c r="J52" i="13" s="1"/>
  <c r="J56" i="13" s="1"/>
  <c r="J60" i="13" s="1"/>
  <c r="J67" i="13" s="1"/>
  <c r="H68" i="13" s="1"/>
  <c r="J68" i="13" s="1"/>
  <c r="G52" i="13"/>
  <c r="G56" i="13" s="1"/>
  <c r="G60" i="13" s="1"/>
  <c r="G67" i="13" s="1"/>
  <c r="G45" i="13" s="1"/>
  <c r="J15" i="13"/>
  <c r="J16" i="13" s="1"/>
  <c r="L16" i="13" s="1"/>
  <c r="H44" i="13"/>
  <c r="H67" i="13"/>
  <c r="I44" i="13"/>
  <c r="I67" i="13"/>
  <c r="H67" i="12"/>
  <c r="H45" i="12" s="1"/>
  <c r="J51" i="12"/>
  <c r="J52" i="12" s="1"/>
  <c r="J56" i="12" s="1"/>
  <c r="J60" i="12" s="1"/>
  <c r="J67" i="12" s="1"/>
  <c r="I52" i="12"/>
  <c r="I56" i="12" s="1"/>
  <c r="I60" i="12" s="1"/>
  <c r="I44" i="12" s="1"/>
  <c r="G52" i="12"/>
  <c r="G56" i="12" s="1"/>
  <c r="G60" i="12" s="1"/>
  <c r="G44" i="12" s="1"/>
  <c r="J43" i="12"/>
  <c r="L16" i="12"/>
  <c r="J10" i="10"/>
  <c r="K8" i="9"/>
  <c r="K43" i="16" l="1"/>
  <c r="G72" i="16"/>
  <c r="I72" i="16" s="1"/>
  <c r="J72" i="16" s="1"/>
  <c r="H68" i="16"/>
  <c r="J68" i="16" s="1"/>
  <c r="H67" i="15"/>
  <c r="H45" i="15" s="1"/>
  <c r="G73" i="16"/>
  <c r="I73" i="16" s="1"/>
  <c r="J73" i="16" s="1"/>
  <c r="L16" i="15"/>
  <c r="J54" i="10"/>
  <c r="H44" i="16"/>
  <c r="G56" i="16"/>
  <c r="G60" i="16" s="1"/>
  <c r="O72" i="16"/>
  <c r="J43" i="15"/>
  <c r="K43" i="15" s="1"/>
  <c r="H45" i="16"/>
  <c r="I67" i="15"/>
  <c r="I44" i="15"/>
  <c r="M72" i="15"/>
  <c r="G73" i="15"/>
  <c r="I73" i="15" s="1"/>
  <c r="J73" i="15" s="1"/>
  <c r="G72" i="15"/>
  <c r="I72" i="15" s="1"/>
  <c r="J72" i="15" s="1"/>
  <c r="H68" i="15"/>
  <c r="J68" i="15" s="1"/>
  <c r="O72" i="15"/>
  <c r="G67" i="15"/>
  <c r="G44" i="15"/>
  <c r="K43" i="12"/>
  <c r="K43" i="13"/>
  <c r="G44" i="13"/>
  <c r="J44" i="13" s="1"/>
  <c r="K44" i="13" s="1"/>
  <c r="G72" i="13"/>
  <c r="I72" i="13" s="1"/>
  <c r="J72" i="13" s="1"/>
  <c r="G73" i="13"/>
  <c r="J21" i="10"/>
  <c r="M72" i="13"/>
  <c r="O72" i="13"/>
  <c r="O72" i="12"/>
  <c r="I45" i="13"/>
  <c r="H45" i="13"/>
  <c r="H75" i="13"/>
  <c r="H80" i="13" s="1"/>
  <c r="G67" i="12"/>
  <c r="G45" i="12" s="1"/>
  <c r="I67" i="12"/>
  <c r="I45" i="12" s="1"/>
  <c r="G73" i="12"/>
  <c r="I73" i="12" s="1"/>
  <c r="J73" i="12" s="1"/>
  <c r="H68" i="12"/>
  <c r="J68" i="12" s="1"/>
  <c r="M72" i="12"/>
  <c r="G72" i="12"/>
  <c r="I72" i="12" s="1"/>
  <c r="J72" i="12" s="1"/>
  <c r="J44" i="12"/>
  <c r="K44" i="12" s="1"/>
  <c r="I35" i="9"/>
  <c r="G63" i="9"/>
  <c r="I63" i="9" s="1"/>
  <c r="H75" i="16" l="1"/>
  <c r="H80" i="16" s="1"/>
  <c r="H75" i="15"/>
  <c r="H80" i="15" s="1"/>
  <c r="G44" i="16"/>
  <c r="J44" i="16" s="1"/>
  <c r="K44" i="16" s="1"/>
  <c r="G67" i="16"/>
  <c r="J44" i="15"/>
  <c r="K44" i="15" s="1"/>
  <c r="G75" i="15"/>
  <c r="G80" i="15" s="1"/>
  <c r="G45" i="15"/>
  <c r="I45" i="15"/>
  <c r="G75" i="13"/>
  <c r="G80" i="13" s="1"/>
  <c r="I73" i="13"/>
  <c r="J73" i="13" s="1"/>
  <c r="J45" i="13"/>
  <c r="K45" i="13" s="1"/>
  <c r="G75" i="12"/>
  <c r="G80" i="12" s="1"/>
  <c r="H75" i="12"/>
  <c r="H80" i="12" s="1"/>
  <c r="J45" i="12"/>
  <c r="K50" i="9"/>
  <c r="G45" i="16" l="1"/>
  <c r="J45" i="16" s="1"/>
  <c r="G75" i="16"/>
  <c r="G80" i="16" s="1"/>
  <c r="J45" i="15"/>
  <c r="K45" i="15" s="1"/>
  <c r="K46" i="13"/>
  <c r="K45" i="12"/>
  <c r="K46" i="12"/>
  <c r="G8" i="9"/>
  <c r="H8" i="9"/>
  <c r="M20" i="9"/>
  <c r="K45" i="16" l="1"/>
  <c r="K46" i="16"/>
  <c r="K46" i="15"/>
  <c r="I71" i="9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8" i="5" l="1"/>
  <c r="CJ8" i="5" s="1"/>
  <c r="CH24" i="5"/>
  <c r="CJ24" i="5" s="1"/>
  <c r="CH9" i="5"/>
  <c r="CJ9" i="5" s="1"/>
  <c r="CH11" i="5"/>
  <c r="CJ11" i="5" s="1"/>
  <c r="CH10" i="5"/>
  <c r="CJ10" i="5" s="1"/>
  <c r="CH3" i="5"/>
  <c r="CH12" i="5"/>
  <c r="CJ12" i="5" s="1"/>
  <c r="CH5" i="5"/>
  <c r="CJ5" i="5" s="1"/>
  <c r="CH6" i="5"/>
  <c r="CH14" i="5"/>
  <c r="CH22" i="5"/>
  <c r="CH7" i="5"/>
  <c r="CJ7" i="5" s="1"/>
  <c r="CH23" i="5"/>
  <c r="CJ23" i="5" s="1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22" i="5" l="1"/>
  <c r="CJ37" i="5" s="1"/>
  <c r="CJ38" i="5" s="1"/>
  <c r="CH37" i="5"/>
  <c r="CH38" i="5" s="1"/>
  <c r="CJ14" i="5"/>
  <c r="CJ35" i="5" s="1"/>
  <c r="CJ36" i="5" s="1"/>
  <c r="CH35" i="5"/>
  <c r="CH36" i="5" s="1"/>
  <c r="CJ6" i="5"/>
  <c r="CJ30" i="5" s="1"/>
  <c r="CJ31" i="5" s="1"/>
  <c r="CH30" i="5"/>
  <c r="CH31" i="5" s="1"/>
  <c r="CJ3" i="5"/>
  <c r="CJ28" i="5" s="1"/>
  <c r="CJ29" i="5" s="1"/>
  <c r="CH28" i="5"/>
  <c r="CH29" i="5" s="1"/>
  <c r="F80" i="9"/>
  <c r="F45" i="9"/>
  <c r="N22" i="9"/>
  <c r="N21" i="9"/>
  <c r="H51" i="9"/>
  <c r="I51" i="9"/>
  <c r="G51" i="9"/>
  <c r="G43" i="9" s="1"/>
  <c r="M10" i="16" l="1"/>
  <c r="K48" i="10"/>
  <c r="K37" i="10"/>
  <c r="M10" i="15"/>
  <c r="M10" i="13"/>
  <c r="K15" i="10"/>
  <c r="M10" i="12"/>
  <c r="K4" i="10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K51" i="10" l="1"/>
  <c r="L48" i="10"/>
  <c r="L51" i="10" s="1"/>
  <c r="M13" i="16"/>
  <c r="M38" i="16"/>
  <c r="AB10" i="16"/>
  <c r="AC10" i="16" s="1"/>
  <c r="N10" i="16"/>
  <c r="N13" i="16" s="1"/>
  <c r="M13" i="15"/>
  <c r="M38" i="15"/>
  <c r="AB10" i="15"/>
  <c r="AC10" i="15" s="1"/>
  <c r="N10" i="15"/>
  <c r="N13" i="15" s="1"/>
  <c r="K40" i="10"/>
  <c r="L37" i="10"/>
  <c r="L40" i="10" s="1"/>
  <c r="M38" i="13"/>
  <c r="M13" i="13"/>
  <c r="AB10" i="13"/>
  <c r="AC10" i="13" s="1"/>
  <c r="N10" i="13"/>
  <c r="N13" i="13" s="1"/>
  <c r="K18" i="10"/>
  <c r="L15" i="10"/>
  <c r="L18" i="10" s="1"/>
  <c r="K7" i="10"/>
  <c r="L4" i="10"/>
  <c r="L7" i="10" s="1"/>
  <c r="M38" i="12"/>
  <c r="M13" i="12"/>
  <c r="N10" i="12"/>
  <c r="N13" i="12" s="1"/>
  <c r="AB10" i="12"/>
  <c r="AC10" i="12" s="1"/>
  <c r="H44" i="9"/>
  <c r="N41" i="9"/>
  <c r="N38" i="9"/>
  <c r="J43" i="9"/>
  <c r="K43" i="9" s="1"/>
  <c r="I44" i="9"/>
  <c r="I67" i="9"/>
  <c r="N38" i="16" l="1"/>
  <c r="M41" i="16"/>
  <c r="AB38" i="16"/>
  <c r="M41" i="15"/>
  <c r="AB38" i="15"/>
  <c r="N38" i="15"/>
  <c r="M41" i="13"/>
  <c r="AB38" i="13"/>
  <c r="N38" i="13"/>
  <c r="M41" i="12"/>
  <c r="AB38" i="12"/>
  <c r="N38" i="12"/>
  <c r="I45" i="9"/>
  <c r="J44" i="9"/>
  <c r="K44" i="9" s="1"/>
  <c r="N41" i="16" l="1"/>
  <c r="I69" i="16"/>
  <c r="AB44" i="16"/>
  <c r="AC44" i="16" s="1"/>
  <c r="AC38" i="16"/>
  <c r="AB44" i="15"/>
  <c r="AC44" i="15" s="1"/>
  <c r="AC38" i="15"/>
  <c r="N41" i="15"/>
  <c r="I69" i="15"/>
  <c r="N41" i="13"/>
  <c r="I69" i="13"/>
  <c r="AB44" i="13"/>
  <c r="AC44" i="13" s="1"/>
  <c r="AC38" i="13"/>
  <c r="AB44" i="12"/>
  <c r="AC44" i="12" s="1"/>
  <c r="AC38" i="12"/>
  <c r="N41" i="12"/>
  <c r="I69" i="12"/>
  <c r="J67" i="9"/>
  <c r="J69" i="16" l="1"/>
  <c r="J75" i="16" s="1"/>
  <c r="J80" i="16" s="1"/>
  <c r="I75" i="16"/>
  <c r="I80" i="16" s="1"/>
  <c r="J69" i="15"/>
  <c r="J75" i="15" s="1"/>
  <c r="J80" i="15" s="1"/>
  <c r="I75" i="15"/>
  <c r="I80" i="15" s="1"/>
  <c r="J69" i="13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D093B130-8F62-4249-B77A-CEB8131A5942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C0179A25-1FC1-4CAB-BA20-6E23D6B64238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8782CE3A-A6DD-4A60-8501-7C5DA2B5202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817DAAC1-2C57-4E9B-95CF-28F03932531D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DE9C72A-55B9-4FD8-B471-96C35D1A8516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815D8523-0436-4D16-8D42-92B94C57DA3C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DC14D05B-4F06-4426-9697-CEF3EC625FE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4C87AB0-5839-4575-8D95-B78B0A98E24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17D447D-E865-4DE6-8DAA-B9F0C45AC61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CF448CF1-CA8E-4881-864E-40DF1F4B5E7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E291D2DE-9821-46ED-8900-D2D18B935A77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C8F37C70-F8D5-4DD7-8D08-E13460794D6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C0DFEA6B-6DDE-4CFC-ABDD-7C5CDEDC1BD5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35C52D6E-4FEC-4A2B-A58F-844DE5B1EC78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A35B15FC-C623-4280-B677-5F3D4FF469EC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F232E3DE-0405-4438-9905-A7AD53AD832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3525CE70-D5EB-4A1F-BAF9-88169983B3C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1CCB6A2E-A129-488E-8531-E75DD744901D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81CBE426-5693-43EA-B8A2-A5D54304D701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FEA79C9-0A75-46C7-80E9-7DFD32BD5C61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75C4B2AE-62A4-4FA9-B5DE-4BE9F88112A3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540FBAE2-553C-4387-AA7B-FDF43D2EB053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2DB2677A-ADA8-4116-8590-33041B94DAB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68FB0204-40CB-48A2-81BB-D4B06D0B6AEB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39188A4-27B8-4E5D-B5FF-3F10B8A0A4C8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7537C3B-639B-4A88-A85D-888FF812BF1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E7906F2-6423-421F-B2B6-6533F905E21A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54268506-BAB3-43B5-B51D-7D74CBC3645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452E46BB-09AF-485E-BDD2-0B1FF341DFB8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8970D8A-9BDD-494A-9810-7457D84F901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EC80D47E-76CC-40D5-A33E-A22C22A25DA3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E7DE14B-282C-4CEA-8F3A-FDEF514885B4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890FF3B7-464F-48DF-A87B-30896652B759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454404C8-8390-425C-AABF-618296C6D6FD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3237FBC2-58AE-45B7-9028-8551ECA056A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6474C35B-766A-4583-9054-EFF626417A0D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51C6E6B3-7A17-44D3-9E12-E4723C1ED968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A84EB628-66E5-4915-814B-5C30A254F2E6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52246FF3-246A-4FBD-8E42-D6834C8F8CD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B907598C-C613-4B93-9CC7-FDD03C9D4894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50F81BEE-1DD1-4972-B3AD-C31D915A2BCA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603342B7-962E-43CC-A052-86AD99994548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875A6B60-31BB-4998-AF76-CEFC48646A4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D8D6E50A-F6E7-41B1-AB6E-5CEA0A2F89D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4D77ADAA-7F91-4672-A496-D3890A318A0E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F8AD55AC-D06D-4A8B-9BD8-8A0B3E32B39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C07F1436-BF72-467F-A2D2-0C26C89A061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18B54099-9262-49CF-B099-D17B45DBB54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F610B274-93F9-45BA-B69E-078890C71B6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46" authorId="0" shapeId="0" xr:uid="{6FE27280-6461-459A-BE90-FC511D44312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<sst xmlns="http://schemas.openxmlformats.org/spreadsheetml/2006/main" count="1399" uniqueCount="336">
  <si>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</si>
  <si>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</si>
  <si>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</si>
  <si>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</si>
  <si>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</si>
  <si>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</si>
  <si>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</si>
  <si>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</si>
  <si>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</si>
  <si>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</si>
  <si>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</si>
  <si>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</si>
  <si>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</si>
  <si>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</si>
  <si>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</si>
  <si>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</si>
  <si>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</si>
  <si>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</si>
  <si>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</si>
  <si>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</si>
  <si>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</si>
  <si>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</si>
  <si>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</si>
  <si>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</si>
  <si>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</si>
  <si>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</si>
  <si>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</si>
  <si>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</si>
  <si>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</si>
  <si>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</si>
  <si>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</si>
  <si>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</si>
  <si>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</si>
  <si>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</si>
  <si>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</si>
  <si>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</si>
  <si>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</si>
  <si>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</si>
  <si>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</si>
  <si>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</si>
  <si>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</si>
  <si>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</si>
  <si>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</si>
  <si>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</si>
  <si>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</si>
  <si>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</si>
  <si>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</si>
  <si>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</si>
  <si>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</si>
  <si>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</si>
  <si>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</si>
  <si>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</si>
  <si>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</si>
  <si>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</si>
  <si>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</si>
  <si>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</si>
  <si>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</si>
  <si>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</si>
  <si>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</si>
  <si>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</si>
  <si>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</si>
  <si>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</si>
  <si>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</si>
  <si>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</si>
  <si>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</si>
  <si>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</si>
  <si>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</si>
  <si>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</si>
  <si>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</si>
  <si>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</si>
  <si>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</si>
  <si>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</si>
  <si>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</si>
  <si>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</si>
  <si>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</si>
  <si>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</si>
  <si>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</si>
  <si>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</si>
  <si>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</si>
  <si>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</si>
  <si>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</si>
  <si>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</si>
  <si>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</si>
  <si>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</si>
  <si>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</si>
  <si>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</si>
  <si>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</si>
  <si>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</si>
  <si>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</si>
  <si>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</si>
  <si>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</si>
  <si>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</si>
  <si>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</si>
  <si>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</si>
  <si>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</si>
  <si>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</si>
  <si>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</si>
  <si>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</si>
  <si>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</si>
  <si>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</si>
  <si>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</si>
  <si>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</si>
  <si>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</si>
  <si>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</si>
  <si>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</si>
  <si>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</si>
  <si>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</si>
  <si>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</si>
  <si>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</si>
  <si>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</si>
  <si>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</si>
  <si>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</si>
  <si>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</si>
  <si>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</si>
  <si>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</si>
  <si>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</si>
  <si>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</si>
  <si>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</si>
  <si>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</si>
  <si>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</si>
  <si>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</si>
  <si>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</si>
  <si>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</si>
  <si>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</si>
  <si>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</si>
  <si>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</si>
  <si>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</si>
  <si>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</si>
  <si>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</si>
  <si>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</si>
  <si>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</si>
  <si>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</si>
  <si>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</si>
  <si>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</si>
  <si>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</si>
  <si>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</si>
  <si>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</si>
  <si>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</si>
  <si>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</si>
  <si>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</si>
  <si>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</si>
  <si>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</si>
  <si>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</si>
  <si>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</si>
  <si>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</si>
  <si>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</si>
  <si>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</si>
  <si>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</si>
  <si>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</si>
  <si>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</si>
  <si>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</si>
  <si>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</si>
  <si>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</si>
  <si>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</si>
  <si>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</si>
  <si>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</si>
  <si>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</si>
  <si>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</si>
  <si>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</si>
  <si>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</si>
  <si>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</si>
  <si>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</si>
  <si>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199</t>
  </si>
  <si>
    <t>0125</t>
  </si>
  <si>
    <t xml:space="preserve">POLICY ANALYST      </t>
  </si>
  <si>
    <t>00</t>
  </si>
  <si>
    <t>GVEA</t>
  </si>
  <si>
    <t>002</t>
  </si>
  <si>
    <t>02334</t>
  </si>
  <si>
    <t>L</t>
  </si>
  <si>
    <t>F</t>
  </si>
  <si>
    <t>NR</t>
  </si>
  <si>
    <t>HER, EMILY C.</t>
  </si>
  <si>
    <t>HER</t>
  </si>
  <si>
    <t>EMILY</t>
  </si>
  <si>
    <t>CHOUA</t>
  </si>
  <si>
    <t>00000</t>
  </si>
  <si>
    <t>H</t>
  </si>
  <si>
    <t>FS</t>
  </si>
  <si>
    <t>E</t>
  </si>
  <si>
    <t>N</t>
  </si>
  <si>
    <t>Y</t>
  </si>
  <si>
    <t xml:space="preserve">    </t>
  </si>
  <si>
    <t>0124</t>
  </si>
  <si>
    <t>003</t>
  </si>
  <si>
    <t>OLSON, ERIK S.</t>
  </si>
  <si>
    <t>OLSON</t>
  </si>
  <si>
    <t>ERIK</t>
  </si>
  <si>
    <t>S</t>
  </si>
  <si>
    <t>0114</t>
  </si>
  <si>
    <t>MENSINGER, MARDE J.</t>
  </si>
  <si>
    <t>MENSINGER</t>
  </si>
  <si>
    <t>MARDE</t>
  </si>
  <si>
    <t>J</t>
  </si>
  <si>
    <t>0110</t>
  </si>
  <si>
    <t xml:space="preserve">ADMINISTRATOR       </t>
  </si>
  <si>
    <t>29000</t>
  </si>
  <si>
    <t>CHATBURN, JOHN W.</t>
  </si>
  <si>
    <t>CHATBURN</t>
  </si>
  <si>
    <t>JOHN</t>
  </si>
  <si>
    <t>WILLIAM</t>
  </si>
  <si>
    <t>0127</t>
  </si>
  <si>
    <t>ADMINISTRATOR, DIV-D</t>
  </si>
  <si>
    <t>0348</t>
  </si>
  <si>
    <t>004</t>
  </si>
  <si>
    <t>09010</t>
  </si>
  <si>
    <t>P</t>
  </si>
  <si>
    <t>PEGAN, KATHERINE M.</t>
  </si>
  <si>
    <t>PEGAN</t>
  </si>
  <si>
    <t>KATHERINE</t>
  </si>
  <si>
    <t>M</t>
  </si>
  <si>
    <t>04550</t>
  </si>
  <si>
    <t>0120</t>
  </si>
  <si>
    <t>WARREN, MARISSA T.</t>
  </si>
  <si>
    <t>WARREN</t>
  </si>
  <si>
    <t>MARISSA</t>
  </si>
  <si>
    <t>T</t>
  </si>
  <si>
    <t>0119</t>
  </si>
  <si>
    <t xml:space="preserve">ATTORNEY 2          </t>
  </si>
  <si>
    <t>05912</t>
  </si>
  <si>
    <t>LYNCH, GEORGE R.</t>
  </si>
  <si>
    <t>LYNCH</t>
  </si>
  <si>
    <t>GEORGE</t>
  </si>
  <si>
    <t>R</t>
  </si>
  <si>
    <t>0113</t>
  </si>
  <si>
    <t>SPRAGUE, KIERAN S.</t>
  </si>
  <si>
    <t>SPRAGUE</t>
  </si>
  <si>
    <t>KIERAN</t>
  </si>
  <si>
    <t>SEVERN</t>
  </si>
  <si>
    <t>0494</t>
  </si>
  <si>
    <t>03</t>
  </si>
  <si>
    <t>0199</t>
  </si>
  <si>
    <t>GVEB</t>
  </si>
  <si>
    <t>9001</t>
  </si>
  <si>
    <t>ENERGY POLICY ANALYS</t>
  </si>
  <si>
    <t>001</t>
  </si>
  <si>
    <t>03156</t>
  </si>
  <si>
    <t>V</t>
  </si>
  <si>
    <t>NG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</si>
  <si>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</si>
  <si>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</si>
  <si>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</si>
  <si>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</si>
  <si>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</si>
  <si>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</si>
  <si>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</si>
  <si>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</si>
  <si>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</si>
  <si>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</si>
  <si>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</si>
  <si>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</si>
  <si>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</si>
  <si>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</si>
  <si>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</si>
  <si>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</si>
  <si>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</si>
  <si>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</si>
  <si>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</si>
  <si>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</si>
  <si>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</si>
  <si>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</si>
  <si>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</si>
  <si>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</si>
  <si>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</si>
  <si>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</si>
  <si>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</si>
  <si>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</si>
  <si>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</si>
  <si>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</si>
  <si>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</si>
  <si>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</si>
  <si>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</si>
  <si>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</si>
  <si>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</si>
  <si>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</si>
  <si>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</si>
  <si>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</si>
  <si>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</si>
  <si>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</si>
  <si>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</si>
  <si>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</si>
  <si>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</si>
  <si>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</si>
  <si>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</si>
  <si>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</si>
  <si>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</si>
  <si>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</si>
  <si>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GVEA 0125-00</t>
  </si>
  <si>
    <t>GVEA 0125</t>
  </si>
  <si>
    <t>Office of the Governor</t>
  </si>
  <si>
    <t>Office of Energy and Mineral Resources</t>
  </si>
  <si>
    <t>Indirect Cost Recovery</t>
  </si>
  <si>
    <t>0125-00</t>
  </si>
  <si>
    <t>12500</t>
  </si>
  <si>
    <t>Office of Energy and Mineral Resources, Indirect Cost Recovery   GVEA-0125-00</t>
  </si>
  <si>
    <t>GVEA 0348-00</t>
  </si>
  <si>
    <t>GVEA 0348</t>
  </si>
  <si>
    <t>Federal Grant</t>
  </si>
  <si>
    <t>0348-00</t>
  </si>
  <si>
    <t>34800</t>
  </si>
  <si>
    <t>Office of Energy and Mineral Resources, Federal Grant   GVEA-0348-00</t>
  </si>
  <si>
    <t>GVEA 0349-00</t>
  </si>
  <si>
    <t>GVEA 0349</t>
  </si>
  <si>
    <t>Miscellaneous Revenue</t>
  </si>
  <si>
    <t>0349-00</t>
  </si>
  <si>
    <t>34900</t>
  </si>
  <si>
    <t>Office of Energy and Mineral Resources, Miscellaneous Revenue   GVEA-0349-00</t>
  </si>
  <si>
    <t>GVEA 0494-00</t>
  </si>
  <si>
    <t>GVEA 0494-03</t>
  </si>
  <si>
    <t>GVEA 0494</t>
  </si>
  <si>
    <t>Petroleum Price Violation</t>
  </si>
  <si>
    <t>0494-00</t>
  </si>
  <si>
    <t>49400</t>
  </si>
  <si>
    <t>Office of Energy and Mineral Resources, Petroleum Price Violation   GVEA-0494-00</t>
  </si>
  <si>
    <t>GVEB 0199-00</t>
  </si>
  <si>
    <t>GVEB 0199</t>
  </si>
  <si>
    <t>Renewable Energy Resources</t>
  </si>
  <si>
    <t>0199-00</t>
  </si>
  <si>
    <t>19900</t>
  </si>
  <si>
    <t>Office of Energy and Mineral Resources, Renewable Energy Resources   GVEB-0199-00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</si>
  <si>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</si>
  <si>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</si>
  <si>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</si>
  <si>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</si>
  <si>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</si>
  <si>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</si>
  <si>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</si>
  <si>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Fund-0125</t>
  </si>
  <si>
    <t>Fund-0199</t>
  </si>
  <si>
    <t>Fund-0348</t>
  </si>
  <si>
    <t>0494-03</t>
  </si>
  <si>
    <t>Fund-0494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</si>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</sst>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5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0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5" fontId="45" fillId="0" borderId="18" xfId="0" applyNumberFormat="1" applyFont="1" applyBorder="1" applyAlignment="1">
      <alignment vertical="top"/>
    </xf>
    <xf numFmtId="49" fontId="45" fillId="0" borderId="18" xfId="0" applyNumberFormat="1" applyFont="1" applyBorder="1" applyAlignment="1">
      <alignment vertical="top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1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7" fillId="0" borderId="0" xfId="7" applyFont="1" applyBorder="1" applyAlignment="1" applyProtection="1">
      <alignment horizontal="center" vertical="center" wrapText="1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6"/>
      <tableStyleElement type="headerRow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A3A57-33BA-40B8-A8BA-5180F01102DF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 t="s">
        <v>289</v>
      </c>
      <c r="E1" s="15"/>
      <c r="F1" s="15"/>
      <c r="G1" s="15"/>
      <c r="H1" s="15"/>
      <c r="I1" s="15"/>
      <c r="J1" s="15"/>
      <c r="K1" s="15"/>
      <c r="L1" s="16" t="s">
        <v>14</v>
      </c>
      <c r="M1" s="400">
        <v>199</v>
      </c>
      <c r="N1" s="401"/>
      <c r="AA1" s="364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 t="s">
        <v>290</v>
      </c>
      <c r="E2" s="21"/>
      <c r="F2" s="21"/>
      <c r="G2" s="21"/>
      <c r="H2" s="21"/>
      <c r="I2" s="21"/>
      <c r="J2" s="20"/>
      <c r="K2" s="20"/>
      <c r="L2" s="22" t="s">
        <v>113</v>
      </c>
      <c r="M2" s="402" t="s">
        <v>293</v>
      </c>
      <c r="N2" s="403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 t="s">
        <v>290</v>
      </c>
      <c r="E3" s="24"/>
      <c r="F3" s="25"/>
      <c r="G3" s="25"/>
      <c r="H3" s="25"/>
      <c r="I3" s="26"/>
      <c r="J3" s="20"/>
      <c r="K3" s="20"/>
      <c r="L3" s="22" t="s">
        <v>114</v>
      </c>
      <c r="M3" s="400" t="s">
        <v>166</v>
      </c>
      <c r="N3" s="401"/>
      <c r="AA3" s="364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0">
        <v>2023</v>
      </c>
      <c r="N4" s="401"/>
      <c r="AA4" s="364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2" t="s">
        <v>291</v>
      </c>
      <c r="J5" s="404"/>
      <c r="K5" s="404"/>
      <c r="L5" s="403"/>
      <c r="M5" s="352" t="s">
        <v>115</v>
      </c>
      <c r="N5" s="32" t="s">
        <v>292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370" t="s">
        <v>21</v>
      </c>
      <c r="C8" s="387" t="s">
        <v>22</v>
      </c>
      <c r="D8" s="388"/>
      <c r="E8" s="370" t="s">
        <v>23</v>
      </c>
      <c r="F8" s="49" t="s">
        <v>24</v>
      </c>
      <c r="G8" s="50" t="str">
        <f>"FY "&amp;'GVEA|0125-00'!FiscalYear-1&amp;" SALARY"</f>
        <v>FY 2022 SALARY</v>
      </c>
      <c r="H8" s="50" t="str">
        <f>"FY "&amp;'GVEA|0125-00'!FiscalYear-1&amp;" HEALTH BENEFITS"</f>
        <v>FY 2022 HEALTH BENEFITS</v>
      </c>
      <c r="I8" s="50" t="str">
        <f>"FY "&amp;'GVEA|0125-00'!FiscalYear-1&amp;" VAR BENEFITS"</f>
        <v>FY 2022 VAR BENEFITS</v>
      </c>
      <c r="J8" s="50" t="str">
        <f>"FY "&amp;'GVEA|0125-00'!FiscalYear-1&amp;" TOTAL"</f>
        <v>FY 2022 TOTAL</v>
      </c>
      <c r="K8" s="50" t="str">
        <f>"FY "&amp;'GVEA|0125-00'!FiscalYear&amp;" SALARY CHANGE"</f>
        <v>FY 2023 SALARY CHANGE</v>
      </c>
      <c r="L8" s="50" t="str">
        <f>"FY "&amp;'GVEA|0125-00'!FiscalYear&amp;" CHG HEALTH BENEFITS"</f>
        <v>FY 2023 CHG HEALTH BENEFITS</v>
      </c>
      <c r="M8" s="50" t="str">
        <f>"FY "&amp;'GVEA|0125-00'!FiscalYear&amp;"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8" t="s">
        <v>105</v>
      </c>
      <c r="AB8" s="438"/>
      <c r="AC8" s="438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9" t="s">
        <v>26</v>
      </c>
      <c r="D9" s="390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85" t="s">
        <v>27</v>
      </c>
      <c r="D10" s="391"/>
      <c r="E10" s="217">
        <v>1</v>
      </c>
      <c r="F10" s="288">
        <f>[0]!GVEA012500col_INC_FTI</f>
        <v>0.6</v>
      </c>
      <c r="G10" s="218">
        <f>[0]!GVEA012500col_FTI_SALARY_PERM</f>
        <v>47012.160000000003</v>
      </c>
      <c r="H10" s="218">
        <f>[0]!GVEA012500col_HEALTH_PERM</f>
        <v>6990</v>
      </c>
      <c r="I10" s="218">
        <f>[0]!GVEA012500col_TOT_VB_PERM</f>
        <v>9799.6899935999991</v>
      </c>
      <c r="J10" s="219">
        <f>SUM(G10:I10)</f>
        <v>63801.849993600001</v>
      </c>
      <c r="K10" s="219">
        <f>[0]!GVEA012500col_1_27TH_PP</f>
        <v>0</v>
      </c>
      <c r="L10" s="218">
        <f>[0]!GVEA012500col_HEALTH_PERM_CHG</f>
        <v>0</v>
      </c>
      <c r="M10" s="218">
        <f>[0]!GVEA012500col_TOT_VB_PERM_CHG</f>
        <v>-81.806399999999996</v>
      </c>
      <c r="N10" s="218">
        <f>SUM(L10:M10)</f>
        <v>-81.806399999999996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500</v>
      </c>
      <c r="AB10" s="335">
        <f>ROUND(PermVarBen*CECPerm+(CECPerm*PermVarBenChg),-2)</f>
        <v>100</v>
      </c>
      <c r="AC10" s="335">
        <f>SUM(AA10:AB10)</f>
        <v>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85" t="s">
        <v>28</v>
      </c>
      <c r="D11" s="391"/>
      <c r="E11" s="217">
        <v>2</v>
      </c>
      <c r="F11" s="288"/>
      <c r="G11" s="218">
        <f>[0]!GVEA012500col_Group_Salary</f>
        <v>0</v>
      </c>
      <c r="H11" s="218">
        <v>0</v>
      </c>
      <c r="I11" s="218">
        <f>[0]!GVEA012500col_Group_Ben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85" t="s">
        <v>29</v>
      </c>
      <c r="D12" s="386"/>
      <c r="E12" s="217">
        <v>3</v>
      </c>
      <c r="F12" s="288">
        <f>[0]!GVEA012500col_TOTAL_ELECT_PCN_FTI</f>
        <v>0</v>
      </c>
      <c r="G12" s="218">
        <f>[0]!GVEA012500col_FTI_SALARY_ELECT</f>
        <v>0</v>
      </c>
      <c r="H12" s="218">
        <f>[0]!GVEA012500col_HEALTH_ELECT</f>
        <v>0</v>
      </c>
      <c r="I12" s="218">
        <f>[0]!GVEA012500col_TOT_VB_ELECT</f>
        <v>0</v>
      </c>
      <c r="J12" s="219">
        <f>SUM(G12:I12)</f>
        <v>0</v>
      </c>
      <c r="K12" s="268"/>
      <c r="L12" s="218">
        <f>[0]!GVEA012500col_HEALTH_ELECT_CHG</f>
        <v>0</v>
      </c>
      <c r="M12" s="218">
        <f>[0]!GVEA012500col_TOT_VB_ELECT_CHG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85" t="s">
        <v>30</v>
      </c>
      <c r="D13" s="391"/>
      <c r="E13" s="217"/>
      <c r="F13" s="220">
        <f>SUM(F10:F12)</f>
        <v>0.6</v>
      </c>
      <c r="G13" s="221">
        <f>SUM(G10:G12)</f>
        <v>47012.160000000003</v>
      </c>
      <c r="H13" s="221">
        <f>SUM(H10:H12)</f>
        <v>6990</v>
      </c>
      <c r="I13" s="221">
        <f>SUM(I10:I12)</f>
        <v>9799.6899935999991</v>
      </c>
      <c r="J13" s="219">
        <f>SUM(G13:I13)</f>
        <v>63801.849993600001</v>
      </c>
      <c r="K13" s="268"/>
      <c r="L13" s="219">
        <f>SUM(L10:L12)</f>
        <v>0</v>
      </c>
      <c r="M13" s="219">
        <f>SUM(M10:M12)</f>
        <v>-81.806399999999996</v>
      </c>
      <c r="N13" s="219">
        <f>SUM(N10:N12)</f>
        <v>-81.806399999999996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"&amp;'GVEA|0125-00'!FiscalYear-1</f>
        <v>FY 2022</v>
      </c>
      <c r="D15" s="158" t="s">
        <v>31</v>
      </c>
      <c r="E15" s="355">
        <v>153000</v>
      </c>
      <c r="F15" s="55">
        <v>1.05</v>
      </c>
      <c r="G15" s="223">
        <f>IF(OrigApprop=0,0,(G13/$J$13)*OrigApprop)</f>
        <v>112737.49085209159</v>
      </c>
      <c r="H15" s="223">
        <f>IF(OrigApprop=0,0,(H13/$J$13)*OrigApprop)</f>
        <v>16762.366610173205</v>
      </c>
      <c r="I15" s="223">
        <f>IF(G15=0,0,(I13/$J$13)*OrigApprop)</f>
        <v>23500.142537735202</v>
      </c>
      <c r="J15" s="223">
        <f>SUM(G15:I15)</f>
        <v>153000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92" t="s">
        <v>32</v>
      </c>
      <c r="D16" s="393"/>
      <c r="E16" s="160" t="s">
        <v>33</v>
      </c>
      <c r="F16" s="161">
        <f>F15-F13</f>
        <v>0.45000000000000007</v>
      </c>
      <c r="G16" s="162">
        <f>G15-G13</f>
        <v>65725.330852091589</v>
      </c>
      <c r="H16" s="162">
        <f>H15-H13</f>
        <v>9772.3666101732051</v>
      </c>
      <c r="I16" s="162">
        <f>I15-I13</f>
        <v>13700.452544135203</v>
      </c>
      <c r="J16" s="162">
        <f>J15-J13</f>
        <v>89198.150006399999</v>
      </c>
      <c r="K16" s="269"/>
      <c r="L16" s="56" t="str">
        <f>IF('GVEA|0125-00'!OrigApprop=0,"ERROR! Enter Original Appropriation amount in DU 3.00!","Calculated "&amp;IF('GVEA|0125-00'!AdjustedTotal&gt;0,"overfunding ","underfunding ")&amp;"is "&amp;TEXT('GVEA|0125-00'!AdjustedTotal/'GVEA|0125-00'!AppropTotal,"#.0%;(#.0% );0% ;")&amp;" of Original Appropriation")</f>
        <v>Calculated overfunding is 58.3%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94" t="s">
        <v>34</v>
      </c>
      <c r="D17" s="39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96" t="s">
        <v>35</v>
      </c>
      <c r="D18" s="39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98" t="s">
        <v>37</v>
      </c>
      <c r="D37" s="39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9" t="s">
        <v>107</v>
      </c>
      <c r="AB37" s="440"/>
      <c r="AC37" s="440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85" t="str">
        <f>perm_name</f>
        <v>Permanent Positions</v>
      </c>
      <c r="D38" s="386"/>
      <c r="E38" s="189">
        <v>1</v>
      </c>
      <c r="F38" s="190">
        <f>SUMIF($E9:$E35,$E38,$F9:$F35)</f>
        <v>0.6</v>
      </c>
      <c r="G38" s="191">
        <f>SUMIF($E10:$E35,$E38,$G10:$G35)</f>
        <v>47012.160000000003</v>
      </c>
      <c r="H38" s="192">
        <f>SUMIF($E10:$E35,$E38,$H10:$H35)</f>
        <v>6990</v>
      </c>
      <c r="I38" s="192">
        <f>SUMIF($E10:$E35,$E38,$I10:$I35)</f>
        <v>9799.6899935999991</v>
      </c>
      <c r="J38" s="192">
        <f>SUM(G38:I38)</f>
        <v>63801.849993600001</v>
      </c>
      <c r="K38" s="166"/>
      <c r="L38" s="191">
        <f>SUMIF($E10:$E35,$E38,$L10:$L35)</f>
        <v>0</v>
      </c>
      <c r="M38" s="192">
        <f>SUMIF($E10:$E35,$E38,$M10:$M35)</f>
        <v>-81.806399999999996</v>
      </c>
      <c r="N38" s="192">
        <f>SUM(L38:M38)</f>
        <v>-81.806399999999996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500</v>
      </c>
      <c r="AB38" s="338">
        <f>ROUND((AdjPermVB*CECPerm+AdjPermVBBY*CECPerm),-2)</f>
        <v>100</v>
      </c>
      <c r="AC38" s="338">
        <f>SUM(AA38:AB38)</f>
        <v>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85" t="str">
        <f>Group_name</f>
        <v>Board &amp; Group Positions</v>
      </c>
      <c r="D39" s="38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85" t="s">
        <v>38</v>
      </c>
      <c r="D41" s="386"/>
      <c r="E41" s="189"/>
      <c r="F41" s="161">
        <f>SUM(F38:F40)</f>
        <v>0.6</v>
      </c>
      <c r="G41" s="195">
        <f>SUM($G$38:$G$40)</f>
        <v>47012.160000000003</v>
      </c>
      <c r="H41" s="162">
        <f>SUM($H$38:$H$40)</f>
        <v>6990</v>
      </c>
      <c r="I41" s="162">
        <f>SUM($I$38:$I$40)</f>
        <v>9799.6899935999991</v>
      </c>
      <c r="J41" s="162">
        <f>SUM($J$38:$J$40)</f>
        <v>63801.849993600001</v>
      </c>
      <c r="K41" s="259"/>
      <c r="L41" s="195">
        <f>SUM($L$38:$L$40)</f>
        <v>0</v>
      </c>
      <c r="M41" s="162">
        <f>SUM($M$38:$M$40)</f>
        <v>-81.806399999999996</v>
      </c>
      <c r="N41" s="162">
        <f>SUM(L41:M41)</f>
        <v>-81.806399999999996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47"/>
      <c r="D42" s="448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9" t="s">
        <v>39</v>
      </c>
      <c r="D43" s="450"/>
      <c r="E43" s="203" t="s">
        <v>40</v>
      </c>
      <c r="F43" s="205">
        <f>ROUND(F51-F41,2)</f>
        <v>0.45</v>
      </c>
      <c r="G43" s="206">
        <f>ROUND(G51-G41,-2)</f>
        <v>65700</v>
      </c>
      <c r="H43" s="159">
        <f>ROUND(H51-H41,-2)</f>
        <v>9800</v>
      </c>
      <c r="I43" s="159">
        <f>ROUND(I51-I41,-2)</f>
        <v>13700</v>
      </c>
      <c r="J43" s="159">
        <f>SUM(G43:I43)</f>
        <v>89200</v>
      </c>
      <c r="K43" s="413" t="str">
        <f>IF(E51=0,"ERROR! Enter Original Appropriation amount in DU 3.00!","Calculated "&amp;IF(J43&gt;0,"overfunding ","underfunding ")&amp;"is "&amp;TEXT(J43/J51,"#.0%;(#.0% );0% ;")&amp;" of Original Appropriation")</f>
        <v>Calculated overfunding is 58.3% of Original Appropriation</v>
      </c>
      <c r="L43" s="414"/>
      <c r="M43" s="414"/>
      <c r="N43" s="415"/>
      <c r="O43"/>
      <c r="P43"/>
      <c r="Q43"/>
      <c r="R43"/>
      <c r="S43"/>
      <c r="T43"/>
      <c r="U43"/>
      <c r="V43"/>
      <c r="W43"/>
      <c r="X43"/>
      <c r="Y43"/>
      <c r="Z43" s="344"/>
      <c r="AA43" s="441" t="s">
        <v>108</v>
      </c>
      <c r="AB43" s="442"/>
      <c r="AC43" s="44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51"/>
      <c r="D44" s="452"/>
      <c r="E44" s="204" t="s">
        <v>41</v>
      </c>
      <c r="F44" s="205">
        <f>ROUND(F60-F41,2)</f>
        <v>0.45</v>
      </c>
      <c r="G44" s="206">
        <f>ROUND(G60-G41,-2)</f>
        <v>65700</v>
      </c>
      <c r="H44" s="159">
        <f>ROUND(H60-H41,-2)</f>
        <v>9800</v>
      </c>
      <c r="I44" s="159">
        <f>ROUND(I60-I41,-2)</f>
        <v>13700</v>
      </c>
      <c r="J44" s="159">
        <f>SUM(G44:I44)</f>
        <v>89200</v>
      </c>
      <c r="K44" s="413" t="str">
        <f>IF(E51=0,"ERROR! Enter Original Appropriation amount in DU 3.00!","Calculated "&amp;IF(J44&gt;0,"overfunding ","underfunding ")&amp;"is "&amp;TEXT(J44/J60,"#.0%;(#.0% );0% ;")&amp;" of Estimated Expenditures")</f>
        <v>Calculated overfunding is 58.3% of Estimated Expenditures</v>
      </c>
      <c r="L44" s="414"/>
      <c r="M44" s="414"/>
      <c r="N44" s="415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0.45</v>
      </c>
      <c r="G45" s="206">
        <f>ROUND(G67-G41-G63,-2)</f>
        <v>65700</v>
      </c>
      <c r="H45" s="206">
        <f>ROUND(H67-H41-H63,-2)</f>
        <v>9800</v>
      </c>
      <c r="I45" s="206">
        <f>ROUND(I67-I41-I63,-2)</f>
        <v>13700</v>
      </c>
      <c r="J45" s="159">
        <f>SUM(G45:I45)</f>
        <v>89200</v>
      </c>
      <c r="K45" s="413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58.3% of the Base</v>
      </c>
      <c r="L45" s="414"/>
      <c r="M45" s="414"/>
      <c r="N45" s="415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22" t="s">
        <v>100</v>
      </c>
      <c r="F46" s="423"/>
      <c r="G46" s="423"/>
      <c r="H46" s="423"/>
      <c r="I46" s="423"/>
      <c r="J46" s="424"/>
      <c r="K46" s="416" t="str">
        <f>IF(OR(J45&lt;0,F45&lt;0),"You may not have sufficient funding or authorized FTP, and may need to make additional adjustments to finalize this form.  Please contact both your DFM and LSO analysts.","")</f>
        <v/>
      </c>
      <c r="L46" s="417"/>
      <c r="M46" s="417"/>
      <c r="N46" s="41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25"/>
      <c r="F47" s="426"/>
      <c r="G47" s="426"/>
      <c r="H47" s="426"/>
      <c r="I47" s="426"/>
      <c r="J47" s="427"/>
      <c r="K47" s="419"/>
      <c r="L47" s="420"/>
      <c r="M47" s="420"/>
      <c r="N47" s="42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153000</v>
      </c>
      <c r="F51" s="272">
        <f>AppropFTP</f>
        <v>1.05</v>
      </c>
      <c r="G51" s="274">
        <f>IF(E51=0,0,(G41/$J$41)*$E$51)</f>
        <v>112737.49085209159</v>
      </c>
      <c r="H51" s="274">
        <f>IF(E51=0,0,(H41/$J$41)*$E$51)</f>
        <v>16762.366610173205</v>
      </c>
      <c r="I51" s="275">
        <f>IF(E51=0,0,(I41/$J$41)*$E$51)</f>
        <v>23500.142537735202</v>
      </c>
      <c r="J51" s="90">
        <f>SUM(G51:I51)</f>
        <v>153000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1.05</v>
      </c>
      <c r="G52" s="79">
        <f>ROUND(G51,-2)</f>
        <v>112700</v>
      </c>
      <c r="H52" s="79">
        <f>ROUND(H51,-2)</f>
        <v>16800</v>
      </c>
      <c r="I52" s="266">
        <f>ROUND(I51,-2)</f>
        <v>23500</v>
      </c>
      <c r="J52" s="80">
        <f>ROUND(J51,-2)</f>
        <v>153000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11" t="s">
        <v>49</v>
      </c>
      <c r="D55" s="41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1.05</v>
      </c>
      <c r="G56" s="80">
        <f>SUM(G52:G55)</f>
        <v>112700</v>
      </c>
      <c r="H56" s="80">
        <f>SUM(H52:H55)</f>
        <v>16800</v>
      </c>
      <c r="I56" s="260">
        <f>SUM(I52:I55)</f>
        <v>23500</v>
      </c>
      <c r="J56" s="80">
        <f>SUM(J52:J55)</f>
        <v>153000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407" t="s">
        <v>51</v>
      </c>
      <c r="D57" s="408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11" t="s">
        <v>66</v>
      </c>
      <c r="D59" s="41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1.05</v>
      </c>
      <c r="G60" s="80">
        <f>SUM(G56:G59)</f>
        <v>112700</v>
      </c>
      <c r="H60" s="80">
        <f>SUM(H56:H59)</f>
        <v>16800</v>
      </c>
      <c r="I60" s="260">
        <f>SUM(I56:I59)</f>
        <v>23500</v>
      </c>
      <c r="J60" s="80">
        <f>SUM(J56:J59)</f>
        <v>153000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407" t="s">
        <v>54</v>
      </c>
      <c r="D61" s="408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405" t="s">
        <v>56</v>
      </c>
      <c r="D64" s="406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43"/>
      <c r="D65" s="44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30"/>
      <c r="D66" s="431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1.05</v>
      </c>
      <c r="G67" s="80">
        <f>SUM(G60:G64)</f>
        <v>112700</v>
      </c>
      <c r="H67" s="80">
        <f>SUM(H60:H64)</f>
        <v>16800</v>
      </c>
      <c r="I67" s="80">
        <f>SUM(I60:I64)</f>
        <v>23500</v>
      </c>
      <c r="J67" s="80">
        <f>SUM(J60:J64)</f>
        <v>153000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407" t="s">
        <v>58</v>
      </c>
      <c r="D68" s="432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407" t="s">
        <v>59</v>
      </c>
      <c r="D69" s="432"/>
      <c r="E69" s="112"/>
      <c r="F69" s="288"/>
      <c r="G69" s="113"/>
      <c r="H69" s="113"/>
      <c r="I69" s="113">
        <f>IF(DUNine=0,0,ROUND(SUM(M41:M64),-2))</f>
        <v>-100</v>
      </c>
      <c r="J69" s="287">
        <f>SUM(G69:I69)</f>
        <v>-100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33"/>
      <c r="D70" s="43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9" t="s">
        <v>101</v>
      </c>
      <c r="D72" s="435"/>
      <c r="E72" s="290">
        <f>CECPerm</f>
        <v>0.01</v>
      </c>
      <c r="F72" s="288"/>
      <c r="G72" s="356">
        <f>IF(DUNine=0,0,IF(DUNine&lt;0,0,ROUND(AdjPermSalary*CECPerm,-2)))</f>
        <v>500</v>
      </c>
      <c r="H72" s="287"/>
      <c r="I72" s="287">
        <f>ROUND(($G72*PermVBBY+$G72*Retire1BY),-2)</f>
        <v>100</v>
      </c>
      <c r="J72" s="113">
        <f>SUM(G72:I72)</f>
        <v>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9" t="s">
        <v>61</v>
      </c>
      <c r="D73" s="43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1.05</v>
      </c>
      <c r="G75" s="80">
        <f>SUM(G67:G74)</f>
        <v>113200</v>
      </c>
      <c r="H75" s="80">
        <f>SUM(H67:H74)</f>
        <v>16800</v>
      </c>
      <c r="I75" s="80">
        <f>SUM(I67:I74)</f>
        <v>23500</v>
      </c>
      <c r="J75" s="80">
        <f>SUM(J67:K74)</f>
        <v>153500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36" t="s">
        <v>64</v>
      </c>
      <c r="D76" s="43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28"/>
      <c r="D77" s="42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28"/>
      <c r="D78" s="42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28"/>
      <c r="D79" s="42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1.05</v>
      </c>
      <c r="G80" s="80">
        <f>SUM(G75:G79)</f>
        <v>113200</v>
      </c>
      <c r="H80" s="80">
        <f>SUM(H75:H79)</f>
        <v>16800</v>
      </c>
      <c r="I80" s="80">
        <f>SUM(I75:I79)</f>
        <v>23500</v>
      </c>
      <c r="J80" s="80">
        <f>SUM(J75:J79)</f>
        <v>153500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3:D63"/>
    <mergeCell ref="C64:D64"/>
    <mergeCell ref="C65:D65"/>
    <mergeCell ref="C66:D66"/>
    <mergeCell ref="C68:D68"/>
    <mergeCell ref="C69:D69"/>
    <mergeCell ref="C55:D55"/>
    <mergeCell ref="C57:D57"/>
    <mergeCell ref="C58:D58"/>
    <mergeCell ref="C59:D59"/>
    <mergeCell ref="C61:D61"/>
    <mergeCell ref="C62:D62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34" priority="5">
      <formula>$J$44&lt;0</formula>
    </cfRule>
  </conditionalFormatting>
  <conditionalFormatting sqref="K43">
    <cfRule type="expression" dxfId="33" priority="4">
      <formula>$J$43&lt;0</formula>
    </cfRule>
  </conditionalFormatting>
  <conditionalFormatting sqref="L16">
    <cfRule type="expression" dxfId="32" priority="3">
      <formula>$J$16&lt;0</formula>
    </cfRule>
  </conditionalFormatting>
  <conditionalFormatting sqref="K45">
    <cfRule type="expression" dxfId="31" priority="2">
      <formula>$J$44&lt;0</formula>
    </cfRule>
  </conditionalFormatting>
  <conditionalFormatting sqref="K43:N45">
    <cfRule type="containsText" dxfId="30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C0D9E3-3992-4844-A3AE-E1F8D13E118E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3"/>
  <sheetViews>
    <sheetView workbookViewId="0">
      <selection activeCell="E8" sqref="E8:M23"/>
    </sheetView>
  </sheetViews>
  <sheetFormatPr defaultRowHeight="14.4" x14ac:dyDescent="0.3"/>
  <cols>
    <col min="1" max="1" width="2.77734375" customWidth="1"/>
    <col min="2" max="2" width="9.5546875" bestFit="1" customWidth="1"/>
    <col min="3" max="3" width="7.6640625" bestFit="1" customWidth="1"/>
    <col min="4" max="4" width="5.6640625" customWidth="1"/>
    <col min="5" max="5" width="5.6640625" bestFit="1" customWidth="1"/>
    <col min="6" max="6" width="11.77734375" bestFit="1" customWidth="1"/>
    <col min="7" max="7" width="14" bestFit="1" customWidth="1"/>
    <col min="8" max="8" width="11.77734375" bestFit="1" customWidth="1"/>
    <col min="9" max="9" width="15.44140625" bestFit="1" customWidth="1"/>
    <col min="10" max="10" width="17" bestFit="1" customWidth="1"/>
    <col min="11" max="11" width="11.77734375" bestFit="1" customWidth="1"/>
    <col min="12" max="12" width="15.44140625" bestFit="1" customWidth="1"/>
    <col min="13" max="13" width="17" bestFit="1" customWidth="1"/>
  </cols>
  <sheetData>
    <row r="2" spans="1:13" ht="21" x14ac:dyDescent="0.4">
      <c r="A2" s="251" t="s">
        <v>97</v>
      </c>
      <c r="B2" s="251"/>
      <c r="C2" s="251"/>
    </row>
    <row r="4" spans="1:13" ht="21" x14ac:dyDescent="0.4">
      <c r="A4" s="252"/>
      <c r="B4" s="252"/>
      <c r="C4" s="252"/>
    </row>
    <row r="5" spans="1:13" ht="15.75" customHeight="1" x14ac:dyDescent="0.3">
      <c r="E5" s="255" t="s">
        <v>83</v>
      </c>
      <c r="F5" s="455" t="s">
        <v>323</v>
      </c>
      <c r="G5" s="455"/>
      <c r="H5" s="456" t="s">
        <v>321</v>
      </c>
      <c r="I5" s="455" t="s">
        <v>324</v>
      </c>
      <c r="J5" s="455"/>
      <c r="K5" s="456" t="s">
        <v>322</v>
      </c>
      <c r="L5" s="455" t="s">
        <v>325</v>
      </c>
      <c r="M5" s="455"/>
    </row>
    <row r="6" spans="1:13" ht="15.6" x14ac:dyDescent="0.3">
      <c r="E6" s="249"/>
      <c r="F6" s="253" t="s">
        <v>94</v>
      </c>
      <c r="G6" s="254" t="s">
        <v>96</v>
      </c>
      <c r="H6" s="457"/>
      <c r="I6" s="253" t="s">
        <v>98</v>
      </c>
      <c r="J6" s="254" t="s">
        <v>95</v>
      </c>
      <c r="K6" s="457"/>
      <c r="L6" s="278" t="s">
        <v>98</v>
      </c>
      <c r="M6" s="254" t="s">
        <v>95</v>
      </c>
    </row>
    <row r="7" spans="1:13" x14ac:dyDescent="0.3">
      <c r="A7" s="467" t="s">
        <v>326</v>
      </c>
      <c r="D7" s="250"/>
    </row>
    <row r="8" spans="1:13" x14ac:dyDescent="0.3">
      <c r="C8" t="s">
        <v>292</v>
      </c>
      <c r="D8" s="250"/>
      <c r="E8" s="477">
        <f>Data!AS46</f>
        <v>0.6</v>
      </c>
      <c r="F8" s="477">
        <f>Data!AT46</f>
        <v>67767.3</v>
      </c>
      <c r="G8" s="477">
        <f>Data!AU46</f>
        <v>23956.400000000001</v>
      </c>
      <c r="H8" s="477">
        <f>Data!AV46</f>
        <v>47012.160000000003</v>
      </c>
      <c r="I8" s="477">
        <f>Data!AW46</f>
        <v>6990</v>
      </c>
      <c r="J8" s="477">
        <f>Data!AX46</f>
        <v>9799.6899935999991</v>
      </c>
      <c r="K8" s="477">
        <f>Data!AY46</f>
        <v>47012.160000000003</v>
      </c>
      <c r="L8" s="477">
        <f>Data!AZ46</f>
        <v>6990</v>
      </c>
      <c r="M8" s="477">
        <f>Data!BA46</f>
        <v>9717.8835935999996</v>
      </c>
    </row>
    <row r="9" spans="1:13" x14ac:dyDescent="0.3">
      <c r="B9" t="s">
        <v>327</v>
      </c>
      <c r="D9" s="250"/>
      <c r="E9" s="478">
        <f>Data!AS47</f>
        <v>0.6</v>
      </c>
      <c r="F9" s="478">
        <f>Data!AT47</f>
        <v>67767.3</v>
      </c>
      <c r="G9" s="478">
        <f>Data!AU47</f>
        <v>23956.400000000001</v>
      </c>
      <c r="H9" s="478">
        <f>Data!AV47</f>
        <v>47012.160000000003</v>
      </c>
      <c r="I9" s="478">
        <f>Data!AW47</f>
        <v>6990</v>
      </c>
      <c r="J9" s="478">
        <f>Data!AX47</f>
        <v>9799.6899935999991</v>
      </c>
      <c r="K9" s="478">
        <f>Data!AY47</f>
        <v>47012.160000000003</v>
      </c>
      <c r="L9" s="478">
        <f>Data!AZ47</f>
        <v>6990</v>
      </c>
      <c r="M9" s="478">
        <f>Data!BA47</f>
        <v>9717.8835935999996</v>
      </c>
    </row>
    <row r="10" spans="1:13" x14ac:dyDescent="0.3">
      <c r="C10" t="s">
        <v>317</v>
      </c>
      <c r="D10" s="250"/>
      <c r="E10" s="477">
        <f>Data!AS48</f>
        <v>2.0999999999999996</v>
      </c>
      <c r="F10" s="477">
        <f>Data!AT48</f>
        <v>130457.07</v>
      </c>
      <c r="G10" s="477">
        <f>Data!AU48</f>
        <v>46362.740000000005</v>
      </c>
      <c r="H10" s="477">
        <f>Data!AV48</f>
        <v>158052.96000000002</v>
      </c>
      <c r="I10" s="477">
        <f>Data!AW48</f>
        <v>24465</v>
      </c>
      <c r="J10" s="477">
        <f>Data!AX48</f>
        <v>33108.634353599999</v>
      </c>
      <c r="K10" s="477">
        <f>Data!AY48</f>
        <v>158052.96000000002</v>
      </c>
      <c r="L10" s="477">
        <f>Data!AZ48</f>
        <v>24465</v>
      </c>
      <c r="M10" s="477">
        <f>Data!BA48</f>
        <v>32671.1273616</v>
      </c>
    </row>
    <row r="11" spans="1:13" x14ac:dyDescent="0.3">
      <c r="B11" t="s">
        <v>328</v>
      </c>
      <c r="D11" s="250"/>
      <c r="E11" s="478">
        <f>Data!AS49</f>
        <v>2.0999999999999996</v>
      </c>
      <c r="F11" s="478">
        <f>Data!AT49</f>
        <v>130457.07</v>
      </c>
      <c r="G11" s="478">
        <f>Data!AU49</f>
        <v>46362.740000000005</v>
      </c>
      <c r="H11" s="478">
        <f>Data!AV49</f>
        <v>158052.96000000002</v>
      </c>
      <c r="I11" s="478">
        <f>Data!AW49</f>
        <v>24465</v>
      </c>
      <c r="J11" s="478">
        <f>Data!AX49</f>
        <v>33108.634353599999</v>
      </c>
      <c r="K11" s="478">
        <f>Data!AY49</f>
        <v>158052.96000000002</v>
      </c>
      <c r="L11" s="478">
        <f>Data!AZ49</f>
        <v>24465</v>
      </c>
      <c r="M11" s="478">
        <f>Data!BA49</f>
        <v>32671.1273616</v>
      </c>
    </row>
    <row r="12" spans="1:13" x14ac:dyDescent="0.3">
      <c r="C12" t="s">
        <v>298</v>
      </c>
      <c r="D12" s="250"/>
      <c r="E12" s="477">
        <f>Data!AS50</f>
        <v>4.9000000000000004</v>
      </c>
      <c r="F12" s="477">
        <f>Data!AT50</f>
        <v>241973.90999999997</v>
      </c>
      <c r="G12" s="477">
        <f>Data!AU50</f>
        <v>102418.88999999998</v>
      </c>
      <c r="H12" s="477">
        <f>Data!AV50</f>
        <v>263063.84000000003</v>
      </c>
      <c r="I12" s="477">
        <f>Data!AW50</f>
        <v>57085</v>
      </c>
      <c r="J12" s="477">
        <f>Data!AX50</f>
        <v>55719.551950399997</v>
      </c>
      <c r="K12" s="477">
        <f>Data!AY50</f>
        <v>263063.84000000003</v>
      </c>
      <c r="L12" s="477">
        <f>Data!AZ50</f>
        <v>57085</v>
      </c>
      <c r="M12" s="477">
        <f>Data!BA50</f>
        <v>54377.926366400003</v>
      </c>
    </row>
    <row r="13" spans="1:13" x14ac:dyDescent="0.3">
      <c r="B13" t="s">
        <v>329</v>
      </c>
      <c r="D13" s="250"/>
      <c r="E13" s="478">
        <f>Data!AS51</f>
        <v>4.9000000000000004</v>
      </c>
      <c r="F13" s="478">
        <f>Data!AT51</f>
        <v>241973.90999999997</v>
      </c>
      <c r="G13" s="478">
        <f>Data!AU51</f>
        <v>102418.88999999998</v>
      </c>
      <c r="H13" s="478">
        <f>Data!AV51</f>
        <v>263063.84000000003</v>
      </c>
      <c r="I13" s="478">
        <f>Data!AW51</f>
        <v>57085</v>
      </c>
      <c r="J13" s="478">
        <f>Data!AX51</f>
        <v>55719.551950399997</v>
      </c>
      <c r="K13" s="478">
        <f>Data!AY51</f>
        <v>263063.84000000003</v>
      </c>
      <c r="L13" s="478">
        <f>Data!AZ51</f>
        <v>57085</v>
      </c>
      <c r="M13" s="478">
        <f>Data!BA51</f>
        <v>54377.926366400003</v>
      </c>
    </row>
    <row r="14" spans="1:13" x14ac:dyDescent="0.3">
      <c r="C14" t="s">
        <v>330</v>
      </c>
      <c r="E14" s="477">
        <f>Data!AS52</f>
        <v>0.4</v>
      </c>
      <c r="F14" s="477">
        <f>Data!AT52</f>
        <v>16266.31</v>
      </c>
      <c r="G14" s="477">
        <f>Data!AU52</f>
        <v>7699.579999999999</v>
      </c>
      <c r="H14" s="477">
        <f>Data!AV52</f>
        <v>28346.240000000002</v>
      </c>
      <c r="I14" s="477">
        <f>Data!AW52</f>
        <v>4660</v>
      </c>
      <c r="J14" s="477">
        <f>Data!AX52</f>
        <v>6004.017094400001</v>
      </c>
      <c r="K14" s="477">
        <f>Data!AY52</f>
        <v>28346.240000000002</v>
      </c>
      <c r="L14" s="477">
        <f>Data!AZ52</f>
        <v>4660</v>
      </c>
      <c r="M14" s="477">
        <f>Data!BA52</f>
        <v>5859.4512704000008</v>
      </c>
    </row>
    <row r="15" spans="1:13" x14ac:dyDescent="0.3">
      <c r="B15" t="s">
        <v>331</v>
      </c>
      <c r="E15" s="478">
        <f>Data!AS53</f>
        <v>0.4</v>
      </c>
      <c r="F15" s="478">
        <f>Data!AT53</f>
        <v>16266.31</v>
      </c>
      <c r="G15" s="478">
        <f>Data!AU53</f>
        <v>7699.579999999999</v>
      </c>
      <c r="H15" s="478">
        <f>Data!AV53</f>
        <v>28346.240000000002</v>
      </c>
      <c r="I15" s="478">
        <f>Data!AW53</f>
        <v>4660</v>
      </c>
      <c r="J15" s="478">
        <f>Data!AX53</f>
        <v>6004.017094400001</v>
      </c>
      <c r="K15" s="478">
        <f>Data!AY53</f>
        <v>28346.240000000002</v>
      </c>
      <c r="L15" s="478">
        <f>Data!AZ53</f>
        <v>4660</v>
      </c>
      <c r="M15" s="478">
        <f>Data!BA53</f>
        <v>5859.4512704000008</v>
      </c>
    </row>
    <row r="16" spans="1:13" x14ac:dyDescent="0.3">
      <c r="E16" s="477">
        <f>Data!AS54</f>
        <v>0</v>
      </c>
      <c r="F16" s="477">
        <f>Data!AT54</f>
        <v>0</v>
      </c>
      <c r="G16" s="477">
        <f>Data!AU54</f>
        <v>0</v>
      </c>
      <c r="H16" s="477">
        <f>Data!AV54</f>
        <v>0</v>
      </c>
      <c r="I16" s="477">
        <f>Data!AW54</f>
        <v>0</v>
      </c>
      <c r="J16" s="477">
        <f>Data!AX54</f>
        <v>0</v>
      </c>
      <c r="K16" s="477">
        <f>Data!AY54</f>
        <v>0</v>
      </c>
      <c r="L16" s="477">
        <f>Data!AZ54</f>
        <v>0</v>
      </c>
      <c r="M16" s="477">
        <f>Data!BA54</f>
        <v>0</v>
      </c>
    </row>
    <row r="17" spans="1:13" x14ac:dyDescent="0.3">
      <c r="A17" s="471" t="s">
        <v>332</v>
      </c>
      <c r="E17" s="479">
        <f>Data!AS55</f>
        <v>8</v>
      </c>
      <c r="F17" s="479">
        <f>Data!AT55</f>
        <v>456464.58999999997</v>
      </c>
      <c r="G17" s="479">
        <f>Data!AU55</f>
        <v>180437.61</v>
      </c>
      <c r="H17" s="479">
        <f>Data!AV55</f>
        <v>496475.20000000007</v>
      </c>
      <c r="I17" s="479">
        <f>Data!AW55</f>
        <v>93200</v>
      </c>
      <c r="J17" s="479">
        <f>Data!AX55</f>
        <v>104631.89339199998</v>
      </c>
      <c r="K17" s="479">
        <f>Data!AY55</f>
        <v>496475.20000000007</v>
      </c>
      <c r="L17" s="479">
        <f>Data!AZ55</f>
        <v>93200</v>
      </c>
      <c r="M17" s="479">
        <f>Data!BA55</f>
        <v>102626.388592</v>
      </c>
    </row>
    <row r="18" spans="1:13" x14ac:dyDescent="0.3">
      <c r="E18" s="477">
        <f>Data!AS56</f>
        <v>0</v>
      </c>
      <c r="F18" s="477">
        <f>Data!AT56</f>
        <v>0</v>
      </c>
      <c r="G18" s="477">
        <f>Data!AU56</f>
        <v>0</v>
      </c>
      <c r="H18" s="477">
        <f>Data!AV56</f>
        <v>0</v>
      </c>
      <c r="I18" s="477">
        <f>Data!AW56</f>
        <v>0</v>
      </c>
      <c r="J18" s="477">
        <f>Data!AX56</f>
        <v>0</v>
      </c>
      <c r="K18" s="477">
        <f>Data!AY56</f>
        <v>0</v>
      </c>
      <c r="L18" s="477">
        <f>Data!AZ56</f>
        <v>0</v>
      </c>
      <c r="M18" s="477">
        <f>Data!BA56</f>
        <v>0</v>
      </c>
    </row>
    <row r="19" spans="1:13" x14ac:dyDescent="0.3">
      <c r="A19" s="467" t="s">
        <v>333</v>
      </c>
      <c r="E19" s="477">
        <f>Data!AS57</f>
        <v>0</v>
      </c>
      <c r="F19" s="477">
        <f>Data!AT57</f>
        <v>0</v>
      </c>
      <c r="G19" s="477">
        <f>Data!AU57</f>
        <v>0</v>
      </c>
      <c r="H19" s="477">
        <f>Data!AV57</f>
        <v>0</v>
      </c>
      <c r="I19" s="477">
        <f>Data!AW57</f>
        <v>0</v>
      </c>
      <c r="J19" s="477">
        <f>Data!AX57</f>
        <v>0</v>
      </c>
      <c r="K19" s="477">
        <f>Data!AY57</f>
        <v>0</v>
      </c>
      <c r="L19" s="477">
        <f>Data!AZ57</f>
        <v>0</v>
      </c>
      <c r="M19" s="477">
        <f>Data!BA57</f>
        <v>0</v>
      </c>
    </row>
    <row r="20" spans="1:13" x14ac:dyDescent="0.3">
      <c r="E20" s="477">
        <f>Data!AS58</f>
        <v>0</v>
      </c>
      <c r="F20" s="477">
        <f>Data!AT58</f>
        <v>0</v>
      </c>
      <c r="G20" s="477">
        <f>Data!AU58</f>
        <v>0</v>
      </c>
      <c r="H20" s="477">
        <f>Data!AV58</f>
        <v>0</v>
      </c>
      <c r="I20" s="477">
        <f>Data!AW58</f>
        <v>0</v>
      </c>
      <c r="J20" s="477">
        <f>Data!AX58</f>
        <v>0</v>
      </c>
      <c r="K20" s="477">
        <f>Data!AY58</f>
        <v>0</v>
      </c>
      <c r="L20" s="477">
        <f>Data!AZ58</f>
        <v>0</v>
      </c>
      <c r="M20" s="477">
        <f>Data!BA58</f>
        <v>0</v>
      </c>
    </row>
    <row r="21" spans="1:13" x14ac:dyDescent="0.3">
      <c r="A21" s="471" t="s">
        <v>334</v>
      </c>
      <c r="E21" s="477">
        <f>Data!AS59</f>
        <v>0</v>
      </c>
      <c r="F21" s="477">
        <f>Data!AT59</f>
        <v>0</v>
      </c>
      <c r="G21" s="477">
        <f>Data!AU59</f>
        <v>0</v>
      </c>
      <c r="H21" s="477">
        <f>Data!AV59</f>
        <v>0</v>
      </c>
      <c r="I21" s="477">
        <f>Data!AW59</f>
        <v>0</v>
      </c>
      <c r="J21" s="477">
        <f>Data!AX59</f>
        <v>0</v>
      </c>
      <c r="K21" s="477">
        <f>Data!AY59</f>
        <v>0</v>
      </c>
      <c r="L21" s="477">
        <f>Data!AZ59</f>
        <v>0</v>
      </c>
      <c r="M21" s="477">
        <f>Data!BA59</f>
        <v>0</v>
      </c>
    </row>
    <row r="22" spans="1:13" x14ac:dyDescent="0.3">
      <c r="E22" s="477">
        <f>Data!AS60</f>
        <v>0</v>
      </c>
      <c r="F22" s="477">
        <f>Data!AT60</f>
        <v>0</v>
      </c>
      <c r="G22" s="477">
        <f>Data!AU60</f>
        <v>0</v>
      </c>
      <c r="H22" s="477">
        <f>Data!AV60</f>
        <v>0</v>
      </c>
      <c r="I22" s="477">
        <f>Data!AW60</f>
        <v>0</v>
      </c>
      <c r="J22" s="477">
        <f>Data!AX60</f>
        <v>0</v>
      </c>
      <c r="K22" s="477">
        <f>Data!AY60</f>
        <v>0</v>
      </c>
      <c r="L22" s="477">
        <f>Data!AZ60</f>
        <v>0</v>
      </c>
      <c r="M22" s="477">
        <f>Data!BA60</f>
        <v>0</v>
      </c>
    </row>
    <row r="23" spans="1:13" x14ac:dyDescent="0.3">
      <c r="A23" s="472" t="s">
        <v>335</v>
      </c>
      <c r="E23" s="475">
        <f>Data!AS61</f>
        <v>8</v>
      </c>
      <c r="F23" s="476">
        <f>Data!AT61</f>
        <v>456464.58999999997</v>
      </c>
      <c r="G23" s="476">
        <f>Data!AU61</f>
        <v>180437.61</v>
      </c>
      <c r="H23" s="476">
        <f>Data!AV61</f>
        <v>496475.20000000007</v>
      </c>
      <c r="I23" s="476">
        <f>Data!AW61</f>
        <v>93200</v>
      </c>
      <c r="J23" s="476">
        <f>Data!AX61</f>
        <v>104631.89339199998</v>
      </c>
      <c r="K23" s="476">
        <f>Data!AY61</f>
        <v>496475.20000000007</v>
      </c>
      <c r="L23" s="476">
        <f>Data!AZ61</f>
        <v>93200</v>
      </c>
      <c r="M23" s="476">
        <f>Data!BA61</f>
        <v>102626.388592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4" orientation="landscape" horizontalDpi="1200" verticalDpi="1200" r:id="rId1"/>
  <headerFooter>
    <oddHeader>&amp;L&amp;"Arial"&amp;14 Office of the Governor&amp;R&amp;"Arial"&amp;10 Agency 199</oddHeader>
    <oddFooter>&amp;L&amp;"Arial"&amp;10 B6:Summary by Fund&amp;R&amp;"Arial"&amp;10 FY 2022 Request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F010C-0246-43ED-833E-177AB1861193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 t="s">
        <v>289</v>
      </c>
      <c r="E1" s="15"/>
      <c r="F1" s="15"/>
      <c r="G1" s="15"/>
      <c r="H1" s="15"/>
      <c r="I1" s="15"/>
      <c r="J1" s="15"/>
      <c r="K1" s="15"/>
      <c r="L1" s="16" t="s">
        <v>14</v>
      </c>
      <c r="M1" s="400">
        <v>199</v>
      </c>
      <c r="N1" s="401"/>
      <c r="AA1" s="364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 t="s">
        <v>290</v>
      </c>
      <c r="E2" s="21"/>
      <c r="F2" s="21"/>
      <c r="G2" s="21"/>
      <c r="H2" s="21"/>
      <c r="I2" s="21"/>
      <c r="J2" s="20"/>
      <c r="K2" s="20"/>
      <c r="L2" s="22" t="s">
        <v>113</v>
      </c>
      <c r="M2" s="402" t="s">
        <v>299</v>
      </c>
      <c r="N2" s="403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 t="s">
        <v>290</v>
      </c>
      <c r="E3" s="24"/>
      <c r="F3" s="25"/>
      <c r="G3" s="25"/>
      <c r="H3" s="25"/>
      <c r="I3" s="26"/>
      <c r="J3" s="20"/>
      <c r="K3" s="20"/>
      <c r="L3" s="22" t="s">
        <v>114</v>
      </c>
      <c r="M3" s="400" t="s">
        <v>166</v>
      </c>
      <c r="N3" s="401"/>
      <c r="AA3" s="364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0">
        <v>2023</v>
      </c>
      <c r="N4" s="401"/>
      <c r="AA4" s="364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2" t="s">
        <v>297</v>
      </c>
      <c r="J5" s="404"/>
      <c r="K5" s="404"/>
      <c r="L5" s="403"/>
      <c r="M5" s="352" t="s">
        <v>115</v>
      </c>
      <c r="N5" s="32" t="s">
        <v>298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370" t="s">
        <v>21</v>
      </c>
      <c r="C8" s="387" t="s">
        <v>22</v>
      </c>
      <c r="D8" s="388"/>
      <c r="E8" s="370" t="s">
        <v>23</v>
      </c>
      <c r="F8" s="49" t="s">
        <v>24</v>
      </c>
      <c r="G8" s="50" t="str">
        <f>"FY "&amp;'GVEA|0348-00'!FiscalYear-1&amp;" SALARY"</f>
        <v>FY 2022 SALARY</v>
      </c>
      <c r="H8" s="50" t="str">
        <f>"FY "&amp;'GVEA|0348-00'!FiscalYear-1&amp;" HEALTH BENEFITS"</f>
        <v>FY 2022 HEALTH BENEFITS</v>
      </c>
      <c r="I8" s="50" t="str">
        <f>"FY "&amp;'GVEA|0348-00'!FiscalYear-1&amp;" VAR BENEFITS"</f>
        <v>FY 2022 VAR BENEFITS</v>
      </c>
      <c r="J8" s="50" t="str">
        <f>"FY "&amp;'GVEA|0348-00'!FiscalYear-1&amp;" TOTAL"</f>
        <v>FY 2022 TOTAL</v>
      </c>
      <c r="K8" s="50" t="str">
        <f>"FY "&amp;'GVEA|0348-00'!FiscalYear&amp;" SALARY CHANGE"</f>
        <v>FY 2023 SALARY CHANGE</v>
      </c>
      <c r="L8" s="50" t="str">
        <f>"FY "&amp;'GVEA|0348-00'!FiscalYear&amp;" CHG HEALTH BENEFITS"</f>
        <v>FY 2023 CHG HEALTH BENEFITS</v>
      </c>
      <c r="M8" s="50" t="str">
        <f>"FY "&amp;'GVEA|0348-00'!FiscalYear&amp;"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8" t="s">
        <v>105</v>
      </c>
      <c r="AB8" s="438"/>
      <c r="AC8" s="438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9" t="s">
        <v>26</v>
      </c>
      <c r="D9" s="390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85" t="s">
        <v>27</v>
      </c>
      <c r="D10" s="391"/>
      <c r="E10" s="217">
        <v>1</v>
      </c>
      <c r="F10" s="288">
        <f>[0]!GVEA034800col_INC_FTI</f>
        <v>4.9000000000000004</v>
      </c>
      <c r="G10" s="218">
        <f>[0]!GVEA034800col_FTI_SALARY_PERM</f>
        <v>263063.84000000003</v>
      </c>
      <c r="H10" s="218">
        <f>[0]!GVEA034800col_HEALTH_PERM</f>
        <v>57085</v>
      </c>
      <c r="I10" s="218">
        <f>[0]!GVEA034800col_TOT_VB_PERM</f>
        <v>55719.551950399997</v>
      </c>
      <c r="J10" s="219">
        <f>SUM(G10:I10)</f>
        <v>375868.39195040002</v>
      </c>
      <c r="K10" s="219">
        <f>[0]!GVEA034800col_1_27TH_PP</f>
        <v>0</v>
      </c>
      <c r="L10" s="218">
        <f>[0]!GVEA034800col_HEALTH_PERM_CHG</f>
        <v>0</v>
      </c>
      <c r="M10" s="218">
        <f>[0]!GVEA034800col_TOT_VB_PERM_CHG</f>
        <v>-1341.6255840000001</v>
      </c>
      <c r="N10" s="218">
        <f>SUM(L10:M10)</f>
        <v>-1341.6255840000001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2600</v>
      </c>
      <c r="AB10" s="335">
        <f>ROUND(PermVarBen*CECPerm+(CECPerm*PermVarBenChg),-2)</f>
        <v>500</v>
      </c>
      <c r="AC10" s="335">
        <f>SUM(AA10:AB10)</f>
        <v>3100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85" t="s">
        <v>28</v>
      </c>
      <c r="D11" s="391"/>
      <c r="E11" s="217">
        <v>2</v>
      </c>
      <c r="F11" s="288"/>
      <c r="G11" s="218">
        <f>[0]!GVEA034800col_Group_Salary</f>
        <v>0</v>
      </c>
      <c r="H11" s="218">
        <v>0</v>
      </c>
      <c r="I11" s="218">
        <f>[0]!GVEA034800col_Group_Ben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85" t="s">
        <v>29</v>
      </c>
      <c r="D12" s="386"/>
      <c r="E12" s="217">
        <v>3</v>
      </c>
      <c r="F12" s="288">
        <f>[0]!GVEA034800col_TOTAL_ELECT_PCN_FTI</f>
        <v>0</v>
      </c>
      <c r="G12" s="218">
        <f>[0]!GVEA034800col_FTI_SALARY_ELECT</f>
        <v>0</v>
      </c>
      <c r="H12" s="218">
        <f>[0]!GVEA034800col_HEALTH_ELECT</f>
        <v>0</v>
      </c>
      <c r="I12" s="218">
        <f>[0]!GVEA034800col_TOT_VB_ELECT</f>
        <v>0</v>
      </c>
      <c r="J12" s="219">
        <f>SUM(G12:I12)</f>
        <v>0</v>
      </c>
      <c r="K12" s="268"/>
      <c r="L12" s="218">
        <f>[0]!GVEA034800col_HEALTH_ELECT_CHG</f>
        <v>0</v>
      </c>
      <c r="M12" s="218">
        <f>[0]!GVEA034800col_TOT_VB_ELECT_CHG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85" t="s">
        <v>30</v>
      </c>
      <c r="D13" s="391"/>
      <c r="E13" s="217"/>
      <c r="F13" s="220">
        <f>SUM(F10:F12)</f>
        <v>4.9000000000000004</v>
      </c>
      <c r="G13" s="221">
        <f>SUM(G10:G12)</f>
        <v>263063.84000000003</v>
      </c>
      <c r="H13" s="221">
        <f>SUM(H10:H12)</f>
        <v>57085</v>
      </c>
      <c r="I13" s="221">
        <f>SUM(I10:I12)</f>
        <v>55719.551950399997</v>
      </c>
      <c r="J13" s="219">
        <f>SUM(G13:I13)</f>
        <v>375868.39195040002</v>
      </c>
      <c r="K13" s="268"/>
      <c r="L13" s="219">
        <f>SUM(L10:L12)</f>
        <v>0</v>
      </c>
      <c r="M13" s="219">
        <f>SUM(M10:M12)</f>
        <v>-1341.6255840000001</v>
      </c>
      <c r="N13" s="219">
        <f>SUM(N10:N12)</f>
        <v>-1341.6255840000001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"&amp;'GVEA|0348-00'!FiscalYear-1</f>
        <v>FY 2022</v>
      </c>
      <c r="D15" s="158" t="s">
        <v>31</v>
      </c>
      <c r="E15" s="355">
        <v>371600</v>
      </c>
      <c r="F15" s="55">
        <v>4.4000000000000004</v>
      </c>
      <c r="G15" s="223">
        <f>IF(OrigApprop=0,0,(G13/$J$13)*OrigApprop)</f>
        <v>260076.4656925443</v>
      </c>
      <c r="H15" s="223">
        <f>IF(OrigApprop=0,0,(H13/$J$13)*OrigApprop)</f>
        <v>56436.738109117883</v>
      </c>
      <c r="I15" s="223">
        <f>IF(G15=0,0,(I13/$J$13)*OrigApprop)</f>
        <v>55086.796198337797</v>
      </c>
      <c r="J15" s="223">
        <f>SUM(G15:I15)</f>
        <v>371600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92" t="s">
        <v>32</v>
      </c>
      <c r="D16" s="393"/>
      <c r="E16" s="160" t="s">
        <v>33</v>
      </c>
      <c r="F16" s="161">
        <f>F15-F13</f>
        <v>-0.5</v>
      </c>
      <c r="G16" s="162">
        <f>G15-G13</f>
        <v>-2987.3743074557278</v>
      </c>
      <c r="H16" s="162">
        <f>H15-H13</f>
        <v>-648.26189088211686</v>
      </c>
      <c r="I16" s="162">
        <f>I15-I13</f>
        <v>-632.75575206219946</v>
      </c>
      <c r="J16" s="162">
        <f>J15-J13</f>
        <v>-4268.3919504000223</v>
      </c>
      <c r="K16" s="269"/>
      <c r="L16" s="56" t="str">
        <f>IF('GVEA|0348-00'!OrigApprop=0,"ERROR! Enter Original Appropriation amount in DU 3.00!","Calculated "&amp;IF('GVEA|0348-00'!AdjustedTotal&gt;0,"overfunding ","underfunding ")&amp;"is "&amp;TEXT('GVEA|0348-00'!AdjustedTotal/'GVEA|0348-00'!AppropTotal,"#.0%;(#.0% );0% ;")&amp;" of Original Appropriation")</f>
        <v>Calculated underfunding is (1.1%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94" t="s">
        <v>34</v>
      </c>
      <c r="D17" s="39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96" t="s">
        <v>35</v>
      </c>
      <c r="D18" s="39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98" t="s">
        <v>37</v>
      </c>
      <c r="D37" s="39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9" t="s">
        <v>107</v>
      </c>
      <c r="AB37" s="440"/>
      <c r="AC37" s="440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85" t="str">
        <f>perm_name</f>
        <v>Permanent Positions</v>
      </c>
      <c r="D38" s="386"/>
      <c r="E38" s="189">
        <v>1</v>
      </c>
      <c r="F38" s="190">
        <f>SUMIF($E9:$E35,$E38,$F9:$F35)</f>
        <v>4.9000000000000004</v>
      </c>
      <c r="G38" s="191">
        <f>SUMIF($E10:$E35,$E38,$G10:$G35)</f>
        <v>263063.84000000003</v>
      </c>
      <c r="H38" s="192">
        <f>SUMIF($E10:$E35,$E38,$H10:$H35)</f>
        <v>57085</v>
      </c>
      <c r="I38" s="192">
        <f>SUMIF($E10:$E35,$E38,$I10:$I35)</f>
        <v>55719.551950399997</v>
      </c>
      <c r="J38" s="192">
        <f>SUM(G38:I38)</f>
        <v>375868.39195040002</v>
      </c>
      <c r="K38" s="166"/>
      <c r="L38" s="191">
        <f>SUMIF($E10:$E35,$E38,$L10:$L35)</f>
        <v>0</v>
      </c>
      <c r="M38" s="192">
        <f>SUMIF($E10:$E35,$E38,$M10:$M35)</f>
        <v>-1341.6255840000001</v>
      </c>
      <c r="N38" s="192">
        <f>SUM(L38:M38)</f>
        <v>-1341.6255840000001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2600</v>
      </c>
      <c r="AB38" s="338">
        <f>ROUND((AdjPermVB*CECPerm+AdjPermVBBY*CECPerm),-2)</f>
        <v>500</v>
      </c>
      <c r="AC38" s="338">
        <f>SUM(AA38:AB38)</f>
        <v>3100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85" t="str">
        <f>Group_name</f>
        <v>Board &amp; Group Positions</v>
      </c>
      <c r="D39" s="38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85" t="s">
        <v>38</v>
      </c>
      <c r="D41" s="386"/>
      <c r="E41" s="189"/>
      <c r="F41" s="161">
        <f>SUM(F38:F40)</f>
        <v>4.9000000000000004</v>
      </c>
      <c r="G41" s="195">
        <f>SUM($G$38:$G$40)</f>
        <v>263063.84000000003</v>
      </c>
      <c r="H41" s="162">
        <f>SUM($H$38:$H$40)</f>
        <v>57085</v>
      </c>
      <c r="I41" s="162">
        <f>SUM($I$38:$I$40)</f>
        <v>55719.551950399997</v>
      </c>
      <c r="J41" s="162">
        <f>SUM($J$38:$J$40)</f>
        <v>375868.39195040002</v>
      </c>
      <c r="K41" s="259"/>
      <c r="L41" s="195">
        <f>SUM($L$38:$L$40)</f>
        <v>0</v>
      </c>
      <c r="M41" s="162">
        <f>SUM($M$38:$M$40)</f>
        <v>-1341.6255840000001</v>
      </c>
      <c r="N41" s="162">
        <f>SUM(L41:M41)</f>
        <v>-1341.6255840000001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47"/>
      <c r="D42" s="448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9" t="s">
        <v>39</v>
      </c>
      <c r="D43" s="450"/>
      <c r="E43" s="203" t="s">
        <v>40</v>
      </c>
      <c r="F43" s="205">
        <f>ROUND(F51-F41,2)</f>
        <v>-0.5</v>
      </c>
      <c r="G43" s="206">
        <f>ROUND(G51-G41,-2)</f>
        <v>-3000</v>
      </c>
      <c r="H43" s="159">
        <f>ROUND(H51-H41,-2)</f>
        <v>-600</v>
      </c>
      <c r="I43" s="159">
        <f>ROUND(I51-I41,-2)</f>
        <v>-600</v>
      </c>
      <c r="J43" s="159">
        <f>SUM(G43:I43)</f>
        <v>-4200</v>
      </c>
      <c r="K43" s="413" t="str">
        <f>IF(E51=0,"ERROR! Enter Original Appropriation amount in DU 3.00!","Calculated "&amp;IF(J43&gt;0,"overfunding ","underfunding ")&amp;"is "&amp;TEXT(J43/J51,"#.0%;(#.0% );0% ;")&amp;" of Original Appropriation")</f>
        <v>Calculated underfunding is (1.1% ) of Original Appropriation</v>
      </c>
      <c r="L43" s="414"/>
      <c r="M43" s="414"/>
      <c r="N43" s="415"/>
      <c r="O43"/>
      <c r="P43"/>
      <c r="Q43"/>
      <c r="R43"/>
      <c r="S43"/>
      <c r="T43"/>
      <c r="U43"/>
      <c r="V43"/>
      <c r="W43"/>
      <c r="X43"/>
      <c r="Y43"/>
      <c r="Z43" s="344"/>
      <c r="AA43" s="441" t="s">
        <v>108</v>
      </c>
      <c r="AB43" s="442"/>
      <c r="AC43" s="44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51"/>
      <c r="D44" s="452"/>
      <c r="E44" s="204" t="s">
        <v>41</v>
      </c>
      <c r="F44" s="205">
        <f>ROUND(F60-F41,2)</f>
        <v>-0.5</v>
      </c>
      <c r="G44" s="206">
        <f>ROUND(G60-G41,-2)</f>
        <v>-3000</v>
      </c>
      <c r="H44" s="159">
        <f>ROUND(H60-H41,-2)</f>
        <v>-700</v>
      </c>
      <c r="I44" s="159">
        <f>ROUND(I60-I41,-2)</f>
        <v>-600</v>
      </c>
      <c r="J44" s="159">
        <f>SUM(G44:I44)</f>
        <v>-4300</v>
      </c>
      <c r="K44" s="413" t="str">
        <f>IF(E51=0,"ERROR! Enter Original Appropriation amount in DU 3.00!","Calculated "&amp;IF(J44&gt;0,"overfunding ","underfunding ")&amp;"is "&amp;TEXT(J44/J60,"#.0%;(#.0% );0% ;")&amp;" of Estimated Expenditures")</f>
        <v>Calculated underfunding is (1.2% ) of Estimated Expenditures</v>
      </c>
      <c r="L44" s="414"/>
      <c r="M44" s="414"/>
      <c r="N44" s="415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-0.5</v>
      </c>
      <c r="G45" s="206">
        <f>ROUND(G67-G41-G63,-2)</f>
        <v>-3000</v>
      </c>
      <c r="H45" s="206">
        <f>ROUND(H67-H41-H63,-2)</f>
        <v>-700</v>
      </c>
      <c r="I45" s="206">
        <f>ROUND(I67-I41-I63,-2)</f>
        <v>-600</v>
      </c>
      <c r="J45" s="159">
        <f>SUM(G45:I45)</f>
        <v>-4300</v>
      </c>
      <c r="K45" s="413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underfunding is (1.2% ) of the Base</v>
      </c>
      <c r="L45" s="414"/>
      <c r="M45" s="414"/>
      <c r="N45" s="415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22" t="s">
        <v>100</v>
      </c>
      <c r="F46" s="423"/>
      <c r="G46" s="423"/>
      <c r="H46" s="423"/>
      <c r="I46" s="423"/>
      <c r="J46" s="424"/>
      <c r="K46" s="416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17"/>
      <c r="M46" s="417"/>
      <c r="N46" s="41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25"/>
      <c r="F47" s="426"/>
      <c r="G47" s="426"/>
      <c r="H47" s="426"/>
      <c r="I47" s="426"/>
      <c r="J47" s="427"/>
      <c r="K47" s="419"/>
      <c r="L47" s="420"/>
      <c r="M47" s="420"/>
      <c r="N47" s="42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371600</v>
      </c>
      <c r="F51" s="272">
        <f>AppropFTP</f>
        <v>4.4000000000000004</v>
      </c>
      <c r="G51" s="274">
        <f>IF(E51=0,0,(G41/$J$41)*$E$51)</f>
        <v>260076.4656925443</v>
      </c>
      <c r="H51" s="274">
        <f>IF(E51=0,0,(H41/$J$41)*$E$51)</f>
        <v>56436.738109117883</v>
      </c>
      <c r="I51" s="275">
        <f>IF(E51=0,0,(I41/$J$41)*$E$51)</f>
        <v>55086.796198337797</v>
      </c>
      <c r="J51" s="90">
        <f>SUM(G51:I51)</f>
        <v>371600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4.4000000000000004</v>
      </c>
      <c r="G52" s="79">
        <f>ROUND(G51,-2)</f>
        <v>260100</v>
      </c>
      <c r="H52" s="79">
        <f>ROUND(H51,-2)</f>
        <v>56400</v>
      </c>
      <c r="I52" s="266">
        <f>ROUND(I51,-2)</f>
        <v>55100</v>
      </c>
      <c r="J52" s="80">
        <f>ROUND(J51,-2)</f>
        <v>371600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11" t="s">
        <v>49</v>
      </c>
      <c r="D55" s="41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4.4000000000000004</v>
      </c>
      <c r="G56" s="80">
        <f>SUM(G52:G55)</f>
        <v>260100</v>
      </c>
      <c r="H56" s="80">
        <f>SUM(H52:H55)</f>
        <v>56400</v>
      </c>
      <c r="I56" s="260">
        <f>SUM(I52:I55)</f>
        <v>55100</v>
      </c>
      <c r="J56" s="80">
        <f>SUM(J52:J55)</f>
        <v>371600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407" t="s">
        <v>51</v>
      </c>
      <c r="D57" s="408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11" t="s">
        <v>66</v>
      </c>
      <c r="D59" s="41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4.4000000000000004</v>
      </c>
      <c r="G60" s="80">
        <f>SUM(G56:G59)</f>
        <v>260100</v>
      </c>
      <c r="H60" s="80">
        <f>SUM(H56:H59)</f>
        <v>56400</v>
      </c>
      <c r="I60" s="260">
        <f>SUM(I56:I59)</f>
        <v>55100</v>
      </c>
      <c r="J60" s="80">
        <f>SUM(J56:J59)</f>
        <v>371600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407" t="s">
        <v>54</v>
      </c>
      <c r="D61" s="408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405" t="s">
        <v>56</v>
      </c>
      <c r="D64" s="406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43"/>
      <c r="D65" s="44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30"/>
      <c r="D66" s="431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4.4000000000000004</v>
      </c>
      <c r="G67" s="80">
        <f>SUM(G60:G64)</f>
        <v>260100</v>
      </c>
      <c r="H67" s="80">
        <f>SUM(H60:H64)</f>
        <v>56400</v>
      </c>
      <c r="I67" s="80">
        <f>SUM(I60:I64)</f>
        <v>55100</v>
      </c>
      <c r="J67" s="80">
        <f>SUM(J60:J64)</f>
        <v>371600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407" t="s">
        <v>58</v>
      </c>
      <c r="D68" s="432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407" t="s">
        <v>59</v>
      </c>
      <c r="D69" s="432"/>
      <c r="E69" s="112"/>
      <c r="F69" s="288"/>
      <c r="G69" s="113"/>
      <c r="H69" s="113"/>
      <c r="I69" s="113">
        <f>IF(DUNine=0,0,ROUND(SUM(M41:M64),-2))</f>
        <v>-1300</v>
      </c>
      <c r="J69" s="287">
        <f>SUM(G69:I69)</f>
        <v>-1300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33"/>
      <c r="D70" s="43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9" t="s">
        <v>101</v>
      </c>
      <c r="D72" s="435"/>
      <c r="E72" s="290">
        <f>CECPerm</f>
        <v>0.01</v>
      </c>
      <c r="F72" s="288"/>
      <c r="G72" s="356">
        <f>IF(DUNine=0,0,IF(DUNine&lt;0,0,ROUND(AdjPermSalary*CECPerm,-2)))</f>
        <v>2600</v>
      </c>
      <c r="H72" s="287"/>
      <c r="I72" s="287">
        <f>ROUND(($G72*PermVBBY+$G72*Retire1BY),-2)</f>
        <v>600</v>
      </c>
      <c r="J72" s="113">
        <f>SUM(G72:I72)</f>
        <v>3200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9" t="s">
        <v>61</v>
      </c>
      <c r="D73" s="43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4.4000000000000004</v>
      </c>
      <c r="G75" s="80">
        <f>SUM(G67:G74)</f>
        <v>262700</v>
      </c>
      <c r="H75" s="80">
        <f>SUM(H67:H74)</f>
        <v>56400</v>
      </c>
      <c r="I75" s="80">
        <f>SUM(I67:I74)</f>
        <v>54400</v>
      </c>
      <c r="J75" s="80">
        <f>SUM(J67:K74)</f>
        <v>373500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36" t="s">
        <v>64</v>
      </c>
      <c r="D76" s="43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28"/>
      <c r="D77" s="42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28"/>
      <c r="D78" s="42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28"/>
      <c r="D79" s="42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4.4000000000000004</v>
      </c>
      <c r="G80" s="80">
        <f>SUM(G75:G79)</f>
        <v>262700</v>
      </c>
      <c r="H80" s="80">
        <f>SUM(H75:H79)</f>
        <v>56400</v>
      </c>
      <c r="I80" s="80">
        <f>SUM(I75:I79)</f>
        <v>54400</v>
      </c>
      <c r="J80" s="80">
        <f>SUM(J75:J79)</f>
        <v>373500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3:D63"/>
    <mergeCell ref="C64:D64"/>
    <mergeCell ref="C65:D65"/>
    <mergeCell ref="C66:D66"/>
    <mergeCell ref="C68:D68"/>
    <mergeCell ref="C69:D69"/>
    <mergeCell ref="C55:D55"/>
    <mergeCell ref="C57:D57"/>
    <mergeCell ref="C58:D58"/>
    <mergeCell ref="C59:D59"/>
    <mergeCell ref="C61:D61"/>
    <mergeCell ref="C62:D62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9" priority="5">
      <formula>$J$44&lt;0</formula>
    </cfRule>
  </conditionalFormatting>
  <conditionalFormatting sqref="K43">
    <cfRule type="expression" dxfId="28" priority="4">
      <formula>$J$43&lt;0</formula>
    </cfRule>
  </conditionalFormatting>
  <conditionalFormatting sqref="L16">
    <cfRule type="expression" dxfId="27" priority="3">
      <formula>$J$16&lt;0</formula>
    </cfRule>
  </conditionalFormatting>
  <conditionalFormatting sqref="K45">
    <cfRule type="expression" dxfId="26" priority="2">
      <formula>$J$44&lt;0</formula>
    </cfRule>
  </conditionalFormatting>
  <conditionalFormatting sqref="K43:N45">
    <cfRule type="containsText" dxfId="25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0E2932-3987-4C9A-966F-82D8C2307A3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1ACE4-7BEB-4692-B19A-879963FDFB44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 t="s">
        <v>289</v>
      </c>
      <c r="E1" s="15"/>
      <c r="F1" s="15"/>
      <c r="G1" s="15"/>
      <c r="H1" s="15"/>
      <c r="I1" s="15"/>
      <c r="J1" s="15"/>
      <c r="K1" s="15"/>
      <c r="L1" s="16" t="s">
        <v>14</v>
      </c>
      <c r="M1" s="400">
        <v>199</v>
      </c>
      <c r="N1" s="401"/>
      <c r="AA1" s="364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 t="s">
        <v>290</v>
      </c>
      <c r="E2" s="21"/>
      <c r="F2" s="21"/>
      <c r="G2" s="21"/>
      <c r="H2" s="21"/>
      <c r="I2" s="21"/>
      <c r="J2" s="20"/>
      <c r="K2" s="20"/>
      <c r="L2" s="22" t="s">
        <v>113</v>
      </c>
      <c r="M2" s="402" t="s">
        <v>305</v>
      </c>
      <c r="N2" s="403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 t="s">
        <v>290</v>
      </c>
      <c r="E3" s="24"/>
      <c r="F3" s="25"/>
      <c r="G3" s="25"/>
      <c r="H3" s="25"/>
      <c r="I3" s="26"/>
      <c r="J3" s="20"/>
      <c r="K3" s="20"/>
      <c r="L3" s="22" t="s">
        <v>114</v>
      </c>
      <c r="M3" s="400" t="s">
        <v>166</v>
      </c>
      <c r="N3" s="401"/>
      <c r="AA3" s="364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0">
        <v>2023</v>
      </c>
      <c r="N4" s="401"/>
      <c r="AA4" s="364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2" t="s">
        <v>303</v>
      </c>
      <c r="J5" s="404"/>
      <c r="K5" s="404"/>
      <c r="L5" s="403"/>
      <c r="M5" s="352" t="s">
        <v>115</v>
      </c>
      <c r="N5" s="32" t="s">
        <v>304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370" t="s">
        <v>21</v>
      </c>
      <c r="C8" s="387" t="s">
        <v>22</v>
      </c>
      <c r="D8" s="388"/>
      <c r="E8" s="370" t="s">
        <v>23</v>
      </c>
      <c r="F8" s="49" t="s">
        <v>24</v>
      </c>
      <c r="G8" s="50" t="str">
        <f>"FY "&amp;'GVEA|0349-00'!FiscalYear-1&amp;" SALARY"</f>
        <v>FY 2022 SALARY</v>
      </c>
      <c r="H8" s="50" t="str">
        <f>"FY "&amp;'GVEA|0349-00'!FiscalYear-1&amp;" HEALTH BENEFITS"</f>
        <v>FY 2022 HEALTH BENEFITS</v>
      </c>
      <c r="I8" s="50" t="str">
        <f>"FY "&amp;'GVEA|0349-00'!FiscalYear-1&amp;" VAR BENEFITS"</f>
        <v>FY 2022 VAR BENEFITS</v>
      </c>
      <c r="J8" s="50" t="str">
        <f>"FY "&amp;'GVEA|0349-00'!FiscalYear-1&amp;" TOTAL"</f>
        <v>FY 2022 TOTAL</v>
      </c>
      <c r="K8" s="50" t="str">
        <f>"FY "&amp;'GVEA|0349-00'!FiscalYear&amp;" SALARY CHANGE"</f>
        <v>FY 2023 SALARY CHANGE</v>
      </c>
      <c r="L8" s="50" t="str">
        <f>"FY "&amp;'GVEA|0349-00'!FiscalYear&amp;" CHG HEALTH BENEFITS"</f>
        <v>FY 2023 CHG HEALTH BENEFITS</v>
      </c>
      <c r="M8" s="50" t="str">
        <f>"FY "&amp;'GVEA|0349-00'!FiscalYear&amp;"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8" t="s">
        <v>105</v>
      </c>
      <c r="AB8" s="438"/>
      <c r="AC8" s="438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9" t="s">
        <v>26</v>
      </c>
      <c r="D9" s="390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85" t="s">
        <v>27</v>
      </c>
      <c r="D10" s="391"/>
      <c r="E10" s="217">
        <v>1</v>
      </c>
      <c r="F10" s="288">
        <f>[0]!GVEA034900col_INC_FTI</f>
        <v>0</v>
      </c>
      <c r="G10" s="218">
        <f>[0]!GVEA034900col_FTI_SALARY_PERM</f>
        <v>0</v>
      </c>
      <c r="H10" s="218">
        <f>[0]!GVEA034900col_HEALTH_PERM</f>
        <v>0</v>
      </c>
      <c r="I10" s="218">
        <f>[0]!GVEA034900col_TOT_VB_PERM</f>
        <v>0</v>
      </c>
      <c r="J10" s="219">
        <f>SUM(G10:I10)</f>
        <v>0</v>
      </c>
      <c r="K10" s="219">
        <f>[0]!GVEA034900col_1_27TH_PP</f>
        <v>0</v>
      </c>
      <c r="L10" s="218">
        <f>[0]!GVEA034900col_HEALTH_PERM_CHG</f>
        <v>0</v>
      </c>
      <c r="M10" s="218">
        <f>[0]!GVEA034900col_TOT_VB_PERM_CHG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85" t="s">
        <v>28</v>
      </c>
      <c r="D11" s="391"/>
      <c r="E11" s="217">
        <v>2</v>
      </c>
      <c r="F11" s="288"/>
      <c r="G11" s="218">
        <f>[0]!GVEA034900col_Group_Salary</f>
        <v>0</v>
      </c>
      <c r="H11" s="218">
        <v>0</v>
      </c>
      <c r="I11" s="218">
        <f>[0]!GVEA034900col_Group_Ben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85" t="s">
        <v>29</v>
      </c>
      <c r="D12" s="386"/>
      <c r="E12" s="217">
        <v>3</v>
      </c>
      <c r="F12" s="288">
        <f>[0]!GVEA034900col_TOTAL_ELECT_PCN_FTI</f>
        <v>0</v>
      </c>
      <c r="G12" s="218">
        <f>[0]!GVEA034900col_FTI_SALARY_ELECT</f>
        <v>0</v>
      </c>
      <c r="H12" s="218">
        <f>[0]!GVEA034900col_HEALTH_ELECT</f>
        <v>0</v>
      </c>
      <c r="I12" s="218">
        <f>[0]!GVEA034900col_TOT_VB_ELECT</f>
        <v>0</v>
      </c>
      <c r="J12" s="219">
        <f>SUM(G12:I12)</f>
        <v>0</v>
      </c>
      <c r="K12" s="268"/>
      <c r="L12" s="218">
        <f>[0]!GVEA034900col_HEALTH_ELECT_CHG</f>
        <v>0</v>
      </c>
      <c r="M12" s="218">
        <f>[0]!GVEA034900col_TOT_VB_ELECT_CHG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85" t="s">
        <v>30</v>
      </c>
      <c r="D13" s="391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"&amp;'GVEA|0349-00'!FiscalYear-1</f>
        <v>FY 2022</v>
      </c>
      <c r="D15" s="158" t="s">
        <v>31</v>
      </c>
      <c r="E15" s="355">
        <v>10100</v>
      </c>
      <c r="F15" s="55">
        <v>0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92" t="s">
        <v>32</v>
      </c>
      <c r="D16" s="393"/>
      <c r="E16" s="160" t="s">
        <v>33</v>
      </c>
      <c r="F16" s="161">
        <f>F15-F13</f>
        <v>0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IF('GVEA|0349-00'!OrigApprop=0,"ERROR! Enter Original Appropriation amount in DU 3.00!","Calculated "&amp;IF('GVEA|0349-00'!AdjustedTotal&gt;0,"overfunding ","underfunding ")&amp;"is "&amp;TEXT('GVEA|0349-00'!AdjustedTotal/'GVEA|0349-00'!AppropTotal,"#.0%;(#.0%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94" t="s">
        <v>34</v>
      </c>
      <c r="D17" s="39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96" t="s">
        <v>35</v>
      </c>
      <c r="D18" s="39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98" t="s">
        <v>37</v>
      </c>
      <c r="D37" s="39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9" t="s">
        <v>107</v>
      </c>
      <c r="AB37" s="440"/>
      <c r="AC37" s="440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85" t="str">
        <f>perm_name</f>
        <v>Permanent Positions</v>
      </c>
      <c r="D38" s="386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85" t="str">
        <f>Group_name</f>
        <v>Board &amp; Group Positions</v>
      </c>
      <c r="D39" s="38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85" t="s">
        <v>38</v>
      </c>
      <c r="D41" s="386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47"/>
      <c r="D42" s="448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9" t="s">
        <v>39</v>
      </c>
      <c r="D43" s="450"/>
      <c r="E43" s="203" t="s">
        <v>40</v>
      </c>
      <c r="F43" s="205">
        <f>ROUND(F51-F41,2)</f>
        <v>0</v>
      </c>
      <c r="G43" s="206" t="e">
        <f>ROUND(G51-G41,-2)</f>
        <v>#DIV/0!</v>
      </c>
      <c r="H43" s="159" t="e">
        <f>ROUND(H51-H41,-2)</f>
        <v>#DIV/0!</v>
      </c>
      <c r="I43" s="159" t="e">
        <f>ROUND(I51-I41,-2)</f>
        <v>#DIV/0!</v>
      </c>
      <c r="J43" s="159" t="e">
        <f>SUM(G43:I43)</f>
        <v>#DIV/0!</v>
      </c>
      <c r="K43" s="413" t="e">
        <f>IF(E51=0,"ERROR! Enter Original Appropriation amount in DU 3.00!","Calculated "&amp;IF(J43&gt;0,"overfunding ","underfunding ")&amp;"is "&amp;TEXT(J43/J51,"#.0%;(#.0% );0% ;")&amp;" of Original Appropriation")</f>
        <v>#DIV/0!</v>
      </c>
      <c r="L43" s="414"/>
      <c r="M43" s="414"/>
      <c r="N43" s="415"/>
      <c r="O43"/>
      <c r="P43"/>
      <c r="Q43"/>
      <c r="R43"/>
      <c r="S43"/>
      <c r="T43"/>
      <c r="U43"/>
      <c r="V43"/>
      <c r="W43"/>
      <c r="X43"/>
      <c r="Y43"/>
      <c r="Z43" s="344"/>
      <c r="AA43" s="441" t="s">
        <v>108</v>
      </c>
      <c r="AB43" s="442"/>
      <c r="AC43" s="44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51"/>
      <c r="D44" s="452"/>
      <c r="E44" s="204" t="s">
        <v>41</v>
      </c>
      <c r="F44" s="205">
        <f>ROUND(F60-F41,2)</f>
        <v>0</v>
      </c>
      <c r="G44" s="206" t="e">
        <f>ROUND(G60-G41,-2)</f>
        <v>#DIV/0!</v>
      </c>
      <c r="H44" s="159" t="e">
        <f>ROUND(H60-H41,-2)</f>
        <v>#DIV/0!</v>
      </c>
      <c r="I44" s="159" t="e">
        <f>ROUND(I60-I41,-2)</f>
        <v>#DIV/0!</v>
      </c>
      <c r="J44" s="159" t="e">
        <f>SUM(G44:I44)</f>
        <v>#DIV/0!</v>
      </c>
      <c r="K44" s="413" t="e">
        <f>IF(E51=0,"ERROR! Enter Original Appropriation amount in DU 3.00!","Calculated "&amp;IF(J44&gt;0,"overfunding ","underfunding ")&amp;"is "&amp;TEXT(J44/J60,"#.0%;(#.0% );0% ;")&amp;" of Estimated Expenditures")</f>
        <v>#DIV/0!</v>
      </c>
      <c r="L44" s="414"/>
      <c r="M44" s="414"/>
      <c r="N44" s="415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 t="e">
        <f>ROUND(G67-G41-G63,-2)</f>
        <v>#DIV/0!</v>
      </c>
      <c r="H45" s="206" t="e">
        <f>ROUND(H67-H41-H63,-2)</f>
        <v>#DIV/0!</v>
      </c>
      <c r="I45" s="206" t="e">
        <f>ROUND(I67-I41-I63,-2)</f>
        <v>#DIV/0!</v>
      </c>
      <c r="J45" s="159" t="e">
        <f>SUM(G45:I45)</f>
        <v>#DIV/0!</v>
      </c>
      <c r="K45" s="413" t="e">
        <f>IF(J67=0,"Program has a zero base",IF(E51=0,"ERROR! Enter Original Appropriation amount in DU 3.00!","Calculated "&amp;IF(J45&gt;0,"overfunding ","underfunding ")&amp;"is "&amp;TEXT(J45/J67,"#.0%;(#.0% );0% ;")&amp;" of the Base"))</f>
        <v>#DIV/0!</v>
      </c>
      <c r="L45" s="414"/>
      <c r="M45" s="414"/>
      <c r="N45" s="415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22" t="s">
        <v>100</v>
      </c>
      <c r="F46" s="423"/>
      <c r="G46" s="423"/>
      <c r="H46" s="423"/>
      <c r="I46" s="423"/>
      <c r="J46" s="424"/>
      <c r="K46" s="416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17"/>
      <c r="M46" s="417"/>
      <c r="N46" s="41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25"/>
      <c r="F47" s="426"/>
      <c r="G47" s="426"/>
      <c r="H47" s="426"/>
      <c r="I47" s="426"/>
      <c r="J47" s="427"/>
      <c r="K47" s="419"/>
      <c r="L47" s="420"/>
      <c r="M47" s="420"/>
      <c r="N47" s="42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10100</v>
      </c>
      <c r="F51" s="272">
        <f>AppropFTP</f>
        <v>0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0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11" t="s">
        <v>49</v>
      </c>
      <c r="D55" s="41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407" t="s">
        <v>51</v>
      </c>
      <c r="D57" s="408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11" t="s">
        <v>66</v>
      </c>
      <c r="D59" s="41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407" t="s">
        <v>54</v>
      </c>
      <c r="D61" s="408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405" t="s">
        <v>56</v>
      </c>
      <c r="D64" s="406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43"/>
      <c r="D65" s="44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30"/>
      <c r="D66" s="431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407" t="s">
        <v>58</v>
      </c>
      <c r="D68" s="432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407" t="s">
        <v>59</v>
      </c>
      <c r="D69" s="432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33"/>
      <c r="D70" s="43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9" t="s">
        <v>101</v>
      </c>
      <c r="D72" s="435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9" t="s">
        <v>61</v>
      </c>
      <c r="D73" s="435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36" t="s">
        <v>64</v>
      </c>
      <c r="D76" s="43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28"/>
      <c r="D77" s="42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28"/>
      <c r="D78" s="42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28"/>
      <c r="D79" s="42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3:D63"/>
    <mergeCell ref="C64:D64"/>
    <mergeCell ref="C65:D65"/>
    <mergeCell ref="C66:D66"/>
    <mergeCell ref="C68:D68"/>
    <mergeCell ref="C69:D69"/>
    <mergeCell ref="C55:D55"/>
    <mergeCell ref="C57:D57"/>
    <mergeCell ref="C58:D58"/>
    <mergeCell ref="C59:D59"/>
    <mergeCell ref="C61:D61"/>
    <mergeCell ref="C62:D62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4" priority="5">
      <formula>$J$44&lt;0</formula>
    </cfRule>
  </conditionalFormatting>
  <conditionalFormatting sqref="K43">
    <cfRule type="expression" dxfId="23" priority="4">
      <formula>$J$43&lt;0</formula>
    </cfRule>
  </conditionalFormatting>
  <conditionalFormatting sqref="L16">
    <cfRule type="expression" dxfId="22" priority="3">
      <formula>$J$16&lt;0</formula>
    </cfRule>
  </conditionalFormatting>
  <conditionalFormatting sqref="K45">
    <cfRule type="expression" dxfId="21" priority="2">
      <formula>$J$44&lt;0</formula>
    </cfRule>
  </conditionalFormatting>
  <conditionalFormatting sqref="K43:N45">
    <cfRule type="containsText" dxfId="20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412018-7C81-47FE-A5A3-829FC502A4F9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670C1-15ED-49BF-9638-790EAF9AC2E8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 t="s">
        <v>289</v>
      </c>
      <c r="E1" s="15"/>
      <c r="F1" s="15"/>
      <c r="G1" s="15"/>
      <c r="H1" s="15"/>
      <c r="I1" s="15"/>
      <c r="J1" s="15"/>
      <c r="K1" s="15"/>
      <c r="L1" s="16" t="s">
        <v>14</v>
      </c>
      <c r="M1" s="400">
        <v>199</v>
      </c>
      <c r="N1" s="401"/>
      <c r="AA1" s="364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 t="s">
        <v>290</v>
      </c>
      <c r="E2" s="21"/>
      <c r="F2" s="21"/>
      <c r="G2" s="21"/>
      <c r="H2" s="21"/>
      <c r="I2" s="21"/>
      <c r="J2" s="20"/>
      <c r="K2" s="20"/>
      <c r="L2" s="22" t="s">
        <v>113</v>
      </c>
      <c r="M2" s="402" t="s">
        <v>312</v>
      </c>
      <c r="N2" s="403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 t="s">
        <v>290</v>
      </c>
      <c r="E3" s="24"/>
      <c r="F3" s="25"/>
      <c r="G3" s="25"/>
      <c r="H3" s="25"/>
      <c r="I3" s="26"/>
      <c r="J3" s="20"/>
      <c r="K3" s="20"/>
      <c r="L3" s="22" t="s">
        <v>114</v>
      </c>
      <c r="M3" s="400" t="s">
        <v>166</v>
      </c>
      <c r="N3" s="401"/>
      <c r="AA3" s="364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0">
        <v>2023</v>
      </c>
      <c r="N4" s="401"/>
      <c r="AA4" s="364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2" t="s">
        <v>310</v>
      </c>
      <c r="J5" s="404"/>
      <c r="K5" s="404"/>
      <c r="L5" s="403"/>
      <c r="M5" s="352" t="s">
        <v>115</v>
      </c>
      <c r="N5" s="32" t="s">
        <v>311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370" t="s">
        <v>21</v>
      </c>
      <c r="C8" s="387" t="s">
        <v>22</v>
      </c>
      <c r="D8" s="388"/>
      <c r="E8" s="370" t="s">
        <v>23</v>
      </c>
      <c r="F8" s="49" t="s">
        <v>24</v>
      </c>
      <c r="G8" s="50" t="str">
        <f>"FY "&amp;'GVEA|0494-00'!FiscalYear-1&amp;" SALARY"</f>
        <v>FY 2022 SALARY</v>
      </c>
      <c r="H8" s="50" t="str">
        <f>"FY "&amp;'GVEA|0494-00'!FiscalYear-1&amp;" HEALTH BENEFITS"</f>
        <v>FY 2022 HEALTH BENEFITS</v>
      </c>
      <c r="I8" s="50" t="str">
        <f>"FY "&amp;'GVEA|0494-00'!FiscalYear-1&amp;" VAR BENEFITS"</f>
        <v>FY 2022 VAR BENEFITS</v>
      </c>
      <c r="J8" s="50" t="str">
        <f>"FY "&amp;'GVEA|0494-00'!FiscalYear-1&amp;" TOTAL"</f>
        <v>FY 2022 TOTAL</v>
      </c>
      <c r="K8" s="50" t="str">
        <f>"FY "&amp;'GVEA|0494-00'!FiscalYear&amp;" SALARY CHANGE"</f>
        <v>FY 2023 SALARY CHANGE</v>
      </c>
      <c r="L8" s="50" t="str">
        <f>"FY "&amp;'GVEA|0494-00'!FiscalYear&amp;" CHG HEALTH BENEFITS"</f>
        <v>FY 2023 CHG HEALTH BENEFITS</v>
      </c>
      <c r="M8" s="50" t="str">
        <f>"FY "&amp;'GVEA|0494-00'!FiscalYear&amp;"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8" t="s">
        <v>105</v>
      </c>
      <c r="AB8" s="438"/>
      <c r="AC8" s="438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9" t="s">
        <v>26</v>
      </c>
      <c r="D9" s="390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85" t="s">
        <v>27</v>
      </c>
      <c r="D10" s="391"/>
      <c r="E10" s="217">
        <v>1</v>
      </c>
      <c r="F10" s="288">
        <f>[0]!GVEA049400col_INC_FTI</f>
        <v>0.4</v>
      </c>
      <c r="G10" s="218">
        <f>[0]!GVEA049400col_FTI_SALARY_PERM</f>
        <v>28346.240000000002</v>
      </c>
      <c r="H10" s="218">
        <f>[0]!GVEA049400col_HEALTH_PERM</f>
        <v>4660</v>
      </c>
      <c r="I10" s="218">
        <f>[0]!GVEA049400col_TOT_VB_PERM</f>
        <v>6004.017094400001</v>
      </c>
      <c r="J10" s="219">
        <f>SUM(G10:I10)</f>
        <v>39010.257094400004</v>
      </c>
      <c r="K10" s="219">
        <f>[0]!GVEA049400col_1_27TH_PP</f>
        <v>0</v>
      </c>
      <c r="L10" s="218">
        <f>[0]!GVEA049400col_HEALTH_PERM_CHG</f>
        <v>0</v>
      </c>
      <c r="M10" s="218">
        <f>[0]!GVEA049400col_TOT_VB_PERM_CHG</f>
        <v>-144.56582400000002</v>
      </c>
      <c r="N10" s="218">
        <f>SUM(L10:M10)</f>
        <v>-144.56582400000002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300</v>
      </c>
      <c r="AB10" s="335">
        <f>ROUND(PermVarBen*CECPerm+(CECPerm*PermVarBenChg),-2)</f>
        <v>100</v>
      </c>
      <c r="AC10" s="335">
        <f>SUM(AA10:AB10)</f>
        <v>400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85" t="s">
        <v>28</v>
      </c>
      <c r="D11" s="391"/>
      <c r="E11" s="217">
        <v>2</v>
      </c>
      <c r="F11" s="288"/>
      <c r="G11" s="218">
        <f>[0]!GVEA049400col_Group_Salary</f>
        <v>0</v>
      </c>
      <c r="H11" s="218">
        <v>0</v>
      </c>
      <c r="I11" s="218">
        <f>[0]!GVEA049400col_Group_Ben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85" t="s">
        <v>29</v>
      </c>
      <c r="D12" s="386"/>
      <c r="E12" s="217">
        <v>3</v>
      </c>
      <c r="F12" s="288">
        <f>[0]!GVEA049400col_TOTAL_ELECT_PCN_FTI</f>
        <v>0</v>
      </c>
      <c r="G12" s="218">
        <f>[0]!GVEA049400col_FTI_SALARY_ELECT</f>
        <v>0</v>
      </c>
      <c r="H12" s="218">
        <f>[0]!GVEA049400col_HEALTH_ELECT</f>
        <v>0</v>
      </c>
      <c r="I12" s="218">
        <f>[0]!GVEA049400col_TOT_VB_ELECT</f>
        <v>0</v>
      </c>
      <c r="J12" s="219">
        <f>SUM(G12:I12)</f>
        <v>0</v>
      </c>
      <c r="K12" s="268"/>
      <c r="L12" s="218">
        <f>[0]!GVEA049400col_HEALTH_ELECT_CHG</f>
        <v>0</v>
      </c>
      <c r="M12" s="218">
        <f>[0]!GVEA049400col_TOT_VB_ELECT_CHG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85" t="s">
        <v>30</v>
      </c>
      <c r="D13" s="391"/>
      <c r="E13" s="217"/>
      <c r="F13" s="220">
        <f>SUM(F10:F12)</f>
        <v>0.4</v>
      </c>
      <c r="G13" s="221">
        <f>SUM(G10:G12)</f>
        <v>28346.240000000002</v>
      </c>
      <c r="H13" s="221">
        <f>SUM(H10:H12)</f>
        <v>4660</v>
      </c>
      <c r="I13" s="221">
        <f>SUM(I10:I12)</f>
        <v>6004.017094400001</v>
      </c>
      <c r="J13" s="219">
        <f>SUM(G13:I13)</f>
        <v>39010.257094400004</v>
      </c>
      <c r="K13" s="268"/>
      <c r="L13" s="219">
        <f>SUM(L10:L12)</f>
        <v>0</v>
      </c>
      <c r="M13" s="219">
        <f>SUM(M10:M12)</f>
        <v>-144.56582400000002</v>
      </c>
      <c r="N13" s="219">
        <f>SUM(N10:N12)</f>
        <v>-144.56582400000002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"&amp;'GVEA|0494-00'!FiscalYear-1</f>
        <v>FY 2022</v>
      </c>
      <c r="D15" s="158" t="s">
        <v>31</v>
      </c>
      <c r="E15" s="355">
        <v>260900</v>
      </c>
      <c r="F15" s="55">
        <v>0.95</v>
      </c>
      <c r="G15" s="223">
        <f>IF(OrigApprop=0,0,(G13/$J$13)*OrigApprop)</f>
        <v>189579.21754024131</v>
      </c>
      <c r="H15" s="223">
        <f>IF(OrigApprop=0,0,(H13/$J$13)*OrigApprop)</f>
        <v>31166.008392560161</v>
      </c>
      <c r="I15" s="223">
        <f>IF(G15=0,0,(I13/$J$13)*OrigApprop)</f>
        <v>40154.774067198516</v>
      </c>
      <c r="J15" s="223">
        <f>SUM(G15:I15)</f>
        <v>260899.99999999997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92" t="s">
        <v>32</v>
      </c>
      <c r="D16" s="393"/>
      <c r="E16" s="160" t="s">
        <v>33</v>
      </c>
      <c r="F16" s="161">
        <f>F15-F13</f>
        <v>0.54999999999999993</v>
      </c>
      <c r="G16" s="162">
        <f>G15-G13</f>
        <v>161232.97754024132</v>
      </c>
      <c r="H16" s="162">
        <f>H15-H13</f>
        <v>26506.008392560161</v>
      </c>
      <c r="I16" s="162">
        <f>I15-I13</f>
        <v>34150.756972798517</v>
      </c>
      <c r="J16" s="162">
        <f>J15-J13</f>
        <v>221889.74290559997</v>
      </c>
      <c r="K16" s="269"/>
      <c r="L16" s="56" t="str">
        <f>IF('GVEA|0494-00'!OrigApprop=0,"ERROR! Enter Original Appropriation amount in DU 3.00!","Calculated "&amp;IF('GVEA|0494-00'!AdjustedTotal&gt;0,"overfunding ","underfunding ")&amp;"is "&amp;TEXT('GVEA|0494-00'!AdjustedTotal/'GVEA|0494-00'!AppropTotal,"#.0%;(#.0% );0% ;")&amp;" of Original Appropriation")</f>
        <v>Calculated overfunding is 85.0%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94" t="s">
        <v>34</v>
      </c>
      <c r="D17" s="39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96" t="s">
        <v>35</v>
      </c>
      <c r="D18" s="39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98" t="s">
        <v>37</v>
      </c>
      <c r="D37" s="39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9" t="s">
        <v>107</v>
      </c>
      <c r="AB37" s="440"/>
      <c r="AC37" s="440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85" t="str">
        <f>perm_name</f>
        <v>Permanent Positions</v>
      </c>
      <c r="D38" s="386"/>
      <c r="E38" s="189">
        <v>1</v>
      </c>
      <c r="F38" s="190">
        <f>SUMIF($E9:$E35,$E38,$F9:$F35)</f>
        <v>0.4</v>
      </c>
      <c r="G38" s="191">
        <f>SUMIF($E10:$E35,$E38,$G10:$G35)</f>
        <v>28346.240000000002</v>
      </c>
      <c r="H38" s="192">
        <f>SUMIF($E10:$E35,$E38,$H10:$H35)</f>
        <v>4660</v>
      </c>
      <c r="I38" s="192">
        <f>SUMIF($E10:$E35,$E38,$I10:$I35)</f>
        <v>6004.017094400001</v>
      </c>
      <c r="J38" s="192">
        <f>SUM(G38:I38)</f>
        <v>39010.257094400004</v>
      </c>
      <c r="K38" s="166"/>
      <c r="L38" s="191">
        <f>SUMIF($E10:$E35,$E38,$L10:$L35)</f>
        <v>0</v>
      </c>
      <c r="M38" s="192">
        <f>SUMIF($E10:$E35,$E38,$M10:$M35)</f>
        <v>-144.56582400000002</v>
      </c>
      <c r="N38" s="192">
        <f>SUM(L38:M38)</f>
        <v>-144.56582400000002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300</v>
      </c>
      <c r="AB38" s="338">
        <f>ROUND((AdjPermVB*CECPerm+AdjPermVBBY*CECPerm),-2)</f>
        <v>100</v>
      </c>
      <c r="AC38" s="338">
        <f>SUM(AA38:AB38)</f>
        <v>400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85" t="str">
        <f>Group_name</f>
        <v>Board &amp; Group Positions</v>
      </c>
      <c r="D39" s="38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85" t="s">
        <v>38</v>
      </c>
      <c r="D41" s="386"/>
      <c r="E41" s="189"/>
      <c r="F41" s="161">
        <f>SUM(F38:F40)</f>
        <v>0.4</v>
      </c>
      <c r="G41" s="195">
        <f>SUM($G$38:$G$40)</f>
        <v>28346.240000000002</v>
      </c>
      <c r="H41" s="162">
        <f>SUM($H$38:$H$40)</f>
        <v>4660</v>
      </c>
      <c r="I41" s="162">
        <f>SUM($I$38:$I$40)</f>
        <v>6004.017094400001</v>
      </c>
      <c r="J41" s="162">
        <f>SUM($J$38:$J$40)</f>
        <v>39010.257094400004</v>
      </c>
      <c r="K41" s="259"/>
      <c r="L41" s="195">
        <f>SUM($L$38:$L$40)</f>
        <v>0</v>
      </c>
      <c r="M41" s="162">
        <f>SUM($M$38:$M$40)</f>
        <v>-144.56582400000002</v>
      </c>
      <c r="N41" s="162">
        <f>SUM(L41:M41)</f>
        <v>-144.56582400000002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47"/>
      <c r="D42" s="448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9" t="s">
        <v>39</v>
      </c>
      <c r="D43" s="450"/>
      <c r="E43" s="203" t="s">
        <v>40</v>
      </c>
      <c r="F43" s="205">
        <f>ROUND(F51-F41,2)</f>
        <v>0.55000000000000004</v>
      </c>
      <c r="G43" s="206">
        <f>ROUND(G51-G41,-2)</f>
        <v>161200</v>
      </c>
      <c r="H43" s="159">
        <f>ROUND(H51-H41,-2)</f>
        <v>26500</v>
      </c>
      <c r="I43" s="159">
        <f>ROUND(I51-I41,-2)</f>
        <v>34200</v>
      </c>
      <c r="J43" s="159">
        <f>SUM(G43:I43)</f>
        <v>221900</v>
      </c>
      <c r="K43" s="413" t="str">
        <f>IF(E51=0,"ERROR! Enter Original Appropriation amount in DU 3.00!","Calculated "&amp;IF(J43&gt;0,"overfunding ","underfunding ")&amp;"is "&amp;TEXT(J43/J51,"#.0%;(#.0% );0% ;")&amp;" of Original Appropriation")</f>
        <v>Calculated overfunding is 85.1% of Original Appropriation</v>
      </c>
      <c r="L43" s="414"/>
      <c r="M43" s="414"/>
      <c r="N43" s="415"/>
      <c r="O43"/>
      <c r="P43"/>
      <c r="Q43"/>
      <c r="R43"/>
      <c r="S43"/>
      <c r="T43"/>
      <c r="U43"/>
      <c r="V43"/>
      <c r="W43"/>
      <c r="X43"/>
      <c r="Y43"/>
      <c r="Z43" s="344"/>
      <c r="AA43" s="441" t="s">
        <v>108</v>
      </c>
      <c r="AB43" s="442"/>
      <c r="AC43" s="44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51"/>
      <c r="D44" s="452"/>
      <c r="E44" s="204" t="s">
        <v>41</v>
      </c>
      <c r="F44" s="205">
        <f>ROUND(F60-F41,2)</f>
        <v>0.55000000000000004</v>
      </c>
      <c r="G44" s="206">
        <f>ROUND(G60-G41,-2)</f>
        <v>161300</v>
      </c>
      <c r="H44" s="159">
        <f>ROUND(H60-H41,-2)</f>
        <v>26500</v>
      </c>
      <c r="I44" s="159">
        <f>ROUND(I60-I41,-2)</f>
        <v>34200</v>
      </c>
      <c r="J44" s="159">
        <f>SUM(G44:I44)</f>
        <v>222000</v>
      </c>
      <c r="K44" s="413" t="str">
        <f>IF(E51=0,"ERROR! Enter Original Appropriation amount in DU 3.00!","Calculated "&amp;IF(J44&gt;0,"overfunding ","underfunding ")&amp;"is "&amp;TEXT(J44/J60,"#.0%;(#.0% );0% ;")&amp;" of Estimated Expenditures")</f>
        <v>Calculated overfunding is 85.1% of Estimated Expenditures</v>
      </c>
      <c r="L44" s="414"/>
      <c r="M44" s="414"/>
      <c r="N44" s="415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0.55000000000000004</v>
      </c>
      <c r="G45" s="206">
        <f>ROUND(G67-G41-G63,-2)</f>
        <v>161300</v>
      </c>
      <c r="H45" s="206">
        <f>ROUND(H67-H41-H63,-2)</f>
        <v>26500</v>
      </c>
      <c r="I45" s="206">
        <f>ROUND(I67-I41-I63,-2)</f>
        <v>34200</v>
      </c>
      <c r="J45" s="159">
        <f>SUM(G45:I45)</f>
        <v>222000</v>
      </c>
      <c r="K45" s="413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85.1% of the Base</v>
      </c>
      <c r="L45" s="414"/>
      <c r="M45" s="414"/>
      <c r="N45" s="415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22" t="s">
        <v>100</v>
      </c>
      <c r="F46" s="423"/>
      <c r="G46" s="423"/>
      <c r="H46" s="423"/>
      <c r="I46" s="423"/>
      <c r="J46" s="424"/>
      <c r="K46" s="416" t="str">
        <f>IF(OR(J45&lt;0,F45&lt;0),"You may not have sufficient funding or authorized FTP, and may need to make additional adjustments to finalize this form.  Please contact both your DFM and LSO analysts.","")</f>
        <v/>
      </c>
      <c r="L46" s="417"/>
      <c r="M46" s="417"/>
      <c r="N46" s="41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25"/>
      <c r="F47" s="426"/>
      <c r="G47" s="426"/>
      <c r="H47" s="426"/>
      <c r="I47" s="426"/>
      <c r="J47" s="427"/>
      <c r="K47" s="419"/>
      <c r="L47" s="420"/>
      <c r="M47" s="420"/>
      <c r="N47" s="42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260900</v>
      </c>
      <c r="F51" s="272">
        <f>AppropFTP</f>
        <v>0.95</v>
      </c>
      <c r="G51" s="274">
        <f>IF(E51=0,0,(G41/$J$41)*$E$51)</f>
        <v>189579.21754024131</v>
      </c>
      <c r="H51" s="274">
        <f>IF(E51=0,0,(H41/$J$41)*$E$51)</f>
        <v>31166.008392560161</v>
      </c>
      <c r="I51" s="275">
        <f>IF(E51=0,0,(I41/$J$41)*$E$51)</f>
        <v>40154.774067198516</v>
      </c>
      <c r="J51" s="90">
        <f>SUM(G51:I51)</f>
        <v>260899.99999999997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0.95</v>
      </c>
      <c r="G52" s="79">
        <f>ROUND(G51,-2)</f>
        <v>189600</v>
      </c>
      <c r="H52" s="79">
        <f>ROUND(H51,-2)</f>
        <v>31200</v>
      </c>
      <c r="I52" s="266">
        <f>ROUND(I51,-2)</f>
        <v>40200</v>
      </c>
      <c r="J52" s="80">
        <f>ROUND(J51,-2)</f>
        <v>260900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11" t="s">
        <v>49</v>
      </c>
      <c r="D55" s="41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0.95</v>
      </c>
      <c r="G56" s="80">
        <f>SUM(G52:G55)</f>
        <v>189600</v>
      </c>
      <c r="H56" s="80">
        <f>SUM(H52:H55)</f>
        <v>31200</v>
      </c>
      <c r="I56" s="260">
        <f>SUM(I52:I55)</f>
        <v>40200</v>
      </c>
      <c r="J56" s="80">
        <f>SUM(J52:J55)</f>
        <v>260900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407" t="s">
        <v>51</v>
      </c>
      <c r="D57" s="408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11" t="s">
        <v>66</v>
      </c>
      <c r="D59" s="41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0.95</v>
      </c>
      <c r="G60" s="80">
        <f>SUM(G56:G59)</f>
        <v>189600</v>
      </c>
      <c r="H60" s="80">
        <f>SUM(H56:H59)</f>
        <v>31200</v>
      </c>
      <c r="I60" s="260">
        <f>SUM(I56:I59)</f>
        <v>40200</v>
      </c>
      <c r="J60" s="80">
        <f>SUM(J56:J59)</f>
        <v>260900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407" t="s">
        <v>54</v>
      </c>
      <c r="D61" s="408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405" t="s">
        <v>56</v>
      </c>
      <c r="D64" s="406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43"/>
      <c r="D65" s="44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30"/>
      <c r="D66" s="431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0.95</v>
      </c>
      <c r="G67" s="80">
        <f>SUM(G60:G64)</f>
        <v>189600</v>
      </c>
      <c r="H67" s="80">
        <f>SUM(H60:H64)</f>
        <v>31200</v>
      </c>
      <c r="I67" s="80">
        <f>SUM(I60:I64)</f>
        <v>40200</v>
      </c>
      <c r="J67" s="80">
        <f>SUM(J60:J64)</f>
        <v>260900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407" t="s">
        <v>58</v>
      </c>
      <c r="D68" s="432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407" t="s">
        <v>59</v>
      </c>
      <c r="D69" s="432"/>
      <c r="E69" s="112"/>
      <c r="F69" s="288"/>
      <c r="G69" s="113"/>
      <c r="H69" s="113"/>
      <c r="I69" s="113">
        <f>IF(DUNine=0,0,ROUND(SUM(M41:M64),-2))</f>
        <v>-100</v>
      </c>
      <c r="J69" s="287">
        <f>SUM(G69:I69)</f>
        <v>-100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33"/>
      <c r="D70" s="43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9" t="s">
        <v>101</v>
      </c>
      <c r="D72" s="435"/>
      <c r="E72" s="290">
        <f>CECPerm</f>
        <v>0.01</v>
      </c>
      <c r="F72" s="288"/>
      <c r="G72" s="356">
        <f>IF(DUNine=0,0,IF(DUNine&lt;0,0,ROUND(AdjPermSalary*CECPerm,-2)))</f>
        <v>300</v>
      </c>
      <c r="H72" s="287"/>
      <c r="I72" s="287">
        <f>ROUND(($G72*PermVBBY+$G72*Retire1BY),-2)</f>
        <v>100</v>
      </c>
      <c r="J72" s="113">
        <f>SUM(G72:I72)</f>
        <v>400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9" t="s">
        <v>61</v>
      </c>
      <c r="D73" s="43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0.95</v>
      </c>
      <c r="G75" s="80">
        <f>SUM(G67:G74)</f>
        <v>189900</v>
      </c>
      <c r="H75" s="80">
        <f>SUM(H67:H74)</f>
        <v>31200</v>
      </c>
      <c r="I75" s="80">
        <f>SUM(I67:I74)</f>
        <v>40200</v>
      </c>
      <c r="J75" s="80">
        <f>SUM(J67:K74)</f>
        <v>261200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36" t="s">
        <v>64</v>
      </c>
      <c r="D76" s="43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28"/>
      <c r="D77" s="42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28"/>
      <c r="D78" s="42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28"/>
      <c r="D79" s="42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0.95</v>
      </c>
      <c r="G80" s="80">
        <f>SUM(G75:G79)</f>
        <v>189900</v>
      </c>
      <c r="H80" s="80">
        <f>SUM(H75:H79)</f>
        <v>31200</v>
      </c>
      <c r="I80" s="80">
        <f>SUM(I75:I79)</f>
        <v>40200</v>
      </c>
      <c r="J80" s="80">
        <f>SUM(J75:J79)</f>
        <v>261200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3:D63"/>
    <mergeCell ref="C64:D64"/>
    <mergeCell ref="C65:D65"/>
    <mergeCell ref="C66:D66"/>
    <mergeCell ref="C68:D68"/>
    <mergeCell ref="C69:D69"/>
    <mergeCell ref="C55:D55"/>
    <mergeCell ref="C57:D57"/>
    <mergeCell ref="C58:D58"/>
    <mergeCell ref="C59:D59"/>
    <mergeCell ref="C61:D61"/>
    <mergeCell ref="C62:D62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9" priority="5">
      <formula>$J$44&lt;0</formula>
    </cfRule>
  </conditionalFormatting>
  <conditionalFormatting sqref="K43">
    <cfRule type="expression" dxfId="18" priority="4">
      <formula>$J$43&lt;0</formula>
    </cfRule>
  </conditionalFormatting>
  <conditionalFormatting sqref="L16">
    <cfRule type="expression" dxfId="17" priority="3">
      <formula>$J$16&lt;0</formula>
    </cfRule>
  </conditionalFormatting>
  <conditionalFormatting sqref="K45">
    <cfRule type="expression" dxfId="16" priority="2">
      <formula>$J$44&lt;0</formula>
    </cfRule>
  </conditionalFormatting>
  <conditionalFormatting sqref="K43:N45">
    <cfRule type="containsText" dxfId="15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FD3065-BB2F-4105-8786-72E5DC68C13E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5DC91-1A7E-4B00-B494-D5A1E9567C09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 t="s">
        <v>289</v>
      </c>
      <c r="E1" s="15"/>
      <c r="F1" s="15"/>
      <c r="G1" s="15"/>
      <c r="H1" s="15"/>
      <c r="I1" s="15"/>
      <c r="J1" s="15"/>
      <c r="K1" s="15"/>
      <c r="L1" s="16" t="s">
        <v>14</v>
      </c>
      <c r="M1" s="400">
        <v>199</v>
      </c>
      <c r="N1" s="401"/>
      <c r="AA1" s="364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 t="s">
        <v>290</v>
      </c>
      <c r="E2" s="21"/>
      <c r="F2" s="21"/>
      <c r="G2" s="21"/>
      <c r="H2" s="21"/>
      <c r="I2" s="21"/>
      <c r="J2" s="20"/>
      <c r="K2" s="20"/>
      <c r="L2" s="22" t="s">
        <v>113</v>
      </c>
      <c r="M2" s="402" t="s">
        <v>318</v>
      </c>
      <c r="N2" s="403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 t="s">
        <v>290</v>
      </c>
      <c r="E3" s="24"/>
      <c r="F3" s="25"/>
      <c r="G3" s="25"/>
      <c r="H3" s="25"/>
      <c r="I3" s="26"/>
      <c r="J3" s="20"/>
      <c r="K3" s="20"/>
      <c r="L3" s="22" t="s">
        <v>114</v>
      </c>
      <c r="M3" s="400" t="s">
        <v>232</v>
      </c>
      <c r="N3" s="401"/>
      <c r="AA3" s="364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0">
        <v>2023</v>
      </c>
      <c r="N4" s="401"/>
      <c r="AA4" s="364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2" t="s">
        <v>316</v>
      </c>
      <c r="J5" s="404"/>
      <c r="K5" s="404"/>
      <c r="L5" s="403"/>
      <c r="M5" s="352" t="s">
        <v>115</v>
      </c>
      <c r="N5" s="32" t="s">
        <v>317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370" t="s">
        <v>21</v>
      </c>
      <c r="C8" s="387" t="s">
        <v>22</v>
      </c>
      <c r="D8" s="388"/>
      <c r="E8" s="370" t="s">
        <v>23</v>
      </c>
      <c r="F8" s="49" t="s">
        <v>24</v>
      </c>
      <c r="G8" s="50" t="str">
        <f>"FY "&amp;'GVEB|0199-00'!FiscalYear-1&amp;" SALARY"</f>
        <v>FY 2022 SALARY</v>
      </c>
      <c r="H8" s="50" t="str">
        <f>"FY "&amp;'GVEB|0199-00'!FiscalYear-1&amp;" HEALTH BENEFITS"</f>
        <v>FY 2022 HEALTH BENEFITS</v>
      </c>
      <c r="I8" s="50" t="str">
        <f>"FY "&amp;'GVEB|0199-00'!FiscalYear-1&amp;" VAR BENEFITS"</f>
        <v>FY 2022 VAR BENEFITS</v>
      </c>
      <c r="J8" s="50" t="str">
        <f>"FY "&amp;'GVEB|0199-00'!FiscalYear-1&amp;" TOTAL"</f>
        <v>FY 2022 TOTAL</v>
      </c>
      <c r="K8" s="50" t="str">
        <f>"FY "&amp;'GVEB|0199-00'!FiscalYear&amp;" SALARY CHANGE"</f>
        <v>FY 2023 SALARY CHANGE</v>
      </c>
      <c r="L8" s="50" t="str">
        <f>"FY "&amp;'GVEB|0199-00'!FiscalYear&amp;" CHG HEALTH BENEFITS"</f>
        <v>FY 2023 CHG HEALTH BENEFITS</v>
      </c>
      <c r="M8" s="50" t="str">
        <f>"FY "&amp;'GVEB|0199-00'!FiscalYear&amp;"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8" t="s">
        <v>105</v>
      </c>
      <c r="AB8" s="438"/>
      <c r="AC8" s="438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9" t="s">
        <v>26</v>
      </c>
      <c r="D9" s="390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85" t="s">
        <v>27</v>
      </c>
      <c r="D10" s="391"/>
      <c r="E10" s="217">
        <v>1</v>
      </c>
      <c r="F10" s="288">
        <f>[0]!GVEB019900col_INC_FTI</f>
        <v>2.0999999999999996</v>
      </c>
      <c r="G10" s="218">
        <f>[0]!GVEB019900col_FTI_SALARY_PERM</f>
        <v>158052.96000000002</v>
      </c>
      <c r="H10" s="218">
        <f>[0]!GVEB019900col_HEALTH_PERM</f>
        <v>24465</v>
      </c>
      <c r="I10" s="218">
        <f>[0]!GVEB019900col_TOT_VB_PERM</f>
        <v>33108.634353599999</v>
      </c>
      <c r="J10" s="219">
        <f>SUM(G10:I10)</f>
        <v>215626.59435360003</v>
      </c>
      <c r="K10" s="219">
        <f>[0]!GVEB019900col_1_27TH_PP</f>
        <v>0</v>
      </c>
      <c r="L10" s="218">
        <f>[0]!GVEB019900col_HEALTH_PERM_CHG</f>
        <v>0</v>
      </c>
      <c r="M10" s="218">
        <f>[0]!GVEB019900col_TOT_VB_PERM_CHG</f>
        <v>-437.50699200000003</v>
      </c>
      <c r="N10" s="218">
        <f>SUM(L10:M10)</f>
        <v>-437.50699200000003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1600</v>
      </c>
      <c r="AB10" s="335">
        <f>ROUND(PermVarBen*CECPerm+(CECPerm*PermVarBenChg),-2)</f>
        <v>300</v>
      </c>
      <c r="AC10" s="335">
        <f>SUM(AA10:AB10)</f>
        <v>1900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85" t="s">
        <v>28</v>
      </c>
      <c r="D11" s="391"/>
      <c r="E11" s="217">
        <v>2</v>
      </c>
      <c r="F11" s="288"/>
      <c r="G11" s="218">
        <f>[0]!GVEB019900col_Group_Salary</f>
        <v>0</v>
      </c>
      <c r="H11" s="218">
        <v>0</v>
      </c>
      <c r="I11" s="218">
        <f>[0]!GVEB019900col_Group_Ben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85" t="s">
        <v>29</v>
      </c>
      <c r="D12" s="386"/>
      <c r="E12" s="217">
        <v>3</v>
      </c>
      <c r="F12" s="288">
        <f>[0]!GVEB019900col_TOTAL_ELECT_PCN_FTI</f>
        <v>0</v>
      </c>
      <c r="G12" s="218">
        <f>[0]!GVEB019900col_FTI_SALARY_ELECT</f>
        <v>0</v>
      </c>
      <c r="H12" s="218">
        <f>[0]!GVEB019900col_HEALTH_ELECT</f>
        <v>0</v>
      </c>
      <c r="I12" s="218">
        <f>[0]!GVEB019900col_TOT_VB_ELECT</f>
        <v>0</v>
      </c>
      <c r="J12" s="219">
        <f>SUM(G12:I12)</f>
        <v>0</v>
      </c>
      <c r="K12" s="268"/>
      <c r="L12" s="218">
        <f>[0]!GVEB019900col_HEALTH_ELECT_CHG</f>
        <v>0</v>
      </c>
      <c r="M12" s="218">
        <f>[0]!GVEB019900col_TOT_VB_ELECT_CHG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85" t="s">
        <v>30</v>
      </c>
      <c r="D13" s="391"/>
      <c r="E13" s="217"/>
      <c r="F13" s="220">
        <f>SUM(F10:F12)</f>
        <v>2.0999999999999996</v>
      </c>
      <c r="G13" s="221">
        <f>SUM(G10:G12)</f>
        <v>158052.96000000002</v>
      </c>
      <c r="H13" s="221">
        <f>SUM(H10:H12)</f>
        <v>24465</v>
      </c>
      <c r="I13" s="221">
        <f>SUM(I10:I12)</f>
        <v>33108.634353599999</v>
      </c>
      <c r="J13" s="219">
        <f>SUM(G13:I13)</f>
        <v>215626.59435360003</v>
      </c>
      <c r="K13" s="268"/>
      <c r="L13" s="219">
        <f>SUM(L10:L12)</f>
        <v>0</v>
      </c>
      <c r="M13" s="219">
        <f>SUM(M10:M12)</f>
        <v>-437.50699200000003</v>
      </c>
      <c r="N13" s="219">
        <f>SUM(N10:N12)</f>
        <v>-437.50699200000003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"&amp;'GVEB|0199-00'!FiscalYear-1</f>
        <v>FY 2022</v>
      </c>
      <c r="D15" s="158" t="s">
        <v>31</v>
      </c>
      <c r="E15" s="355">
        <v>268300</v>
      </c>
      <c r="F15" s="55">
        <v>1.6</v>
      </c>
      <c r="G15" s="223">
        <f>IF(OrigApprop=0,0,(G13/$J$13)*OrigApprop)</f>
        <v>196662.2405511828</v>
      </c>
      <c r="H15" s="223">
        <f>IF(OrigApprop=0,0,(H13/$J$13)*OrigApprop)</f>
        <v>30441.326218026457</v>
      </c>
      <c r="I15" s="223">
        <f>IF(G15=0,0,(I13/$J$13)*OrigApprop)</f>
        <v>41196.433230790724</v>
      </c>
      <c r="J15" s="223">
        <f>SUM(G15:I15)</f>
        <v>268300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92" t="s">
        <v>32</v>
      </c>
      <c r="D16" s="393"/>
      <c r="E16" s="160" t="s">
        <v>33</v>
      </c>
      <c r="F16" s="161">
        <f>F15-F13</f>
        <v>-0.49999999999999956</v>
      </c>
      <c r="G16" s="162">
        <f>G15-G13</f>
        <v>38609.280551182776</v>
      </c>
      <c r="H16" s="162">
        <f>H15-H13</f>
        <v>5976.3262180264574</v>
      </c>
      <c r="I16" s="162">
        <f>I15-I13</f>
        <v>8087.7988771907258</v>
      </c>
      <c r="J16" s="162">
        <f>J15-J13</f>
        <v>52673.405646399973</v>
      </c>
      <c r="K16" s="269"/>
      <c r="L16" s="56" t="str">
        <f>IF('GVEB|0199-00'!OrigApprop=0,"ERROR! Enter Original Appropriation amount in DU 3.00!","Calculated "&amp;IF('GVEB|0199-00'!AdjustedTotal&gt;0,"overfunding ","underfunding ")&amp;"is "&amp;TEXT('GVEB|0199-00'!AdjustedTotal/'GVEB|0199-00'!AppropTotal,"#.0%;(#.0% );0% ;")&amp;" of Original Appropriation")</f>
        <v>Calculated overfunding is 19.6%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94" t="s">
        <v>34</v>
      </c>
      <c r="D17" s="39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96" t="s">
        <v>35</v>
      </c>
      <c r="D18" s="39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98" t="s">
        <v>37</v>
      </c>
      <c r="D37" s="39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9" t="s">
        <v>107</v>
      </c>
      <c r="AB37" s="440"/>
      <c r="AC37" s="440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85" t="str">
        <f>perm_name</f>
        <v>Permanent Positions</v>
      </c>
      <c r="D38" s="386"/>
      <c r="E38" s="189">
        <v>1</v>
      </c>
      <c r="F38" s="190">
        <f>SUMIF($E9:$E35,$E38,$F9:$F35)</f>
        <v>2.0999999999999996</v>
      </c>
      <c r="G38" s="191">
        <f>SUMIF($E10:$E35,$E38,$G10:$G35)</f>
        <v>158052.96000000002</v>
      </c>
      <c r="H38" s="192">
        <f>SUMIF($E10:$E35,$E38,$H10:$H35)</f>
        <v>24465</v>
      </c>
      <c r="I38" s="192">
        <f>SUMIF($E10:$E35,$E38,$I10:$I35)</f>
        <v>33108.634353599999</v>
      </c>
      <c r="J38" s="192">
        <f>SUM(G38:I38)</f>
        <v>215626.59435360003</v>
      </c>
      <c r="K38" s="166"/>
      <c r="L38" s="191">
        <f>SUMIF($E10:$E35,$E38,$L10:$L35)</f>
        <v>0</v>
      </c>
      <c r="M38" s="192">
        <f>SUMIF($E10:$E35,$E38,$M10:$M35)</f>
        <v>-437.50699200000003</v>
      </c>
      <c r="N38" s="192">
        <f>SUM(L38:M38)</f>
        <v>-437.50699200000003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1600</v>
      </c>
      <c r="AB38" s="338">
        <f>ROUND((AdjPermVB*CECPerm+AdjPermVBBY*CECPerm),-2)</f>
        <v>300</v>
      </c>
      <c r="AC38" s="338">
        <f>SUM(AA38:AB38)</f>
        <v>1900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85" t="str">
        <f>Group_name</f>
        <v>Board &amp; Group Positions</v>
      </c>
      <c r="D39" s="38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85" t="s">
        <v>38</v>
      </c>
      <c r="D41" s="386"/>
      <c r="E41" s="189"/>
      <c r="F41" s="161">
        <f>SUM(F38:F40)</f>
        <v>2.0999999999999996</v>
      </c>
      <c r="G41" s="195">
        <f>SUM($G$38:$G$40)</f>
        <v>158052.96000000002</v>
      </c>
      <c r="H41" s="162">
        <f>SUM($H$38:$H$40)</f>
        <v>24465</v>
      </c>
      <c r="I41" s="162">
        <f>SUM($I$38:$I$40)</f>
        <v>33108.634353599999</v>
      </c>
      <c r="J41" s="162">
        <f>SUM($J$38:$J$40)</f>
        <v>215626.59435360003</v>
      </c>
      <c r="K41" s="259"/>
      <c r="L41" s="195">
        <f>SUM($L$38:$L$40)</f>
        <v>0</v>
      </c>
      <c r="M41" s="162">
        <f>SUM($M$38:$M$40)</f>
        <v>-437.50699200000003</v>
      </c>
      <c r="N41" s="162">
        <f>SUM(L41:M41)</f>
        <v>-437.50699200000003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47"/>
      <c r="D42" s="448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9" t="s">
        <v>39</v>
      </c>
      <c r="D43" s="450"/>
      <c r="E43" s="203" t="s">
        <v>40</v>
      </c>
      <c r="F43" s="205">
        <f>ROUND(F51-F41,2)</f>
        <v>-0.5</v>
      </c>
      <c r="G43" s="206">
        <f>ROUND(G51-G41,-2)</f>
        <v>38600</v>
      </c>
      <c r="H43" s="159">
        <f>ROUND(H51-H41,-2)</f>
        <v>6000</v>
      </c>
      <c r="I43" s="159">
        <f>ROUND(I51-I41,-2)</f>
        <v>8100</v>
      </c>
      <c r="J43" s="159">
        <f>SUM(G43:I43)</f>
        <v>52700</v>
      </c>
      <c r="K43" s="413" t="str">
        <f>IF(E51=0,"ERROR! Enter Original Appropriation amount in DU 3.00!","Calculated "&amp;IF(J43&gt;0,"overfunding ","underfunding ")&amp;"is "&amp;TEXT(J43/J51,"#.0%;(#.0% );0% ;")&amp;" of Original Appropriation")</f>
        <v>Calculated overfunding is 19.6% of Original Appropriation</v>
      </c>
      <c r="L43" s="414"/>
      <c r="M43" s="414"/>
      <c r="N43" s="415"/>
      <c r="O43"/>
      <c r="P43"/>
      <c r="Q43"/>
      <c r="R43"/>
      <c r="S43"/>
      <c r="T43"/>
      <c r="U43"/>
      <c r="V43"/>
      <c r="W43"/>
      <c r="X43"/>
      <c r="Y43"/>
      <c r="Z43" s="344"/>
      <c r="AA43" s="441" t="s">
        <v>108</v>
      </c>
      <c r="AB43" s="442"/>
      <c r="AC43" s="44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51"/>
      <c r="D44" s="452"/>
      <c r="E44" s="204" t="s">
        <v>41</v>
      </c>
      <c r="F44" s="205">
        <f>ROUND(F60-F41,2)</f>
        <v>-0.5</v>
      </c>
      <c r="G44" s="206">
        <f>ROUND(G60-G41,-2)</f>
        <v>38600</v>
      </c>
      <c r="H44" s="159">
        <f>ROUND(H60-H41,-2)</f>
        <v>5900</v>
      </c>
      <c r="I44" s="159">
        <f>ROUND(I60-I41,-2)</f>
        <v>8100</v>
      </c>
      <c r="J44" s="159">
        <f>SUM(G44:I44)</f>
        <v>52600</v>
      </c>
      <c r="K44" s="413" t="str">
        <f>IF(E51=0,"ERROR! Enter Original Appropriation amount in DU 3.00!","Calculated "&amp;IF(J44&gt;0,"overfunding ","underfunding ")&amp;"is "&amp;TEXT(J44/J60,"#.0%;(#.0% );0% ;")&amp;" of Estimated Expenditures")</f>
        <v>Calculated overfunding is 19.6% of Estimated Expenditures</v>
      </c>
      <c r="L44" s="414"/>
      <c r="M44" s="414"/>
      <c r="N44" s="415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-0.5</v>
      </c>
      <c r="G45" s="206">
        <f>ROUND(G67-G41-G63,-2)</f>
        <v>38600</v>
      </c>
      <c r="H45" s="206">
        <f>ROUND(H67-H41-H63,-2)</f>
        <v>5900</v>
      </c>
      <c r="I45" s="206">
        <f>ROUND(I67-I41-I63,-2)</f>
        <v>8100</v>
      </c>
      <c r="J45" s="159">
        <f>SUM(G45:I45)</f>
        <v>52600</v>
      </c>
      <c r="K45" s="413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19.6% of the Base</v>
      </c>
      <c r="L45" s="414"/>
      <c r="M45" s="414"/>
      <c r="N45" s="415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22" t="s">
        <v>100</v>
      </c>
      <c r="F46" s="423"/>
      <c r="G46" s="423"/>
      <c r="H46" s="423"/>
      <c r="I46" s="423"/>
      <c r="J46" s="424"/>
      <c r="K46" s="416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17"/>
      <c r="M46" s="417"/>
      <c r="N46" s="418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25"/>
      <c r="F47" s="426"/>
      <c r="G47" s="426"/>
      <c r="H47" s="426"/>
      <c r="I47" s="426"/>
      <c r="J47" s="427"/>
      <c r="K47" s="419"/>
      <c r="L47" s="420"/>
      <c r="M47" s="420"/>
      <c r="N47" s="421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268300</v>
      </c>
      <c r="F51" s="272">
        <f>AppropFTP</f>
        <v>1.6</v>
      </c>
      <c r="G51" s="274">
        <f>IF(E51=0,0,(G41/$J$41)*$E$51)</f>
        <v>196662.2405511828</v>
      </c>
      <c r="H51" s="274">
        <f>IF(E51=0,0,(H41/$J$41)*$E$51)</f>
        <v>30441.326218026457</v>
      </c>
      <c r="I51" s="275">
        <f>IF(E51=0,0,(I41/$J$41)*$E$51)</f>
        <v>41196.433230790724</v>
      </c>
      <c r="J51" s="90">
        <f>SUM(G51:I51)</f>
        <v>268300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1.6</v>
      </c>
      <c r="G52" s="79">
        <f>ROUND(G51,-2)</f>
        <v>196700</v>
      </c>
      <c r="H52" s="79">
        <f>ROUND(H51,-2)</f>
        <v>30400</v>
      </c>
      <c r="I52" s="266">
        <f>ROUND(I51,-2)</f>
        <v>41200</v>
      </c>
      <c r="J52" s="80">
        <f>ROUND(J51,-2)</f>
        <v>268300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11" t="s">
        <v>49</v>
      </c>
      <c r="D55" s="41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1.6</v>
      </c>
      <c r="G56" s="80">
        <f>SUM(G52:G55)</f>
        <v>196700</v>
      </c>
      <c r="H56" s="80">
        <f>SUM(H52:H55)</f>
        <v>30400</v>
      </c>
      <c r="I56" s="260">
        <f>SUM(I52:I55)</f>
        <v>41200</v>
      </c>
      <c r="J56" s="80">
        <f>SUM(J52:J55)</f>
        <v>268300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407" t="s">
        <v>51</v>
      </c>
      <c r="D57" s="408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11" t="s">
        <v>66</v>
      </c>
      <c r="D59" s="41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1.6</v>
      </c>
      <c r="G60" s="80">
        <f>SUM(G56:G59)</f>
        <v>196700</v>
      </c>
      <c r="H60" s="80">
        <f>SUM(H56:H59)</f>
        <v>30400</v>
      </c>
      <c r="I60" s="260">
        <f>SUM(I56:I59)</f>
        <v>41200</v>
      </c>
      <c r="J60" s="80">
        <f>SUM(J56:J59)</f>
        <v>268300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407" t="s">
        <v>54</v>
      </c>
      <c r="D61" s="408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405" t="s">
        <v>56</v>
      </c>
      <c r="D64" s="406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43"/>
      <c r="D65" s="44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30"/>
      <c r="D66" s="431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1.6</v>
      </c>
      <c r="G67" s="80">
        <f>SUM(G60:G64)</f>
        <v>196700</v>
      </c>
      <c r="H67" s="80">
        <f>SUM(H60:H64)</f>
        <v>30400</v>
      </c>
      <c r="I67" s="80">
        <f>SUM(I60:I64)</f>
        <v>41200</v>
      </c>
      <c r="J67" s="80">
        <f>SUM(J60:J64)</f>
        <v>268300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407" t="s">
        <v>58</v>
      </c>
      <c r="D68" s="432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407" t="s">
        <v>59</v>
      </c>
      <c r="D69" s="432"/>
      <c r="E69" s="112"/>
      <c r="F69" s="288"/>
      <c r="G69" s="113"/>
      <c r="H69" s="113"/>
      <c r="I69" s="113">
        <f>IF(DUNine=0,0,ROUND(SUM(M41:M64),-2))</f>
        <v>-400</v>
      </c>
      <c r="J69" s="287">
        <f>SUM(G69:I69)</f>
        <v>-400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33"/>
      <c r="D70" s="43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9" t="s">
        <v>101</v>
      </c>
      <c r="D72" s="435"/>
      <c r="E72" s="290">
        <f>CECPerm</f>
        <v>0.01</v>
      </c>
      <c r="F72" s="288"/>
      <c r="G72" s="356">
        <f>IF(DUNine=0,0,IF(DUNine&lt;0,0,ROUND(AdjPermSalary*CECPerm,-2)))</f>
        <v>1600</v>
      </c>
      <c r="H72" s="287"/>
      <c r="I72" s="287">
        <f>ROUND(($G72*PermVBBY+$G72*Retire1BY),-2)</f>
        <v>300</v>
      </c>
      <c r="J72" s="113">
        <f>SUM(G72:I72)</f>
        <v>1900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9" t="s">
        <v>61</v>
      </c>
      <c r="D73" s="43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1.6</v>
      </c>
      <c r="G75" s="80">
        <f>SUM(G67:G74)</f>
        <v>198300</v>
      </c>
      <c r="H75" s="80">
        <f>SUM(H67:H74)</f>
        <v>30400</v>
      </c>
      <c r="I75" s="80">
        <f>SUM(I67:I74)</f>
        <v>41100</v>
      </c>
      <c r="J75" s="80">
        <f>SUM(J67:K74)</f>
        <v>269800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36" t="s">
        <v>64</v>
      </c>
      <c r="D76" s="43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28"/>
      <c r="D77" s="42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28"/>
      <c r="D78" s="42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28"/>
      <c r="D79" s="42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1.6</v>
      </c>
      <c r="G80" s="80">
        <f>SUM(G75:G79)</f>
        <v>198300</v>
      </c>
      <c r="H80" s="80">
        <f>SUM(H75:H79)</f>
        <v>30400</v>
      </c>
      <c r="I80" s="80">
        <f>SUM(I75:I79)</f>
        <v>41100</v>
      </c>
      <c r="J80" s="80">
        <f>SUM(J75:J79)</f>
        <v>269800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3:D63"/>
    <mergeCell ref="C64:D64"/>
    <mergeCell ref="C65:D65"/>
    <mergeCell ref="C66:D66"/>
    <mergeCell ref="C68:D68"/>
    <mergeCell ref="C69:D69"/>
    <mergeCell ref="C55:D55"/>
    <mergeCell ref="C57:D57"/>
    <mergeCell ref="C58:D58"/>
    <mergeCell ref="C59:D59"/>
    <mergeCell ref="C61:D61"/>
    <mergeCell ref="C62:D62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4" priority="5">
      <formula>$J$44&lt;0</formula>
    </cfRule>
  </conditionalFormatting>
  <conditionalFormatting sqref="K43">
    <cfRule type="expression" dxfId="13" priority="4">
      <formula>$J$43&lt;0</formula>
    </cfRule>
  </conditionalFormatting>
  <conditionalFormatting sqref="L16">
    <cfRule type="expression" dxfId="12" priority="3">
      <formula>$J$16&lt;0</formula>
    </cfRule>
  </conditionalFormatting>
  <conditionalFormatting sqref="K45">
    <cfRule type="expression" dxfId="11" priority="2">
      <formula>$J$44&lt;0</formula>
    </cfRule>
  </conditionalFormatting>
  <conditionalFormatting sqref="K43:N45">
    <cfRule type="containsText" dxfId="10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078FAB-F01F-454E-A4A4-ED5C5513757C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V61"/>
  <sheetViews>
    <sheetView workbookViewId="0">
      <pane xSplit="3" ySplit="1" topLeftCell="AM39" activePane="bottomRight" state="frozen"/>
      <selection pane="topRight" activeCell="D1" sqref="D1"/>
      <selection pane="bottomLeft" activeCell="A2" sqref="A2"/>
      <selection pane="bottomRight" activeCell="AS46" sqref="AS46:BA61"/>
    </sheetView>
  </sheetViews>
  <sheetFormatPr defaultRowHeight="14.4" x14ac:dyDescent="0.3"/>
  <cols>
    <col min="45" max="53" width="15.77734375" customWidth="1"/>
    <col min="54" max="54" width="10.5546875" bestFit="1" customWidth="1"/>
    <col min="55" max="55" width="9" bestFit="1" customWidth="1"/>
    <col min="56" max="56" width="10.5546875" bestFit="1" customWidth="1"/>
    <col min="57" max="57" width="9.44140625" bestFit="1" customWidth="1"/>
    <col min="58" max="58" width="10.5546875" bestFit="1" customWidth="1"/>
    <col min="59" max="60" width="9.44140625" bestFit="1" customWidth="1"/>
    <col min="61" max="63" width="9" bestFit="1" customWidth="1"/>
    <col min="64" max="64" width="10.5546875" bestFit="1" customWidth="1"/>
    <col min="65" max="65" width="9" bestFit="1" customWidth="1"/>
    <col min="66" max="66" width="10.5546875" bestFit="1" customWidth="1"/>
    <col min="67" max="67" width="9" bestFit="1" customWidth="1"/>
    <col min="68" max="68" width="10.5546875" bestFit="1" customWidth="1"/>
    <col min="69" max="69" width="9.44140625" bestFit="1" customWidth="1"/>
    <col min="70" max="70" width="10.5546875" bestFit="1" customWidth="1"/>
    <col min="71" max="71" width="9.44140625" bestFit="1" customWidth="1"/>
    <col min="72" max="75" width="9" bestFit="1" customWidth="1"/>
    <col min="76" max="76" width="10.5546875" bestFit="1" customWidth="1"/>
    <col min="77" max="83" width="9" bestFit="1" customWidth="1"/>
    <col min="84" max="84" width="10.109375" bestFit="1" customWidth="1"/>
    <col min="85" max="87" width="9" bestFit="1" customWidth="1"/>
    <col min="88" max="88" width="10.109375" bestFit="1" customWidth="1"/>
    <col min="89" max="91" width="9" bestFit="1" customWidth="1"/>
  </cols>
  <sheetData>
    <row r="1" spans="1:92" ht="12.75" customHeight="1" thickBot="1" x14ac:dyDescent="0.35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461" t="s">
        <v>239</v>
      </c>
      <c r="AT1" s="461" t="s">
        <v>240</v>
      </c>
      <c r="AU1" s="461" t="s">
        <v>241</v>
      </c>
      <c r="AV1" s="461" t="s">
        <v>242</v>
      </c>
      <c r="AW1" s="461" t="s">
        <v>243</v>
      </c>
      <c r="AX1" s="461" t="s">
        <v>244</v>
      </c>
      <c r="AY1" s="461" t="s">
        <v>245</v>
      </c>
      <c r="AZ1" s="461" t="s">
        <v>246</v>
      </c>
      <c r="BA1" s="463" t="s">
        <v>247</v>
      </c>
      <c r="BB1" s="464" t="s">
        <v>248</v>
      </c>
      <c r="BC1" s="464" t="s">
        <v>249</v>
      </c>
      <c r="BD1" s="464" t="s">
        <v>250</v>
      </c>
      <c r="BE1" s="464" t="s">
        <v>251</v>
      </c>
      <c r="BF1" s="464" t="s">
        <v>252</v>
      </c>
      <c r="BG1" s="464" t="s">
        <v>253</v>
      </c>
      <c r="BH1" s="464" t="s">
        <v>254</v>
      </c>
      <c r="BI1" s="464" t="s">
        <v>255</v>
      </c>
      <c r="BJ1" s="464" t="s">
        <v>256</v>
      </c>
      <c r="BK1" s="464" t="s">
        <v>257</v>
      </c>
      <c r="BL1" s="465" t="s">
        <v>258</v>
      </c>
      <c r="BM1" s="465" t="s">
        <v>259</v>
      </c>
      <c r="BN1" s="464" t="s">
        <v>260</v>
      </c>
      <c r="BO1" s="464" t="s">
        <v>261</v>
      </c>
      <c r="BP1" s="464" t="s">
        <v>262</v>
      </c>
      <c r="BQ1" s="464" t="s">
        <v>263</v>
      </c>
      <c r="BR1" s="464" t="s">
        <v>264</v>
      </c>
      <c r="BS1" s="464" t="s">
        <v>265</v>
      </c>
      <c r="BT1" s="464" t="s">
        <v>266</v>
      </c>
      <c r="BU1" s="464" t="s">
        <v>267</v>
      </c>
      <c r="BV1" s="464" t="s">
        <v>268</v>
      </c>
      <c r="BW1" s="464" t="s">
        <v>269</v>
      </c>
      <c r="BX1" s="465" t="s">
        <v>270</v>
      </c>
      <c r="BY1" s="465" t="s">
        <v>271</v>
      </c>
      <c r="BZ1" s="464" t="s">
        <v>272</v>
      </c>
      <c r="CA1" s="464" t="s">
        <v>273</v>
      </c>
      <c r="CB1" s="464" t="s">
        <v>274</v>
      </c>
      <c r="CC1" s="464" t="s">
        <v>275</v>
      </c>
      <c r="CD1" s="464" t="s">
        <v>276</v>
      </c>
      <c r="CE1" s="464" t="s">
        <v>277</v>
      </c>
      <c r="CF1" s="464" t="s">
        <v>278</v>
      </c>
      <c r="CG1" s="464" t="s">
        <v>279</v>
      </c>
      <c r="CH1" s="464" t="s">
        <v>280</v>
      </c>
      <c r="CI1" s="464" t="s">
        <v>281</v>
      </c>
      <c r="CJ1" s="465" t="s">
        <v>282</v>
      </c>
      <c r="CK1" s="465" t="s">
        <v>283</v>
      </c>
      <c r="CL1" s="466" t="s">
        <v>284</v>
      </c>
      <c r="CM1" s="466" t="s">
        <v>285</v>
      </c>
      <c r="CN1" s="466" t="s">
        <v>286</v>
      </c>
    </row>
    <row r="2" spans="1:92" ht="15" thickBot="1" x14ac:dyDescent="0.35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163</v>
      </c>
      <c r="F2" s="377" t="s">
        <v>165</v>
      </c>
      <c r="G2" s="376" t="s">
        <v>166</v>
      </c>
      <c r="H2" s="378"/>
      <c r="I2" s="378"/>
      <c r="J2" s="376" t="s">
        <v>167</v>
      </c>
      <c r="K2" s="376" t="s">
        <v>168</v>
      </c>
      <c r="L2" s="376" t="s">
        <v>169</v>
      </c>
      <c r="M2" s="376" t="s">
        <v>170</v>
      </c>
      <c r="N2" s="376" t="s">
        <v>171</v>
      </c>
      <c r="O2" s="379">
        <v>1</v>
      </c>
      <c r="P2" s="460">
        <v>0</v>
      </c>
      <c r="Q2" s="460">
        <v>0</v>
      </c>
      <c r="R2" s="380">
        <v>80</v>
      </c>
      <c r="S2" s="460">
        <v>0</v>
      </c>
      <c r="T2" s="380">
        <v>10594.76</v>
      </c>
      <c r="U2" s="380">
        <v>0</v>
      </c>
      <c r="V2" s="380">
        <v>4037</v>
      </c>
      <c r="W2" s="380">
        <v>0</v>
      </c>
      <c r="X2" s="380">
        <v>0</v>
      </c>
      <c r="Y2" s="380">
        <v>0</v>
      </c>
      <c r="Z2" s="380">
        <v>0</v>
      </c>
      <c r="AA2" s="376" t="s">
        <v>172</v>
      </c>
      <c r="AB2" s="376" t="s">
        <v>173</v>
      </c>
      <c r="AC2" s="376" t="s">
        <v>174</v>
      </c>
      <c r="AD2" s="376" t="s">
        <v>175</v>
      </c>
      <c r="AE2" s="376" t="s">
        <v>168</v>
      </c>
      <c r="AF2" s="376" t="s">
        <v>176</v>
      </c>
      <c r="AG2" s="376" t="s">
        <v>177</v>
      </c>
      <c r="AH2" s="381">
        <v>22.36</v>
      </c>
      <c r="AI2" s="379">
        <v>316</v>
      </c>
      <c r="AJ2" s="376" t="s">
        <v>178</v>
      </c>
      <c r="AK2" s="376" t="s">
        <v>179</v>
      </c>
      <c r="AL2" s="376" t="s">
        <v>180</v>
      </c>
      <c r="AM2" s="376" t="s">
        <v>181</v>
      </c>
      <c r="AN2" s="376" t="s">
        <v>68</v>
      </c>
      <c r="AO2" s="379">
        <v>80</v>
      </c>
      <c r="AP2" s="460">
        <v>1</v>
      </c>
      <c r="AQ2" s="460">
        <v>0</v>
      </c>
      <c r="AR2" s="458" t="s">
        <v>182</v>
      </c>
      <c r="AS2" s="462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462" t="str">
        <f>IF(AT2=0,"",IF(AND(AT2=1,M2="F",SUMIF(C2:C25,C2,AS2:AS25)&lt;=1),SUMIF(C2:C25,C2,AS2:AS25),IF(AND(AT2=1,M2="F",SUMIF(C2:C25,C2,AS2:AS25)&gt;1),1,"")))</f>
        <v/>
      </c>
      <c r="AV2" s="462" t="str">
        <f>IF(AT2=0,"",IF(AND(AT2=3,M2="F",SUMIF(C2:C25,C2,AS2:AS25)&lt;=1),SUMIF(C2:C25,C2,AS2:AS25),IF(AND(AT2=3,M2="F",SUMIF(C2:C25,C2,AS2:AS25)&gt;1),1,"")))</f>
        <v/>
      </c>
      <c r="AW2" s="462">
        <f>SUMIF(C2:C25,C2,O2:O25)</f>
        <v>4</v>
      </c>
      <c r="AX2" s="462">
        <f>IF(AND(M2="F",AS2&lt;&gt;0),SUMIF(C2:C25,C2,W2:W25),0)</f>
        <v>0</v>
      </c>
      <c r="AY2" s="462" t="str">
        <f>IF(AT2=1,W2,"")</f>
        <v/>
      </c>
      <c r="AZ2" s="462" t="str">
        <f>IF(AT2=3,W2,"")</f>
        <v/>
      </c>
      <c r="BA2" s="462">
        <f>IF(AT2=1,Y2-W2,0)</f>
        <v>0</v>
      </c>
      <c r="BB2" s="462">
        <f>IF(AND(AT2=1,AK2="E",AU2&gt;=0.75,AW2=1),Health,IF(AND(AT2=1,AK2="E",AU2&gt;=0.75),Health*P2,IF(AND(AT2=1,AK2="E",AU2&gt;=0.5,AW2=1),PTHealth,IF(AND(AT2=1,AK2="E",AU2&gt;=0.5),PTHealth*P2,0))))</f>
        <v>0</v>
      </c>
      <c r="BC2" s="462">
        <f>IF(AND(AT2=3,AK2="E",AV2&gt;=0.75,AW2=1),Health,IF(AND(AT2=3,AK2="E",AV2&gt;=0.75),Health*P2,IF(AND(AT2=3,AK2="E",AV2&gt;=0.5,AW2=1),PTHealth,IF(AND(AT2=3,AK2="E",AV2&gt;=0.5),PTHealth*P2,0))))</f>
        <v>0</v>
      </c>
      <c r="BD2" s="462">
        <f>IF(AND(AT2&lt;&gt;0,AX2&gt;=MAXSSDI),SSDI*MAXSSDI*P2,IF(AT2&lt;&gt;0,SSDI*W2,0))</f>
        <v>0</v>
      </c>
      <c r="BE2" s="462">
        <f>IF(AT2&lt;&gt;0,SSHI*W2,0)</f>
        <v>0</v>
      </c>
      <c r="BF2" s="462">
        <f>IF(AND(AT2&lt;&gt;0,AN2&lt;&gt;"NE"),VLOOKUP(AN2,Retirement_Rates,3,FALSE)*W2,0)</f>
        <v>0</v>
      </c>
      <c r="BG2" s="462">
        <f>IF(AND(AT2&lt;&gt;0,AJ2&lt;&gt;"PF"),Life*W2,0)</f>
        <v>0</v>
      </c>
      <c r="BH2" s="462">
        <f>IF(AND(AT2&lt;&gt;0,AM2="Y"),UI*W2,0)</f>
        <v>0</v>
      </c>
      <c r="BI2" s="462">
        <f>IF(AND(AT2&lt;&gt;0,N2&lt;&gt;"NR"),DHR*W2,0)</f>
        <v>0</v>
      </c>
      <c r="BJ2" s="462">
        <f>IF(AT2&lt;&gt;0,WC*W2,0)</f>
        <v>0</v>
      </c>
      <c r="BK2" s="462">
        <f>IF(OR(AND(AT2&lt;&gt;0,AJ2&lt;&gt;"PF",AN2&lt;&gt;"NE",AG2&lt;&gt;"A"),AND(AL2="E",OR(AT2=1,AT2=3))),Sick*W2,0)</f>
        <v>0</v>
      </c>
      <c r="BL2" s="462">
        <f>IF(AT2=1,SUM(BD2:BK2),0)</f>
        <v>0</v>
      </c>
      <c r="BM2" s="462">
        <f>IF(AT2=3,SUM(BD2:BK2),0)</f>
        <v>0</v>
      </c>
      <c r="BN2" s="462">
        <f>IF(AND(AT2=1,AK2="E",AU2&gt;=0.75,AW2=1),HealthBY,IF(AND(AT2=1,AK2="E",AU2&gt;=0.75),HealthBY*P2,IF(AND(AT2=1,AK2="E",AU2&gt;=0.5,AW2=1),PTHealthBY,IF(AND(AT2=1,AK2="E",AU2&gt;=0.5),PTHealthBY*P2,0))))</f>
        <v>0</v>
      </c>
      <c r="BO2" s="462">
        <f>IF(AND(AT2=3,AK2="E",AV2&gt;=0.75,AW2=1),HealthBY,IF(AND(AT2=3,AK2="E",AV2&gt;=0.75),HealthBY*P2,IF(AND(AT2=3,AK2="E",AV2&gt;=0.5,AW2=1),PTHealthBY,IF(AND(AT2=3,AK2="E",AV2&gt;=0.5),PTHealthBY*P2,0))))</f>
        <v>0</v>
      </c>
      <c r="BP2" s="462">
        <f>IF(AND(AT2&lt;&gt;0,(AX2+BA2)&gt;=MAXSSDIBY),SSDIBY*MAXSSDIBY*P2,IF(AT2&lt;&gt;0,SSDIBY*W2,0))</f>
        <v>0</v>
      </c>
      <c r="BQ2" s="462">
        <f>IF(AT2&lt;&gt;0,SSHIBY*W2,0)</f>
        <v>0</v>
      </c>
      <c r="BR2" s="462">
        <f>IF(AND(AT2&lt;&gt;0,AN2&lt;&gt;"NE"),VLOOKUP(AN2,Retirement_Rates,4,FALSE)*W2,0)</f>
        <v>0</v>
      </c>
      <c r="BS2" s="462">
        <f>IF(AND(AT2&lt;&gt;0,AJ2&lt;&gt;"PF"),LifeBY*W2,0)</f>
        <v>0</v>
      </c>
      <c r="BT2" s="462">
        <f>IF(AND(AT2&lt;&gt;0,AM2="Y"),UIBY*W2,0)</f>
        <v>0</v>
      </c>
      <c r="BU2" s="462">
        <f>IF(AND(AT2&lt;&gt;0,N2&lt;&gt;"NR"),DHRBY*W2,0)</f>
        <v>0</v>
      </c>
      <c r="BV2" s="462">
        <f>IF(AT2&lt;&gt;0,WCBY*W2,0)</f>
        <v>0</v>
      </c>
      <c r="BW2" s="462">
        <f>IF(OR(AND(AT2&lt;&gt;0,AJ2&lt;&gt;"PF",AN2&lt;&gt;"NE",AG2&lt;&gt;"A"),AND(AL2="E",OR(AT2=1,AT2=3))),SickBY*W2,0)</f>
        <v>0</v>
      </c>
      <c r="BX2" s="462">
        <f>IF(AT2=1,SUM(BP2:BW2),0)</f>
        <v>0</v>
      </c>
      <c r="BY2" s="462">
        <f>IF(AT2=3,SUM(BP2:BW2),0)</f>
        <v>0</v>
      </c>
      <c r="BZ2" s="462">
        <f>IF(AT2=1,BN2-BB2,0)</f>
        <v>0</v>
      </c>
      <c r="CA2" s="462">
        <f>IF(AT2=3,BO2-BC2,0)</f>
        <v>0</v>
      </c>
      <c r="CB2" s="462">
        <f>BP2-BD2</f>
        <v>0</v>
      </c>
      <c r="CC2" s="462">
        <f>IF(AT2&lt;&gt;0,SSHICHG*Y2,0)</f>
        <v>0</v>
      </c>
      <c r="CD2" s="462">
        <f>IF(AND(AT2&lt;&gt;0,AN2&lt;&gt;"NE"),VLOOKUP(AN2,Retirement_Rates,5,FALSE)*Y2,0)</f>
        <v>0</v>
      </c>
      <c r="CE2" s="462">
        <f>IF(AND(AT2&lt;&gt;0,AJ2&lt;&gt;"PF"),LifeCHG*Y2,0)</f>
        <v>0</v>
      </c>
      <c r="CF2" s="462">
        <f>IF(AND(AT2&lt;&gt;0,AM2="Y"),UICHG*Y2,0)</f>
        <v>0</v>
      </c>
      <c r="CG2" s="462">
        <f>IF(AND(AT2&lt;&gt;0,N2&lt;&gt;"NR"),DHRCHG*Y2,0)</f>
        <v>0</v>
      </c>
      <c r="CH2" s="462">
        <f>IF(AT2&lt;&gt;0,WCCHG*Y2,0)</f>
        <v>0</v>
      </c>
      <c r="CI2" s="462">
        <f>IF(OR(AND(AT2&lt;&gt;0,AJ2&lt;&gt;"PF",AN2&lt;&gt;"NE",AG2&lt;&gt;"A"),AND(AL2="E",OR(AT2=1,AT2=3))),SickCHG*Y2,0)</f>
        <v>0</v>
      </c>
      <c r="CJ2" s="462">
        <f>IF(AT2=1,SUM(CB2:CI2),0)</f>
        <v>0</v>
      </c>
      <c r="CK2" s="462" t="str">
        <f>IF(AT2=3,SUM(CB2:CI2),"")</f>
        <v/>
      </c>
      <c r="CL2" s="462" t="str">
        <f>IF(OR(N2="NG",AG2="D"),(T2+U2),"")</f>
        <v/>
      </c>
      <c r="CM2" s="462" t="str">
        <f>IF(OR(N2="NG",AG2="D"),V2,"")</f>
        <v/>
      </c>
      <c r="CN2" s="462" t="str">
        <f>E2 &amp; "-" &amp; F2</f>
        <v>0125-00</v>
      </c>
    </row>
    <row r="3" spans="1:92" ht="15" thickBot="1" x14ac:dyDescent="0.35">
      <c r="A3" s="376" t="s">
        <v>161</v>
      </c>
      <c r="B3" s="376" t="s">
        <v>162</v>
      </c>
      <c r="C3" s="376" t="s">
        <v>183</v>
      </c>
      <c r="D3" s="376" t="s">
        <v>164</v>
      </c>
      <c r="E3" s="376" t="s">
        <v>163</v>
      </c>
      <c r="F3" s="377" t="s">
        <v>165</v>
      </c>
      <c r="G3" s="376" t="s">
        <v>166</v>
      </c>
      <c r="H3" s="378"/>
      <c r="I3" s="378"/>
      <c r="J3" s="376" t="s">
        <v>184</v>
      </c>
      <c r="K3" s="376" t="s">
        <v>168</v>
      </c>
      <c r="L3" s="376" t="s">
        <v>169</v>
      </c>
      <c r="M3" s="376" t="s">
        <v>170</v>
      </c>
      <c r="N3" s="376" t="s">
        <v>171</v>
      </c>
      <c r="O3" s="379">
        <v>1</v>
      </c>
      <c r="P3" s="460">
        <v>0.3</v>
      </c>
      <c r="Q3" s="460">
        <v>0.3</v>
      </c>
      <c r="R3" s="380">
        <v>80</v>
      </c>
      <c r="S3" s="460">
        <v>0.3</v>
      </c>
      <c r="T3" s="380">
        <v>17985.490000000002</v>
      </c>
      <c r="U3" s="380">
        <v>0</v>
      </c>
      <c r="V3" s="380">
        <v>7858.67</v>
      </c>
      <c r="W3" s="380">
        <v>14776.32</v>
      </c>
      <c r="X3" s="380">
        <v>6624.76</v>
      </c>
      <c r="Y3" s="380">
        <v>14776.32</v>
      </c>
      <c r="Z3" s="380">
        <v>6549.4</v>
      </c>
      <c r="AA3" s="376" t="s">
        <v>185</v>
      </c>
      <c r="AB3" s="376" t="s">
        <v>186</v>
      </c>
      <c r="AC3" s="376" t="s">
        <v>187</v>
      </c>
      <c r="AD3" s="376" t="s">
        <v>188</v>
      </c>
      <c r="AE3" s="376" t="s">
        <v>168</v>
      </c>
      <c r="AF3" s="376" t="s">
        <v>176</v>
      </c>
      <c r="AG3" s="376" t="s">
        <v>177</v>
      </c>
      <c r="AH3" s="381">
        <v>23.68</v>
      </c>
      <c r="AI3" s="379">
        <v>7794</v>
      </c>
      <c r="AJ3" s="376" t="s">
        <v>178</v>
      </c>
      <c r="AK3" s="376" t="s">
        <v>179</v>
      </c>
      <c r="AL3" s="376" t="s">
        <v>180</v>
      </c>
      <c r="AM3" s="376" t="s">
        <v>181</v>
      </c>
      <c r="AN3" s="376" t="s">
        <v>68</v>
      </c>
      <c r="AO3" s="379">
        <v>80</v>
      </c>
      <c r="AP3" s="460">
        <v>1</v>
      </c>
      <c r="AQ3" s="460">
        <v>0.3</v>
      </c>
      <c r="AR3" s="458" t="s">
        <v>182</v>
      </c>
      <c r="AS3" s="462">
        <f t="shared" ref="AS3:AS25" si="0">IF(((AO3/80)*AP3*P3)&gt;1,AQ3,((AO3/80)*AP3*P3))</f>
        <v>0.3</v>
      </c>
      <c r="AT3">
        <f t="shared" ref="AT3:AT25" si="1">IF(AND(M3="F",N3&lt;&gt;"NG",AS3&lt;&gt;0,AND(AR3&lt;&gt;6,AR3&lt;&gt;36,AR3&lt;&gt;56),AG3&lt;&gt;"A",OR(AG3="H",AJ3="FS")),1,IF(AND(M3="F",N3&lt;&gt;"NG",AS3&lt;&gt;0,AG3="A"),3,0))</f>
        <v>1</v>
      </c>
      <c r="AU3" s="462">
        <f>IF(AT3=0,"",IF(AND(AT3=1,M3="F",SUMIF(C2:C25,C3,AS2:AS25)&lt;=1),SUMIF(C2:C25,C3,AS2:AS25),IF(AND(AT3=1,M3="F",SUMIF(C2:C25,C3,AS2:AS25)&gt;1),1,"")))</f>
        <v>1</v>
      </c>
      <c r="AV3" s="462" t="str">
        <f>IF(AT3=0,"",IF(AND(AT3=3,M3="F",SUMIF(C2:C25,C3,AS2:AS25)&lt;=1),SUMIF(C2:C25,C3,AS2:AS25),IF(AND(AT3=3,M3="F",SUMIF(C2:C25,C3,AS2:AS25)&gt;1),1,"")))</f>
        <v/>
      </c>
      <c r="AW3" s="462">
        <f>SUMIF(C2:C25,C3,O2:O25)</f>
        <v>3</v>
      </c>
      <c r="AX3" s="462">
        <f>IF(AND(M3="F",AS3&lt;&gt;0),SUMIF(C2:C25,C3,W2:W25),0)</f>
        <v>49254.400000000001</v>
      </c>
      <c r="AY3" s="462">
        <f t="shared" ref="AY3:AY25" si="2">IF(AT3=1,W3,"")</f>
        <v>14776.32</v>
      </c>
      <c r="AZ3" s="462" t="str">
        <f t="shared" ref="AZ3:AZ25" si="3">IF(AT3=3,W3,"")</f>
        <v/>
      </c>
      <c r="BA3" s="462">
        <f t="shared" ref="BA3:BA25" si="4">IF(AT3=1,Y3-W3,0)</f>
        <v>0</v>
      </c>
      <c r="BB3" s="462">
        <f>IF(AND(AT3=1,AK3="E",AU3&gt;=0.75,AW3=1),Health,IF(AND(AT3=1,AK3="E",AU3&gt;=0.75),Health*P3,IF(AND(AT3=1,AK3="E",AU3&gt;=0.5,AW3=1),PTHealth,IF(AND(AT3=1,AK3="E",AU3&gt;=0.5),PTHealth*P3,0))))</f>
        <v>3495</v>
      </c>
      <c r="BC3" s="462">
        <f>IF(AND(AT3=3,AK3="E",AV3&gt;=0.75,AW3=1),Health,IF(AND(AT3=3,AK3="E",AV3&gt;=0.75),Health*P3,IF(AND(AT3=3,AK3="E",AV3&gt;=0.5,AW3=1),PTHealth,IF(AND(AT3=3,AK3="E",AV3&gt;=0.5),PTHealth*P3,0))))</f>
        <v>0</v>
      </c>
      <c r="BD3" s="462">
        <f>IF(AND(AT3&lt;&gt;0,AX3&gt;=MAXSSDI),SSDI*MAXSSDI*P3,IF(AT3&lt;&gt;0,SSDI*W3,0))</f>
        <v>916.13184000000001</v>
      </c>
      <c r="BE3" s="462">
        <f>IF(AT3&lt;&gt;0,SSHI*W3,0)</f>
        <v>214.25664</v>
      </c>
      <c r="BF3" s="462">
        <f>IF(AND(AT3&lt;&gt;0,AN3&lt;&gt;"NE"),VLOOKUP(AN3,Retirement_Rates,3,FALSE)*W3,0)</f>
        <v>1764.292608</v>
      </c>
      <c r="BG3" s="462">
        <f>IF(AND(AT3&lt;&gt;0,AJ3&lt;&gt;"PF"),Life*W3,0)</f>
        <v>106.5372672</v>
      </c>
      <c r="BH3" s="462">
        <f>IF(AND(AT3&lt;&gt;0,AM3="Y"),UI*W3,0)</f>
        <v>72.403967999999992</v>
      </c>
      <c r="BI3" s="462">
        <f>IF(AND(AT3&lt;&gt;0,N3&lt;&gt;"NR"),DHR*W3,0)</f>
        <v>0</v>
      </c>
      <c r="BJ3" s="462">
        <f>IF(AT3&lt;&gt;0,WC*W3,0)</f>
        <v>56.150016000000001</v>
      </c>
      <c r="BK3" s="462">
        <f>IF(OR(AND(AT3&lt;&gt;0,AJ3&lt;&gt;"PF",AN3&lt;&gt;"NE",AG3&lt;&gt;"A"),AND(AL3="E",OR(AT3=1,AT3=3))),Sick*W3,0)</f>
        <v>0</v>
      </c>
      <c r="BL3" s="462">
        <f t="shared" ref="BL3:BL25" si="5">IF(AT3=1,SUM(BD3:BK3),0)</f>
        <v>3129.7723392000003</v>
      </c>
      <c r="BM3" s="462">
        <f t="shared" ref="BM3:BM25" si="6">IF(AT3=3,SUM(BD3:BK3),0)</f>
        <v>0</v>
      </c>
      <c r="BN3" s="462">
        <f>IF(AND(AT3=1,AK3="E",AU3&gt;=0.75,AW3=1),HealthBY,IF(AND(AT3=1,AK3="E",AU3&gt;=0.75),HealthBY*P3,IF(AND(AT3=1,AK3="E",AU3&gt;=0.5,AW3=1),PTHealthBY,IF(AND(AT3=1,AK3="E",AU3&gt;=0.5),PTHealthBY*P3,0))))</f>
        <v>3495</v>
      </c>
      <c r="BO3" s="462">
        <f>IF(AND(AT3=3,AK3="E",AV3&gt;=0.75,AW3=1),HealthBY,IF(AND(AT3=3,AK3="E",AV3&gt;=0.75),HealthBY*P3,IF(AND(AT3=3,AK3="E",AV3&gt;=0.5,AW3=1),PTHealthBY,IF(AND(AT3=3,AK3="E",AV3&gt;=0.5),PTHealthBY*P3,0))))</f>
        <v>0</v>
      </c>
      <c r="BP3" s="462">
        <f>IF(AND(AT3&lt;&gt;0,(AX3+BA3)&gt;=MAXSSDIBY),SSDIBY*MAXSSDIBY*P3,IF(AT3&lt;&gt;0,SSDIBY*W3,0))</f>
        <v>916.13184000000001</v>
      </c>
      <c r="BQ3" s="462">
        <f>IF(AT3&lt;&gt;0,SSHIBY*W3,0)</f>
        <v>214.25664</v>
      </c>
      <c r="BR3" s="462">
        <f>IF(AND(AT3&lt;&gt;0,AN3&lt;&gt;"NE"),VLOOKUP(AN3,Retirement_Rates,4,FALSE)*W3,0)</f>
        <v>1764.292608</v>
      </c>
      <c r="BS3" s="462">
        <f>IF(AND(AT3&lt;&gt;0,AJ3&lt;&gt;"PF"),LifeBY*W3,0)</f>
        <v>106.5372672</v>
      </c>
      <c r="BT3" s="462">
        <f>IF(AND(AT3&lt;&gt;0,AM3="Y"),UIBY*W3,0)</f>
        <v>0</v>
      </c>
      <c r="BU3" s="462">
        <f>IF(AND(AT3&lt;&gt;0,N3&lt;&gt;"NR"),DHRBY*W3,0)</f>
        <v>0</v>
      </c>
      <c r="BV3" s="462">
        <f>IF(AT3&lt;&gt;0,WCBY*W3,0)</f>
        <v>53.194751999999994</v>
      </c>
      <c r="BW3" s="462">
        <f>IF(OR(AND(AT3&lt;&gt;0,AJ3&lt;&gt;"PF",AN3&lt;&gt;"NE",AG3&lt;&gt;"A"),AND(AL3="E",OR(AT3=1,AT3=3))),SickBY*W3,0)</f>
        <v>0</v>
      </c>
      <c r="BX3" s="462">
        <f t="shared" ref="BX3:BX25" si="7">IF(AT3=1,SUM(BP3:BW3),0)</f>
        <v>3054.4131072</v>
      </c>
      <c r="BY3" s="462">
        <f t="shared" ref="BY3:BY25" si="8">IF(AT3=3,SUM(BP3:BW3),0)</f>
        <v>0</v>
      </c>
      <c r="BZ3" s="462">
        <f t="shared" ref="BZ3:BZ25" si="9">IF(AT3=1,BN3-BB3,0)</f>
        <v>0</v>
      </c>
      <c r="CA3" s="462">
        <f t="shared" ref="CA3:CA25" si="10">IF(AT3=3,BO3-BC3,0)</f>
        <v>0</v>
      </c>
      <c r="CB3" s="462">
        <f t="shared" ref="CB3:CB25" si="11">BP3-BD3</f>
        <v>0</v>
      </c>
      <c r="CC3" s="462">
        <f>IF(AT3&lt;&gt;0,SSHICHG*Y3,0)</f>
        <v>0</v>
      </c>
      <c r="CD3" s="462">
        <f>IF(AND(AT3&lt;&gt;0,AN3&lt;&gt;"NE"),VLOOKUP(AN3,Retirement_Rates,5,FALSE)*Y3,0)</f>
        <v>0</v>
      </c>
      <c r="CE3" s="462">
        <f>IF(AND(AT3&lt;&gt;0,AJ3&lt;&gt;"PF"),LifeCHG*Y3,0)</f>
        <v>0</v>
      </c>
      <c r="CF3" s="462">
        <f>IF(AND(AT3&lt;&gt;0,AM3="Y"),UICHG*Y3,0)</f>
        <v>-72.403967999999992</v>
      </c>
      <c r="CG3" s="462">
        <f>IF(AND(AT3&lt;&gt;0,N3&lt;&gt;"NR"),DHRCHG*Y3,0)</f>
        <v>0</v>
      </c>
      <c r="CH3" s="462">
        <f>IF(AT3&lt;&gt;0,WCCHG*Y3,0)</f>
        <v>-2.9552640000000014</v>
      </c>
      <c r="CI3" s="462">
        <f>IF(OR(AND(AT3&lt;&gt;0,AJ3&lt;&gt;"PF",AN3&lt;&gt;"NE",AG3&lt;&gt;"A"),AND(AL3="E",OR(AT3=1,AT3=3))),SickCHG*Y3,0)</f>
        <v>0</v>
      </c>
      <c r="CJ3" s="462">
        <f t="shared" ref="CJ3:CJ25" si="12">IF(AT3=1,SUM(CB3:CI3),0)</f>
        <v>-75.359231999999992</v>
      </c>
      <c r="CK3" s="462" t="str">
        <f t="shared" ref="CK3:CK25" si="13">IF(AT3=3,SUM(CB3:CI3),"")</f>
        <v/>
      </c>
      <c r="CL3" s="462" t="str">
        <f t="shared" ref="CL3:CL25" si="14">IF(OR(N3="NG",AG3="D"),(T3+U3),"")</f>
        <v/>
      </c>
      <c r="CM3" s="462" t="str">
        <f t="shared" ref="CM3:CM25" si="15">IF(OR(N3="NG",AG3="D"),V3,"")</f>
        <v/>
      </c>
      <c r="CN3" s="462" t="str">
        <f t="shared" ref="CN3:CN25" si="16">E3 &amp; "-" &amp; F3</f>
        <v>0125-00</v>
      </c>
    </row>
    <row r="4" spans="1:92" ht="15" thickBot="1" x14ac:dyDescent="0.35">
      <c r="A4" s="376" t="s">
        <v>161</v>
      </c>
      <c r="B4" s="376" t="s">
        <v>162</v>
      </c>
      <c r="C4" s="376" t="s">
        <v>189</v>
      </c>
      <c r="D4" s="376" t="s">
        <v>164</v>
      </c>
      <c r="E4" s="376" t="s">
        <v>163</v>
      </c>
      <c r="F4" s="377" t="s">
        <v>165</v>
      </c>
      <c r="G4" s="376" t="s">
        <v>166</v>
      </c>
      <c r="H4" s="378"/>
      <c r="I4" s="378"/>
      <c r="J4" s="376" t="s">
        <v>184</v>
      </c>
      <c r="K4" s="376" t="s">
        <v>168</v>
      </c>
      <c r="L4" s="376" t="s">
        <v>169</v>
      </c>
      <c r="M4" s="376" t="s">
        <v>170</v>
      </c>
      <c r="N4" s="376" t="s">
        <v>171</v>
      </c>
      <c r="O4" s="379">
        <v>1</v>
      </c>
      <c r="P4" s="460">
        <v>0</v>
      </c>
      <c r="Q4" s="460">
        <v>0</v>
      </c>
      <c r="R4" s="380">
        <v>80</v>
      </c>
      <c r="S4" s="460">
        <v>0</v>
      </c>
      <c r="T4" s="380">
        <v>1795.05</v>
      </c>
      <c r="U4" s="380">
        <v>0</v>
      </c>
      <c r="V4" s="380">
        <v>714.55</v>
      </c>
      <c r="W4" s="380">
        <v>0</v>
      </c>
      <c r="X4" s="380">
        <v>0</v>
      </c>
      <c r="Y4" s="380">
        <v>0</v>
      </c>
      <c r="Z4" s="380">
        <v>0</v>
      </c>
      <c r="AA4" s="376" t="s">
        <v>190</v>
      </c>
      <c r="AB4" s="376" t="s">
        <v>191</v>
      </c>
      <c r="AC4" s="376" t="s">
        <v>192</v>
      </c>
      <c r="AD4" s="376" t="s">
        <v>193</v>
      </c>
      <c r="AE4" s="376" t="s">
        <v>168</v>
      </c>
      <c r="AF4" s="376" t="s">
        <v>176</v>
      </c>
      <c r="AG4" s="376" t="s">
        <v>177</v>
      </c>
      <c r="AH4" s="379">
        <v>25</v>
      </c>
      <c r="AI4" s="381">
        <v>6486.5</v>
      </c>
      <c r="AJ4" s="376" t="s">
        <v>178</v>
      </c>
      <c r="AK4" s="376" t="s">
        <v>179</v>
      </c>
      <c r="AL4" s="376" t="s">
        <v>180</v>
      </c>
      <c r="AM4" s="376" t="s">
        <v>181</v>
      </c>
      <c r="AN4" s="376" t="s">
        <v>68</v>
      </c>
      <c r="AO4" s="379">
        <v>80</v>
      </c>
      <c r="AP4" s="460">
        <v>1</v>
      </c>
      <c r="AQ4" s="460">
        <v>0</v>
      </c>
      <c r="AR4" s="458" t="s">
        <v>182</v>
      </c>
      <c r="AS4" s="462">
        <f t="shared" si="0"/>
        <v>0</v>
      </c>
      <c r="AT4">
        <f t="shared" si="1"/>
        <v>0</v>
      </c>
      <c r="AU4" s="462" t="str">
        <f>IF(AT4=0,"",IF(AND(AT4=1,M4="F",SUMIF(C2:C25,C4,AS2:AS25)&lt;=1),SUMIF(C2:C25,C4,AS2:AS25),IF(AND(AT4=1,M4="F",SUMIF(C2:C25,C4,AS2:AS25)&gt;1),1,"")))</f>
        <v/>
      </c>
      <c r="AV4" s="462" t="str">
        <f>IF(AT4=0,"",IF(AND(AT4=3,M4="F",SUMIF(C2:C25,C4,AS2:AS25)&lt;=1),SUMIF(C2:C25,C4,AS2:AS25),IF(AND(AT4=3,M4="F",SUMIF(C2:C25,C4,AS2:AS25)&gt;1),1,"")))</f>
        <v/>
      </c>
      <c r="AW4" s="462">
        <f>SUMIF(C2:C25,C4,O2:O25)</f>
        <v>3</v>
      </c>
      <c r="AX4" s="462">
        <f>IF(AND(M4="F",AS4&lt;&gt;0),SUMIF(C2:C25,C4,W2:W25),0)</f>
        <v>0</v>
      </c>
      <c r="AY4" s="462" t="str">
        <f t="shared" si="2"/>
        <v/>
      </c>
      <c r="AZ4" s="462" t="str">
        <f t="shared" si="3"/>
        <v/>
      </c>
      <c r="BA4" s="462">
        <f t="shared" si="4"/>
        <v>0</v>
      </c>
      <c r="BB4" s="462">
        <f>IF(AND(AT4=1,AK4="E",AU4&gt;=0.75,AW4=1),Health,IF(AND(AT4=1,AK4="E",AU4&gt;=0.75),Health*P4,IF(AND(AT4=1,AK4="E",AU4&gt;=0.5,AW4=1),PTHealth,IF(AND(AT4=1,AK4="E",AU4&gt;=0.5),PTHealth*P4,0))))</f>
        <v>0</v>
      </c>
      <c r="BC4" s="462">
        <f>IF(AND(AT4=3,AK4="E",AV4&gt;=0.75,AW4=1),Health,IF(AND(AT4=3,AK4="E",AV4&gt;=0.75),Health*P4,IF(AND(AT4=3,AK4="E",AV4&gt;=0.5,AW4=1),PTHealth,IF(AND(AT4=3,AK4="E",AV4&gt;=0.5),PTHealth*P4,0))))</f>
        <v>0</v>
      </c>
      <c r="BD4" s="462">
        <f>IF(AND(AT4&lt;&gt;0,AX4&gt;=MAXSSDI),SSDI*MAXSSDI*P4,IF(AT4&lt;&gt;0,SSDI*W4,0))</f>
        <v>0</v>
      </c>
      <c r="BE4" s="462">
        <f>IF(AT4&lt;&gt;0,SSHI*W4,0)</f>
        <v>0</v>
      </c>
      <c r="BF4" s="462">
        <f>IF(AND(AT4&lt;&gt;0,AN4&lt;&gt;"NE"),VLOOKUP(AN4,Retirement_Rates,3,FALSE)*W4,0)</f>
        <v>0</v>
      </c>
      <c r="BG4" s="462">
        <f>IF(AND(AT4&lt;&gt;0,AJ4&lt;&gt;"PF"),Life*W4,0)</f>
        <v>0</v>
      </c>
      <c r="BH4" s="462">
        <f>IF(AND(AT4&lt;&gt;0,AM4="Y"),UI*W4,0)</f>
        <v>0</v>
      </c>
      <c r="BI4" s="462">
        <f>IF(AND(AT4&lt;&gt;0,N4&lt;&gt;"NR"),DHR*W4,0)</f>
        <v>0</v>
      </c>
      <c r="BJ4" s="462">
        <f>IF(AT4&lt;&gt;0,WC*W4,0)</f>
        <v>0</v>
      </c>
      <c r="BK4" s="462">
        <f>IF(OR(AND(AT4&lt;&gt;0,AJ4&lt;&gt;"PF",AN4&lt;&gt;"NE",AG4&lt;&gt;"A"),AND(AL4="E",OR(AT4=1,AT4=3))),Sick*W4,0)</f>
        <v>0</v>
      </c>
      <c r="BL4" s="462">
        <f t="shared" si="5"/>
        <v>0</v>
      </c>
      <c r="BM4" s="462">
        <f t="shared" si="6"/>
        <v>0</v>
      </c>
      <c r="BN4" s="462">
        <f>IF(AND(AT4=1,AK4="E",AU4&gt;=0.75,AW4=1),HealthBY,IF(AND(AT4=1,AK4="E",AU4&gt;=0.75),HealthBY*P4,IF(AND(AT4=1,AK4="E",AU4&gt;=0.5,AW4=1),PTHealthBY,IF(AND(AT4=1,AK4="E",AU4&gt;=0.5),PTHealthBY*P4,0))))</f>
        <v>0</v>
      </c>
      <c r="BO4" s="462">
        <f>IF(AND(AT4=3,AK4="E",AV4&gt;=0.75,AW4=1),HealthBY,IF(AND(AT4=3,AK4="E",AV4&gt;=0.75),HealthBY*P4,IF(AND(AT4=3,AK4="E",AV4&gt;=0.5,AW4=1),PTHealthBY,IF(AND(AT4=3,AK4="E",AV4&gt;=0.5),PTHealthBY*P4,0))))</f>
        <v>0</v>
      </c>
      <c r="BP4" s="462">
        <f>IF(AND(AT4&lt;&gt;0,(AX4+BA4)&gt;=MAXSSDIBY),SSDIBY*MAXSSDIBY*P4,IF(AT4&lt;&gt;0,SSDIBY*W4,0))</f>
        <v>0</v>
      </c>
      <c r="BQ4" s="462">
        <f>IF(AT4&lt;&gt;0,SSHIBY*W4,0)</f>
        <v>0</v>
      </c>
      <c r="BR4" s="462">
        <f>IF(AND(AT4&lt;&gt;0,AN4&lt;&gt;"NE"),VLOOKUP(AN4,Retirement_Rates,4,FALSE)*W4,0)</f>
        <v>0</v>
      </c>
      <c r="BS4" s="462">
        <f>IF(AND(AT4&lt;&gt;0,AJ4&lt;&gt;"PF"),LifeBY*W4,0)</f>
        <v>0</v>
      </c>
      <c r="BT4" s="462">
        <f>IF(AND(AT4&lt;&gt;0,AM4="Y"),UIBY*W4,0)</f>
        <v>0</v>
      </c>
      <c r="BU4" s="462">
        <f>IF(AND(AT4&lt;&gt;0,N4&lt;&gt;"NR"),DHRBY*W4,0)</f>
        <v>0</v>
      </c>
      <c r="BV4" s="462">
        <f>IF(AT4&lt;&gt;0,WCBY*W4,0)</f>
        <v>0</v>
      </c>
      <c r="BW4" s="462">
        <f>IF(OR(AND(AT4&lt;&gt;0,AJ4&lt;&gt;"PF",AN4&lt;&gt;"NE",AG4&lt;&gt;"A"),AND(AL4="E",OR(AT4=1,AT4=3))),SickBY*W4,0)</f>
        <v>0</v>
      </c>
      <c r="BX4" s="462">
        <f t="shared" si="7"/>
        <v>0</v>
      </c>
      <c r="BY4" s="462">
        <f t="shared" si="8"/>
        <v>0</v>
      </c>
      <c r="BZ4" s="462">
        <f t="shared" si="9"/>
        <v>0</v>
      </c>
      <c r="CA4" s="462">
        <f t="shared" si="10"/>
        <v>0</v>
      </c>
      <c r="CB4" s="462">
        <f t="shared" si="11"/>
        <v>0</v>
      </c>
      <c r="CC4" s="462">
        <f>IF(AT4&lt;&gt;0,SSHICHG*Y4,0)</f>
        <v>0</v>
      </c>
      <c r="CD4" s="462">
        <f>IF(AND(AT4&lt;&gt;0,AN4&lt;&gt;"NE"),VLOOKUP(AN4,Retirement_Rates,5,FALSE)*Y4,0)</f>
        <v>0</v>
      </c>
      <c r="CE4" s="462">
        <f>IF(AND(AT4&lt;&gt;0,AJ4&lt;&gt;"PF"),LifeCHG*Y4,0)</f>
        <v>0</v>
      </c>
      <c r="CF4" s="462">
        <f>IF(AND(AT4&lt;&gt;0,AM4="Y"),UICHG*Y4,0)</f>
        <v>0</v>
      </c>
      <c r="CG4" s="462">
        <f>IF(AND(AT4&lt;&gt;0,N4&lt;&gt;"NR"),DHRCHG*Y4,0)</f>
        <v>0</v>
      </c>
      <c r="CH4" s="462">
        <f>IF(AT4&lt;&gt;0,WCCHG*Y4,0)</f>
        <v>0</v>
      </c>
      <c r="CI4" s="462">
        <f>IF(OR(AND(AT4&lt;&gt;0,AJ4&lt;&gt;"PF",AN4&lt;&gt;"NE",AG4&lt;&gt;"A"),AND(AL4="E",OR(AT4=1,AT4=3))),SickCHG*Y4,0)</f>
        <v>0</v>
      </c>
      <c r="CJ4" s="462">
        <f t="shared" si="12"/>
        <v>0</v>
      </c>
      <c r="CK4" s="462" t="str">
        <f t="shared" si="13"/>
        <v/>
      </c>
      <c r="CL4" s="462" t="str">
        <f t="shared" si="14"/>
        <v/>
      </c>
      <c r="CM4" s="462" t="str">
        <f t="shared" si="15"/>
        <v/>
      </c>
      <c r="CN4" s="462" t="str">
        <f t="shared" si="16"/>
        <v>0125-00</v>
      </c>
    </row>
    <row r="5" spans="1:92" ht="15" thickBot="1" x14ac:dyDescent="0.35">
      <c r="A5" s="376" t="s">
        <v>161</v>
      </c>
      <c r="B5" s="376" t="s">
        <v>162</v>
      </c>
      <c r="C5" s="376" t="s">
        <v>194</v>
      </c>
      <c r="D5" s="376" t="s">
        <v>195</v>
      </c>
      <c r="E5" s="376" t="s">
        <v>163</v>
      </c>
      <c r="F5" s="377" t="s">
        <v>165</v>
      </c>
      <c r="G5" s="376" t="s">
        <v>166</v>
      </c>
      <c r="H5" s="378"/>
      <c r="I5" s="378"/>
      <c r="J5" s="376" t="s">
        <v>167</v>
      </c>
      <c r="K5" s="376" t="s">
        <v>196</v>
      </c>
      <c r="L5" s="376" t="s">
        <v>165</v>
      </c>
      <c r="M5" s="376" t="s">
        <v>170</v>
      </c>
      <c r="N5" s="376" t="s">
        <v>171</v>
      </c>
      <c r="O5" s="379">
        <v>1</v>
      </c>
      <c r="P5" s="460">
        <v>0.3</v>
      </c>
      <c r="Q5" s="460">
        <v>0.3</v>
      </c>
      <c r="R5" s="380">
        <v>80</v>
      </c>
      <c r="S5" s="460">
        <v>0.3</v>
      </c>
      <c r="T5" s="380">
        <v>37392</v>
      </c>
      <c r="U5" s="380">
        <v>0</v>
      </c>
      <c r="V5" s="380">
        <v>11346.18</v>
      </c>
      <c r="W5" s="380">
        <v>32235.84</v>
      </c>
      <c r="X5" s="380">
        <v>10164.91</v>
      </c>
      <c r="Y5" s="380">
        <v>32235.84</v>
      </c>
      <c r="Z5" s="380">
        <v>10158.459999999999</v>
      </c>
      <c r="AA5" s="376" t="s">
        <v>197</v>
      </c>
      <c r="AB5" s="376" t="s">
        <v>198</v>
      </c>
      <c r="AC5" s="376" t="s">
        <v>199</v>
      </c>
      <c r="AD5" s="376" t="s">
        <v>200</v>
      </c>
      <c r="AE5" s="376" t="s">
        <v>196</v>
      </c>
      <c r="AF5" s="376" t="s">
        <v>176</v>
      </c>
      <c r="AG5" s="376" t="s">
        <v>177</v>
      </c>
      <c r="AH5" s="381">
        <v>51.66</v>
      </c>
      <c r="AI5" s="381">
        <v>54579.5</v>
      </c>
      <c r="AJ5" s="376" t="s">
        <v>178</v>
      </c>
      <c r="AK5" s="376" t="s">
        <v>179</v>
      </c>
      <c r="AL5" s="376" t="s">
        <v>180</v>
      </c>
      <c r="AM5" s="376" t="s">
        <v>180</v>
      </c>
      <c r="AN5" s="376" t="s">
        <v>68</v>
      </c>
      <c r="AO5" s="379">
        <v>80</v>
      </c>
      <c r="AP5" s="460">
        <v>1</v>
      </c>
      <c r="AQ5" s="460">
        <v>0.3</v>
      </c>
      <c r="AR5" s="458" t="s">
        <v>182</v>
      </c>
      <c r="AS5" s="462">
        <f t="shared" si="0"/>
        <v>0.3</v>
      </c>
      <c r="AT5">
        <f t="shared" si="1"/>
        <v>1</v>
      </c>
      <c r="AU5" s="462">
        <f>IF(AT5=0,"",IF(AND(AT5=1,M5="F",SUMIF(C2:C25,C5,AS2:AS25)&lt;=1),SUMIF(C2:C25,C5,AS2:AS25),IF(AND(AT5=1,M5="F",SUMIF(C2:C25,C5,AS2:AS25)&gt;1),1,"")))</f>
        <v>1</v>
      </c>
      <c r="AV5" s="462" t="str">
        <f>IF(AT5=0,"",IF(AND(AT5=3,M5="F",SUMIF(C2:C25,C5,AS2:AS25)&lt;=1),SUMIF(C2:C25,C5,AS2:AS25),IF(AND(AT5=3,M5="F",SUMIF(C2:C25,C5,AS2:AS25)&gt;1),1,"")))</f>
        <v/>
      </c>
      <c r="AW5" s="462">
        <f>SUMIF(C2:C25,C5,O2:O25)</f>
        <v>4</v>
      </c>
      <c r="AX5" s="462">
        <f>IF(AND(M5="F",AS5&lt;&gt;0),SUMIF(C2:C25,C5,W2:W25),0)</f>
        <v>107452.8</v>
      </c>
      <c r="AY5" s="462">
        <f t="shared" si="2"/>
        <v>32235.84</v>
      </c>
      <c r="AZ5" s="462" t="str">
        <f t="shared" si="3"/>
        <v/>
      </c>
      <c r="BA5" s="462">
        <f t="shared" si="4"/>
        <v>0</v>
      </c>
      <c r="BB5" s="462">
        <f>IF(AND(AT5=1,AK5="E",AU5&gt;=0.75,AW5=1),Health,IF(AND(AT5=1,AK5="E",AU5&gt;=0.75),Health*P5,IF(AND(AT5=1,AK5="E",AU5&gt;=0.5,AW5=1),PTHealth,IF(AND(AT5=1,AK5="E",AU5&gt;=0.5),PTHealth*P5,0))))</f>
        <v>3495</v>
      </c>
      <c r="BC5" s="462">
        <f>IF(AND(AT5=3,AK5="E",AV5&gt;=0.75,AW5=1),Health,IF(AND(AT5=3,AK5="E",AV5&gt;=0.75),Health*P5,IF(AND(AT5=3,AK5="E",AV5&gt;=0.5,AW5=1),PTHealth,IF(AND(AT5=3,AK5="E",AV5&gt;=0.5),PTHealth*P5,0))))</f>
        <v>0</v>
      </c>
      <c r="BD5" s="462">
        <f>IF(AND(AT5&lt;&gt;0,AX5&gt;=MAXSSDI),SSDI*MAXSSDI*P5,IF(AT5&lt;&gt;0,SSDI*W5,0))</f>
        <v>1998.6220800000001</v>
      </c>
      <c r="BE5" s="462">
        <f>IF(AT5&lt;&gt;0,SSHI*W5,0)</f>
        <v>467.41968000000003</v>
      </c>
      <c r="BF5" s="462">
        <f>IF(AND(AT5&lt;&gt;0,AN5&lt;&gt;"NE"),VLOOKUP(AN5,Retirement_Rates,3,FALSE)*W5,0)</f>
        <v>3848.959296</v>
      </c>
      <c r="BG5" s="462">
        <f>IF(AND(AT5&lt;&gt;0,AJ5&lt;&gt;"PF"),Life*W5,0)</f>
        <v>232.42040640000002</v>
      </c>
      <c r="BH5" s="462">
        <f>IF(AND(AT5&lt;&gt;0,AM5="Y"),UI*W5,0)</f>
        <v>0</v>
      </c>
      <c r="BI5" s="462">
        <f>IF(AND(AT5&lt;&gt;0,N5&lt;&gt;"NR"),DHR*W5,0)</f>
        <v>0</v>
      </c>
      <c r="BJ5" s="462">
        <f>IF(AT5&lt;&gt;0,WC*W5,0)</f>
        <v>122.49619199999999</v>
      </c>
      <c r="BK5" s="462">
        <f>IF(OR(AND(AT5&lt;&gt;0,AJ5&lt;&gt;"PF",AN5&lt;&gt;"NE",AG5&lt;&gt;"A"),AND(AL5="E",OR(AT5=1,AT5=3))),Sick*W5,0)</f>
        <v>0</v>
      </c>
      <c r="BL5" s="462">
        <f t="shared" si="5"/>
        <v>6669.9176543999993</v>
      </c>
      <c r="BM5" s="462">
        <f t="shared" si="6"/>
        <v>0</v>
      </c>
      <c r="BN5" s="462">
        <f>IF(AND(AT5=1,AK5="E",AU5&gt;=0.75,AW5=1),HealthBY,IF(AND(AT5=1,AK5="E",AU5&gt;=0.75),HealthBY*P5,IF(AND(AT5=1,AK5="E",AU5&gt;=0.5,AW5=1),PTHealthBY,IF(AND(AT5=1,AK5="E",AU5&gt;=0.5),PTHealthBY*P5,0))))</f>
        <v>3495</v>
      </c>
      <c r="BO5" s="462">
        <f>IF(AND(AT5=3,AK5="E",AV5&gt;=0.75,AW5=1),HealthBY,IF(AND(AT5=3,AK5="E",AV5&gt;=0.75),HealthBY*P5,IF(AND(AT5=3,AK5="E",AV5&gt;=0.5,AW5=1),PTHealthBY,IF(AND(AT5=3,AK5="E",AV5&gt;=0.5),PTHealthBY*P5,0))))</f>
        <v>0</v>
      </c>
      <c r="BP5" s="462">
        <f>IF(AND(AT5&lt;&gt;0,(AX5+BA5)&gt;=MAXSSDIBY),SSDIBY*MAXSSDIBY*P5,IF(AT5&lt;&gt;0,SSDIBY*W5,0))</f>
        <v>1998.6220800000001</v>
      </c>
      <c r="BQ5" s="462">
        <f>IF(AT5&lt;&gt;0,SSHIBY*W5,0)</f>
        <v>467.41968000000003</v>
      </c>
      <c r="BR5" s="462">
        <f>IF(AND(AT5&lt;&gt;0,AN5&lt;&gt;"NE"),VLOOKUP(AN5,Retirement_Rates,4,FALSE)*W5,0)</f>
        <v>3848.959296</v>
      </c>
      <c r="BS5" s="462">
        <f>IF(AND(AT5&lt;&gt;0,AJ5&lt;&gt;"PF"),LifeBY*W5,0)</f>
        <v>232.42040640000002</v>
      </c>
      <c r="BT5" s="462">
        <f>IF(AND(AT5&lt;&gt;0,AM5="Y"),UIBY*W5,0)</f>
        <v>0</v>
      </c>
      <c r="BU5" s="462">
        <f>IF(AND(AT5&lt;&gt;0,N5&lt;&gt;"NR"),DHRBY*W5,0)</f>
        <v>0</v>
      </c>
      <c r="BV5" s="462">
        <f>IF(AT5&lt;&gt;0,WCBY*W5,0)</f>
        <v>116.049024</v>
      </c>
      <c r="BW5" s="462">
        <f>IF(OR(AND(AT5&lt;&gt;0,AJ5&lt;&gt;"PF",AN5&lt;&gt;"NE",AG5&lt;&gt;"A"),AND(AL5="E",OR(AT5=1,AT5=3))),SickBY*W5,0)</f>
        <v>0</v>
      </c>
      <c r="BX5" s="462">
        <f t="shared" si="7"/>
        <v>6663.4704863999996</v>
      </c>
      <c r="BY5" s="462">
        <f t="shared" si="8"/>
        <v>0</v>
      </c>
      <c r="BZ5" s="462">
        <f t="shared" si="9"/>
        <v>0</v>
      </c>
      <c r="CA5" s="462">
        <f t="shared" si="10"/>
        <v>0</v>
      </c>
      <c r="CB5" s="462">
        <f t="shared" si="11"/>
        <v>0</v>
      </c>
      <c r="CC5" s="462">
        <f>IF(AT5&lt;&gt;0,SSHICHG*Y5,0)</f>
        <v>0</v>
      </c>
      <c r="CD5" s="462">
        <f>IF(AND(AT5&lt;&gt;0,AN5&lt;&gt;"NE"),VLOOKUP(AN5,Retirement_Rates,5,FALSE)*Y5,0)</f>
        <v>0</v>
      </c>
      <c r="CE5" s="462">
        <f>IF(AND(AT5&lt;&gt;0,AJ5&lt;&gt;"PF"),LifeCHG*Y5,0)</f>
        <v>0</v>
      </c>
      <c r="CF5" s="462">
        <f>IF(AND(AT5&lt;&gt;0,AM5="Y"),UICHG*Y5,0)</f>
        <v>0</v>
      </c>
      <c r="CG5" s="462">
        <f>IF(AND(AT5&lt;&gt;0,N5&lt;&gt;"NR"),DHRCHG*Y5,0)</f>
        <v>0</v>
      </c>
      <c r="CH5" s="462">
        <f>IF(AT5&lt;&gt;0,WCCHG*Y5,0)</f>
        <v>-6.4471680000000031</v>
      </c>
      <c r="CI5" s="462">
        <f>IF(OR(AND(AT5&lt;&gt;0,AJ5&lt;&gt;"PF",AN5&lt;&gt;"NE",AG5&lt;&gt;"A"),AND(AL5="E",OR(AT5=1,AT5=3))),SickCHG*Y5,0)</f>
        <v>0</v>
      </c>
      <c r="CJ5" s="462">
        <f t="shared" si="12"/>
        <v>-6.4471680000000031</v>
      </c>
      <c r="CK5" s="462" t="str">
        <f t="shared" si="13"/>
        <v/>
      </c>
      <c r="CL5" s="462" t="str">
        <f t="shared" si="14"/>
        <v/>
      </c>
      <c r="CM5" s="462" t="str">
        <f t="shared" si="15"/>
        <v/>
      </c>
      <c r="CN5" s="462" t="str">
        <f t="shared" si="16"/>
        <v>0125-00</v>
      </c>
    </row>
    <row r="6" spans="1:92" ht="15" thickBot="1" x14ac:dyDescent="0.35">
      <c r="A6" s="376" t="s">
        <v>161</v>
      </c>
      <c r="B6" s="376" t="s">
        <v>162</v>
      </c>
      <c r="C6" s="376" t="s">
        <v>201</v>
      </c>
      <c r="D6" s="376" t="s">
        <v>202</v>
      </c>
      <c r="E6" s="376" t="s">
        <v>203</v>
      </c>
      <c r="F6" s="377" t="s">
        <v>165</v>
      </c>
      <c r="G6" s="376" t="s">
        <v>166</v>
      </c>
      <c r="H6" s="378"/>
      <c r="I6" s="378"/>
      <c r="J6" s="376" t="s">
        <v>204</v>
      </c>
      <c r="K6" s="376" t="s">
        <v>205</v>
      </c>
      <c r="L6" s="376" t="s">
        <v>206</v>
      </c>
      <c r="M6" s="376" t="s">
        <v>170</v>
      </c>
      <c r="N6" s="376" t="s">
        <v>171</v>
      </c>
      <c r="O6" s="379">
        <v>1</v>
      </c>
      <c r="P6" s="460">
        <v>0.6</v>
      </c>
      <c r="Q6" s="460">
        <v>0.6</v>
      </c>
      <c r="R6" s="380">
        <v>810</v>
      </c>
      <c r="S6" s="460">
        <v>0.6</v>
      </c>
      <c r="T6" s="380">
        <v>54503.14</v>
      </c>
      <c r="U6" s="380">
        <v>0</v>
      </c>
      <c r="V6" s="380">
        <v>21663.78</v>
      </c>
      <c r="W6" s="380">
        <v>42519.360000000001</v>
      </c>
      <c r="X6" s="380">
        <v>15996</v>
      </c>
      <c r="Y6" s="380">
        <v>42519.360000000001</v>
      </c>
      <c r="Z6" s="380">
        <v>15779.16</v>
      </c>
      <c r="AA6" s="376" t="s">
        <v>207</v>
      </c>
      <c r="AB6" s="376" t="s">
        <v>208</v>
      </c>
      <c r="AC6" s="376" t="s">
        <v>209</v>
      </c>
      <c r="AD6" s="376" t="s">
        <v>210</v>
      </c>
      <c r="AE6" s="376" t="s">
        <v>211</v>
      </c>
      <c r="AF6" s="376" t="s">
        <v>176</v>
      </c>
      <c r="AG6" s="376" t="s">
        <v>177</v>
      </c>
      <c r="AH6" s="381">
        <v>34.07</v>
      </c>
      <c r="AI6" s="379">
        <v>7841</v>
      </c>
      <c r="AJ6" s="376" t="s">
        <v>178</v>
      </c>
      <c r="AK6" s="376" t="s">
        <v>179</v>
      </c>
      <c r="AL6" s="376" t="s">
        <v>180</v>
      </c>
      <c r="AM6" s="376" t="s">
        <v>181</v>
      </c>
      <c r="AN6" s="376" t="s">
        <v>68</v>
      </c>
      <c r="AO6" s="379">
        <v>80</v>
      </c>
      <c r="AP6" s="460">
        <v>1</v>
      </c>
      <c r="AQ6" s="460">
        <v>0.6</v>
      </c>
      <c r="AR6" s="458" t="s">
        <v>182</v>
      </c>
      <c r="AS6" s="462">
        <f t="shared" si="0"/>
        <v>0.6</v>
      </c>
      <c r="AT6">
        <f t="shared" si="1"/>
        <v>1</v>
      </c>
      <c r="AU6" s="462">
        <f>IF(AT6=0,"",IF(AND(AT6=1,M6="F",SUMIF(C2:C25,C6,AS2:AS25)&lt;=1),SUMIF(C2:C25,C6,AS2:AS25),IF(AND(AT6=1,M6="F",SUMIF(C2:C25,C6,AS2:AS25)&gt;1),1,"")))</f>
        <v>1</v>
      </c>
      <c r="AV6" s="462" t="str">
        <f>IF(AT6=0,"",IF(AND(AT6=3,M6="F",SUMIF(C2:C25,C6,AS2:AS25)&lt;=1),SUMIF(C2:C25,C6,AS2:AS25),IF(AND(AT6=3,M6="F",SUMIF(C2:C25,C6,AS2:AS25)&gt;1),1,"")))</f>
        <v/>
      </c>
      <c r="AW6" s="462">
        <f>SUMIF(C2:C25,C6,O2:O25)</f>
        <v>2</v>
      </c>
      <c r="AX6" s="462">
        <f>IF(AND(M6="F",AS6&lt;&gt;0),SUMIF(C2:C25,C6,W2:W25),0)</f>
        <v>70865.600000000006</v>
      </c>
      <c r="AY6" s="462">
        <f t="shared" si="2"/>
        <v>42519.360000000001</v>
      </c>
      <c r="AZ6" s="462" t="str">
        <f t="shared" si="3"/>
        <v/>
      </c>
      <c r="BA6" s="462">
        <f t="shared" si="4"/>
        <v>0</v>
      </c>
      <c r="BB6" s="462">
        <f>IF(AND(AT6=1,AK6="E",AU6&gt;=0.75,AW6=1),Health,IF(AND(AT6=1,AK6="E",AU6&gt;=0.75),Health*P6,IF(AND(AT6=1,AK6="E",AU6&gt;=0.5,AW6=1),PTHealth,IF(AND(AT6=1,AK6="E",AU6&gt;=0.5),PTHealth*P6,0))))</f>
        <v>6990</v>
      </c>
      <c r="BC6" s="462">
        <f>IF(AND(AT6=3,AK6="E",AV6&gt;=0.75,AW6=1),Health,IF(AND(AT6=3,AK6="E",AV6&gt;=0.75),Health*P6,IF(AND(AT6=3,AK6="E",AV6&gt;=0.5,AW6=1),PTHealth,IF(AND(AT6=3,AK6="E",AV6&gt;=0.5),PTHealth*P6,0))))</f>
        <v>0</v>
      </c>
      <c r="BD6" s="462">
        <f>IF(AND(AT6&lt;&gt;0,AX6&gt;=MAXSSDI),SSDI*MAXSSDI*P6,IF(AT6&lt;&gt;0,SSDI*W6,0))</f>
        <v>2636.2003199999999</v>
      </c>
      <c r="BE6" s="462">
        <f>IF(AT6&lt;&gt;0,SSHI*W6,0)</f>
        <v>616.53072000000009</v>
      </c>
      <c r="BF6" s="462">
        <f>IF(AND(AT6&lt;&gt;0,AN6&lt;&gt;"NE"),VLOOKUP(AN6,Retirement_Rates,3,FALSE)*W6,0)</f>
        <v>5076.811584</v>
      </c>
      <c r="BG6" s="462">
        <f>IF(AND(AT6&lt;&gt;0,AJ6&lt;&gt;"PF"),Life*W6,0)</f>
        <v>306.56458560000004</v>
      </c>
      <c r="BH6" s="462">
        <f>IF(AND(AT6&lt;&gt;0,AM6="Y"),UI*W6,0)</f>
        <v>208.344864</v>
      </c>
      <c r="BI6" s="462">
        <f>IF(AND(AT6&lt;&gt;0,N6&lt;&gt;"NR"),DHR*W6,0)</f>
        <v>0</v>
      </c>
      <c r="BJ6" s="462">
        <f>IF(AT6&lt;&gt;0,WC*W6,0)</f>
        <v>161.57356799999999</v>
      </c>
      <c r="BK6" s="462">
        <f>IF(OR(AND(AT6&lt;&gt;0,AJ6&lt;&gt;"PF",AN6&lt;&gt;"NE",AG6&lt;&gt;"A"),AND(AL6="E",OR(AT6=1,AT6=3))),Sick*W6,0)</f>
        <v>0</v>
      </c>
      <c r="BL6" s="462">
        <f t="shared" si="5"/>
        <v>9006.0256415999993</v>
      </c>
      <c r="BM6" s="462">
        <f t="shared" si="6"/>
        <v>0</v>
      </c>
      <c r="BN6" s="462">
        <f>IF(AND(AT6=1,AK6="E",AU6&gt;=0.75,AW6=1),HealthBY,IF(AND(AT6=1,AK6="E",AU6&gt;=0.75),HealthBY*P6,IF(AND(AT6=1,AK6="E",AU6&gt;=0.5,AW6=1),PTHealthBY,IF(AND(AT6=1,AK6="E",AU6&gt;=0.5),PTHealthBY*P6,0))))</f>
        <v>6990</v>
      </c>
      <c r="BO6" s="462">
        <f>IF(AND(AT6=3,AK6="E",AV6&gt;=0.75,AW6=1),HealthBY,IF(AND(AT6=3,AK6="E",AV6&gt;=0.75),HealthBY*P6,IF(AND(AT6=3,AK6="E",AV6&gt;=0.5,AW6=1),PTHealthBY,IF(AND(AT6=3,AK6="E",AV6&gt;=0.5),PTHealthBY*P6,0))))</f>
        <v>0</v>
      </c>
      <c r="BP6" s="462">
        <f>IF(AND(AT6&lt;&gt;0,(AX6+BA6)&gt;=MAXSSDIBY),SSDIBY*MAXSSDIBY*P6,IF(AT6&lt;&gt;0,SSDIBY*W6,0))</f>
        <v>2636.2003199999999</v>
      </c>
      <c r="BQ6" s="462">
        <f>IF(AT6&lt;&gt;0,SSHIBY*W6,0)</f>
        <v>616.53072000000009</v>
      </c>
      <c r="BR6" s="462">
        <f>IF(AND(AT6&lt;&gt;0,AN6&lt;&gt;"NE"),VLOOKUP(AN6,Retirement_Rates,4,FALSE)*W6,0)</f>
        <v>5076.811584</v>
      </c>
      <c r="BS6" s="462">
        <f>IF(AND(AT6&lt;&gt;0,AJ6&lt;&gt;"PF"),LifeBY*W6,0)</f>
        <v>306.56458560000004</v>
      </c>
      <c r="BT6" s="462">
        <f>IF(AND(AT6&lt;&gt;0,AM6="Y"),UIBY*W6,0)</f>
        <v>0</v>
      </c>
      <c r="BU6" s="462">
        <f>IF(AND(AT6&lt;&gt;0,N6&lt;&gt;"NR"),DHRBY*W6,0)</f>
        <v>0</v>
      </c>
      <c r="BV6" s="462">
        <f>IF(AT6&lt;&gt;0,WCBY*W6,0)</f>
        <v>153.06969599999999</v>
      </c>
      <c r="BW6" s="462">
        <f>IF(OR(AND(AT6&lt;&gt;0,AJ6&lt;&gt;"PF",AN6&lt;&gt;"NE",AG6&lt;&gt;"A"),AND(AL6="E",OR(AT6=1,AT6=3))),SickBY*W6,0)</f>
        <v>0</v>
      </c>
      <c r="BX6" s="462">
        <f t="shared" si="7"/>
        <v>8789.1769055999994</v>
      </c>
      <c r="BY6" s="462">
        <f t="shared" si="8"/>
        <v>0</v>
      </c>
      <c r="BZ6" s="462">
        <f t="shared" si="9"/>
        <v>0</v>
      </c>
      <c r="CA6" s="462">
        <f t="shared" si="10"/>
        <v>0</v>
      </c>
      <c r="CB6" s="462">
        <f t="shared" si="11"/>
        <v>0</v>
      </c>
      <c r="CC6" s="462">
        <f>IF(AT6&lt;&gt;0,SSHICHG*Y6,0)</f>
        <v>0</v>
      </c>
      <c r="CD6" s="462">
        <f>IF(AND(AT6&lt;&gt;0,AN6&lt;&gt;"NE"),VLOOKUP(AN6,Retirement_Rates,5,FALSE)*Y6,0)</f>
        <v>0</v>
      </c>
      <c r="CE6" s="462">
        <f>IF(AND(AT6&lt;&gt;0,AJ6&lt;&gt;"PF"),LifeCHG*Y6,0)</f>
        <v>0</v>
      </c>
      <c r="CF6" s="462">
        <f>IF(AND(AT6&lt;&gt;0,AM6="Y"),UICHG*Y6,0)</f>
        <v>-208.344864</v>
      </c>
      <c r="CG6" s="462">
        <f>IF(AND(AT6&lt;&gt;0,N6&lt;&gt;"NR"),DHRCHG*Y6,0)</f>
        <v>0</v>
      </c>
      <c r="CH6" s="462">
        <f>IF(AT6&lt;&gt;0,WCCHG*Y6,0)</f>
        <v>-8.5038720000000048</v>
      </c>
      <c r="CI6" s="462">
        <f>IF(OR(AND(AT6&lt;&gt;0,AJ6&lt;&gt;"PF",AN6&lt;&gt;"NE",AG6&lt;&gt;"A"),AND(AL6="E",OR(AT6=1,AT6=3))),SickCHG*Y6,0)</f>
        <v>0</v>
      </c>
      <c r="CJ6" s="462">
        <f t="shared" si="12"/>
        <v>-216.848736</v>
      </c>
      <c r="CK6" s="462" t="str">
        <f t="shared" si="13"/>
        <v/>
      </c>
      <c r="CL6" s="462" t="str">
        <f t="shared" si="14"/>
        <v/>
      </c>
      <c r="CM6" s="462" t="str">
        <f t="shared" si="15"/>
        <v/>
      </c>
      <c r="CN6" s="462" t="str">
        <f t="shared" si="16"/>
        <v>0348-00</v>
      </c>
    </row>
    <row r="7" spans="1:92" ht="15" thickBot="1" x14ac:dyDescent="0.35">
      <c r="A7" s="376" t="s">
        <v>161</v>
      </c>
      <c r="B7" s="376" t="s">
        <v>162</v>
      </c>
      <c r="C7" s="376" t="s">
        <v>163</v>
      </c>
      <c r="D7" s="376" t="s">
        <v>164</v>
      </c>
      <c r="E7" s="376" t="s">
        <v>203</v>
      </c>
      <c r="F7" s="377" t="s">
        <v>165</v>
      </c>
      <c r="G7" s="376" t="s">
        <v>166</v>
      </c>
      <c r="H7" s="378"/>
      <c r="I7" s="378"/>
      <c r="J7" s="376" t="s">
        <v>167</v>
      </c>
      <c r="K7" s="376" t="s">
        <v>168</v>
      </c>
      <c r="L7" s="376" t="s">
        <v>169</v>
      </c>
      <c r="M7" s="376" t="s">
        <v>170</v>
      </c>
      <c r="N7" s="376" t="s">
        <v>171</v>
      </c>
      <c r="O7" s="379">
        <v>1</v>
      </c>
      <c r="P7" s="460">
        <v>1</v>
      </c>
      <c r="Q7" s="460">
        <v>1</v>
      </c>
      <c r="R7" s="380">
        <v>80</v>
      </c>
      <c r="S7" s="460">
        <v>1</v>
      </c>
      <c r="T7" s="380">
        <v>27583.62</v>
      </c>
      <c r="U7" s="380">
        <v>0</v>
      </c>
      <c r="V7" s="380">
        <v>10765.45</v>
      </c>
      <c r="W7" s="380">
        <v>46508.800000000003</v>
      </c>
      <c r="X7" s="380">
        <v>21501</v>
      </c>
      <c r="Y7" s="380">
        <v>46508.800000000003</v>
      </c>
      <c r="Z7" s="380">
        <v>21263.8</v>
      </c>
      <c r="AA7" s="376" t="s">
        <v>172</v>
      </c>
      <c r="AB7" s="376" t="s">
        <v>173</v>
      </c>
      <c r="AC7" s="376" t="s">
        <v>174</v>
      </c>
      <c r="AD7" s="376" t="s">
        <v>175</v>
      </c>
      <c r="AE7" s="376" t="s">
        <v>168</v>
      </c>
      <c r="AF7" s="376" t="s">
        <v>176</v>
      </c>
      <c r="AG7" s="376" t="s">
        <v>177</v>
      </c>
      <c r="AH7" s="381">
        <v>22.36</v>
      </c>
      <c r="AI7" s="379">
        <v>316</v>
      </c>
      <c r="AJ7" s="376" t="s">
        <v>178</v>
      </c>
      <c r="AK7" s="376" t="s">
        <v>179</v>
      </c>
      <c r="AL7" s="376" t="s">
        <v>180</v>
      </c>
      <c r="AM7" s="376" t="s">
        <v>181</v>
      </c>
      <c r="AN7" s="376" t="s">
        <v>68</v>
      </c>
      <c r="AO7" s="379">
        <v>80</v>
      </c>
      <c r="AP7" s="460">
        <v>1</v>
      </c>
      <c r="AQ7" s="460">
        <v>1</v>
      </c>
      <c r="AR7" s="458" t="s">
        <v>182</v>
      </c>
      <c r="AS7" s="462">
        <f t="shared" si="0"/>
        <v>1</v>
      </c>
      <c r="AT7">
        <f t="shared" si="1"/>
        <v>1</v>
      </c>
      <c r="AU7" s="462">
        <f>IF(AT7=0,"",IF(AND(AT7=1,M7="F",SUMIF(C2:C25,C7,AS2:AS25)&lt;=1),SUMIF(C2:C25,C7,AS2:AS25),IF(AND(AT7=1,M7="F",SUMIF(C2:C25,C7,AS2:AS25)&gt;1),1,"")))</f>
        <v>1</v>
      </c>
      <c r="AV7" s="462" t="str">
        <f>IF(AT7=0,"",IF(AND(AT7=3,M7="F",SUMIF(C2:C25,C7,AS2:AS25)&lt;=1),SUMIF(C2:C25,C7,AS2:AS25),IF(AND(AT7=3,M7="F",SUMIF(C2:C25,C7,AS2:AS25)&gt;1),1,"")))</f>
        <v/>
      </c>
      <c r="AW7" s="462">
        <f>SUMIF(C2:C25,C7,O2:O25)</f>
        <v>4</v>
      </c>
      <c r="AX7" s="462">
        <f>IF(AND(M7="F",AS7&lt;&gt;0),SUMIF(C2:C25,C7,W2:W25),0)</f>
        <v>46508.800000000003</v>
      </c>
      <c r="AY7" s="462">
        <f t="shared" si="2"/>
        <v>46508.800000000003</v>
      </c>
      <c r="AZ7" s="462" t="str">
        <f t="shared" si="3"/>
        <v/>
      </c>
      <c r="BA7" s="462">
        <f t="shared" si="4"/>
        <v>0</v>
      </c>
      <c r="BB7" s="462">
        <f>IF(AND(AT7=1,AK7="E",AU7&gt;=0.75,AW7=1),Health,IF(AND(AT7=1,AK7="E",AU7&gt;=0.75),Health*P7,IF(AND(AT7=1,AK7="E",AU7&gt;=0.5,AW7=1),PTHealth,IF(AND(AT7=1,AK7="E",AU7&gt;=0.5),PTHealth*P7,0))))</f>
        <v>11650</v>
      </c>
      <c r="BC7" s="462">
        <f>IF(AND(AT7=3,AK7="E",AV7&gt;=0.75,AW7=1),Health,IF(AND(AT7=3,AK7="E",AV7&gt;=0.75),Health*P7,IF(AND(AT7=3,AK7="E",AV7&gt;=0.5,AW7=1),PTHealth,IF(AND(AT7=3,AK7="E",AV7&gt;=0.5),PTHealth*P7,0))))</f>
        <v>0</v>
      </c>
      <c r="BD7" s="462">
        <f>IF(AND(AT7&lt;&gt;0,AX7&gt;=MAXSSDI),SSDI*MAXSSDI*P7,IF(AT7&lt;&gt;0,SSDI*W7,0))</f>
        <v>2883.5456000000004</v>
      </c>
      <c r="BE7" s="462">
        <f>IF(AT7&lt;&gt;0,SSHI*W7,0)</f>
        <v>674.37760000000003</v>
      </c>
      <c r="BF7" s="462">
        <f>IF(AND(AT7&lt;&gt;0,AN7&lt;&gt;"NE"),VLOOKUP(AN7,Retirement_Rates,3,FALSE)*W7,0)</f>
        <v>5553.1507200000005</v>
      </c>
      <c r="BG7" s="462">
        <f>IF(AND(AT7&lt;&gt;0,AJ7&lt;&gt;"PF"),Life*W7,0)</f>
        <v>335.32844800000004</v>
      </c>
      <c r="BH7" s="462">
        <f>IF(AND(AT7&lt;&gt;0,AM7="Y"),UI*W7,0)</f>
        <v>227.89312000000001</v>
      </c>
      <c r="BI7" s="462">
        <f>IF(AND(AT7&lt;&gt;0,N7&lt;&gt;"NR"),DHR*W7,0)</f>
        <v>0</v>
      </c>
      <c r="BJ7" s="462">
        <f>IF(AT7&lt;&gt;0,WC*W7,0)</f>
        <v>176.73344</v>
      </c>
      <c r="BK7" s="462">
        <f>IF(OR(AND(AT7&lt;&gt;0,AJ7&lt;&gt;"PF",AN7&lt;&gt;"NE",AG7&lt;&gt;"A"),AND(AL7="E",OR(AT7=1,AT7=3))),Sick*W7,0)</f>
        <v>0</v>
      </c>
      <c r="BL7" s="462">
        <f t="shared" si="5"/>
        <v>9851.0289280000015</v>
      </c>
      <c r="BM7" s="462">
        <f t="shared" si="6"/>
        <v>0</v>
      </c>
      <c r="BN7" s="462">
        <f>IF(AND(AT7=1,AK7="E",AU7&gt;=0.75,AW7=1),HealthBY,IF(AND(AT7=1,AK7="E",AU7&gt;=0.75),HealthBY*P7,IF(AND(AT7=1,AK7="E",AU7&gt;=0.5,AW7=1),PTHealthBY,IF(AND(AT7=1,AK7="E",AU7&gt;=0.5),PTHealthBY*P7,0))))</f>
        <v>11650</v>
      </c>
      <c r="BO7" s="462">
        <f>IF(AND(AT7=3,AK7="E",AV7&gt;=0.75,AW7=1),HealthBY,IF(AND(AT7=3,AK7="E",AV7&gt;=0.75),HealthBY*P7,IF(AND(AT7=3,AK7="E",AV7&gt;=0.5,AW7=1),PTHealthBY,IF(AND(AT7=3,AK7="E",AV7&gt;=0.5),PTHealthBY*P7,0))))</f>
        <v>0</v>
      </c>
      <c r="BP7" s="462">
        <f>IF(AND(AT7&lt;&gt;0,(AX7+BA7)&gt;=MAXSSDIBY),SSDIBY*MAXSSDIBY*P7,IF(AT7&lt;&gt;0,SSDIBY*W7,0))</f>
        <v>2883.5456000000004</v>
      </c>
      <c r="BQ7" s="462">
        <f>IF(AT7&lt;&gt;0,SSHIBY*W7,0)</f>
        <v>674.37760000000003</v>
      </c>
      <c r="BR7" s="462">
        <f>IF(AND(AT7&lt;&gt;0,AN7&lt;&gt;"NE"),VLOOKUP(AN7,Retirement_Rates,4,FALSE)*W7,0)</f>
        <v>5553.1507200000005</v>
      </c>
      <c r="BS7" s="462">
        <f>IF(AND(AT7&lt;&gt;0,AJ7&lt;&gt;"PF"),LifeBY*W7,0)</f>
        <v>335.32844800000004</v>
      </c>
      <c r="BT7" s="462">
        <f>IF(AND(AT7&lt;&gt;0,AM7="Y"),UIBY*W7,0)</f>
        <v>0</v>
      </c>
      <c r="BU7" s="462">
        <f>IF(AND(AT7&lt;&gt;0,N7&lt;&gt;"NR"),DHRBY*W7,0)</f>
        <v>0</v>
      </c>
      <c r="BV7" s="462">
        <f>IF(AT7&lt;&gt;0,WCBY*W7,0)</f>
        <v>167.43168</v>
      </c>
      <c r="BW7" s="462">
        <f>IF(OR(AND(AT7&lt;&gt;0,AJ7&lt;&gt;"PF",AN7&lt;&gt;"NE",AG7&lt;&gt;"A"),AND(AL7="E",OR(AT7=1,AT7=3))),SickBY*W7,0)</f>
        <v>0</v>
      </c>
      <c r="BX7" s="462">
        <f t="shared" si="7"/>
        <v>9613.8340480000006</v>
      </c>
      <c r="BY7" s="462">
        <f t="shared" si="8"/>
        <v>0</v>
      </c>
      <c r="BZ7" s="462">
        <f t="shared" si="9"/>
        <v>0</v>
      </c>
      <c r="CA7" s="462">
        <f t="shared" si="10"/>
        <v>0</v>
      </c>
      <c r="CB7" s="462">
        <f t="shared" si="11"/>
        <v>0</v>
      </c>
      <c r="CC7" s="462">
        <f>IF(AT7&lt;&gt;0,SSHICHG*Y7,0)</f>
        <v>0</v>
      </c>
      <c r="CD7" s="462">
        <f>IF(AND(AT7&lt;&gt;0,AN7&lt;&gt;"NE"),VLOOKUP(AN7,Retirement_Rates,5,FALSE)*Y7,0)</f>
        <v>0</v>
      </c>
      <c r="CE7" s="462">
        <f>IF(AND(AT7&lt;&gt;0,AJ7&lt;&gt;"PF"),LifeCHG*Y7,0)</f>
        <v>0</v>
      </c>
      <c r="CF7" s="462">
        <f>IF(AND(AT7&lt;&gt;0,AM7="Y"),UICHG*Y7,0)</f>
        <v>-227.89312000000001</v>
      </c>
      <c r="CG7" s="462">
        <f>IF(AND(AT7&lt;&gt;0,N7&lt;&gt;"NR"),DHRCHG*Y7,0)</f>
        <v>0</v>
      </c>
      <c r="CH7" s="462">
        <f>IF(AT7&lt;&gt;0,WCCHG*Y7,0)</f>
        <v>-9.3017600000000051</v>
      </c>
      <c r="CI7" s="462">
        <f>IF(OR(AND(AT7&lt;&gt;0,AJ7&lt;&gt;"PF",AN7&lt;&gt;"NE",AG7&lt;&gt;"A"),AND(AL7="E",OR(AT7=1,AT7=3))),SickCHG*Y7,0)</f>
        <v>0</v>
      </c>
      <c r="CJ7" s="462">
        <f t="shared" si="12"/>
        <v>-237.19488000000001</v>
      </c>
      <c r="CK7" s="462" t="str">
        <f t="shared" si="13"/>
        <v/>
      </c>
      <c r="CL7" s="462" t="str">
        <f t="shared" si="14"/>
        <v/>
      </c>
      <c r="CM7" s="462" t="str">
        <f t="shared" si="15"/>
        <v/>
      </c>
      <c r="CN7" s="462" t="str">
        <f t="shared" si="16"/>
        <v>0348-00</v>
      </c>
    </row>
    <row r="8" spans="1:92" ht="15" thickBot="1" x14ac:dyDescent="0.35">
      <c r="A8" s="376" t="s">
        <v>161</v>
      </c>
      <c r="B8" s="376" t="s">
        <v>162</v>
      </c>
      <c r="C8" s="376" t="s">
        <v>183</v>
      </c>
      <c r="D8" s="376" t="s">
        <v>164</v>
      </c>
      <c r="E8" s="376" t="s">
        <v>203</v>
      </c>
      <c r="F8" s="377" t="s">
        <v>165</v>
      </c>
      <c r="G8" s="376" t="s">
        <v>166</v>
      </c>
      <c r="H8" s="378"/>
      <c r="I8" s="378"/>
      <c r="J8" s="376" t="s">
        <v>184</v>
      </c>
      <c r="K8" s="376" t="s">
        <v>168</v>
      </c>
      <c r="L8" s="376" t="s">
        <v>169</v>
      </c>
      <c r="M8" s="376" t="s">
        <v>170</v>
      </c>
      <c r="N8" s="376" t="s">
        <v>171</v>
      </c>
      <c r="O8" s="379">
        <v>1</v>
      </c>
      <c r="P8" s="460">
        <v>0.7</v>
      </c>
      <c r="Q8" s="460">
        <v>0.7</v>
      </c>
      <c r="R8" s="380">
        <v>80</v>
      </c>
      <c r="S8" s="460">
        <v>0.7</v>
      </c>
      <c r="T8" s="380">
        <v>26119.77</v>
      </c>
      <c r="U8" s="380">
        <v>0</v>
      </c>
      <c r="V8" s="380">
        <v>11829.33</v>
      </c>
      <c r="W8" s="380">
        <v>34478.080000000002</v>
      </c>
      <c r="X8" s="380">
        <v>15457.76</v>
      </c>
      <c r="Y8" s="380">
        <v>34478.080000000002</v>
      </c>
      <c r="Z8" s="380">
        <v>15281.94</v>
      </c>
      <c r="AA8" s="376" t="s">
        <v>185</v>
      </c>
      <c r="AB8" s="376" t="s">
        <v>186</v>
      </c>
      <c r="AC8" s="376" t="s">
        <v>187</v>
      </c>
      <c r="AD8" s="376" t="s">
        <v>188</v>
      </c>
      <c r="AE8" s="376" t="s">
        <v>168</v>
      </c>
      <c r="AF8" s="376" t="s">
        <v>176</v>
      </c>
      <c r="AG8" s="376" t="s">
        <v>177</v>
      </c>
      <c r="AH8" s="381">
        <v>23.68</v>
      </c>
      <c r="AI8" s="379">
        <v>7794</v>
      </c>
      <c r="AJ8" s="376" t="s">
        <v>178</v>
      </c>
      <c r="AK8" s="376" t="s">
        <v>179</v>
      </c>
      <c r="AL8" s="376" t="s">
        <v>180</v>
      </c>
      <c r="AM8" s="376" t="s">
        <v>181</v>
      </c>
      <c r="AN8" s="376" t="s">
        <v>68</v>
      </c>
      <c r="AO8" s="379">
        <v>80</v>
      </c>
      <c r="AP8" s="460">
        <v>1</v>
      </c>
      <c r="AQ8" s="460">
        <v>0.7</v>
      </c>
      <c r="AR8" s="458" t="s">
        <v>182</v>
      </c>
      <c r="AS8" s="462">
        <f t="shared" si="0"/>
        <v>0.7</v>
      </c>
      <c r="AT8">
        <f t="shared" si="1"/>
        <v>1</v>
      </c>
      <c r="AU8" s="462">
        <f>IF(AT8=0,"",IF(AND(AT8=1,M8="F",SUMIF(C2:C25,C8,AS2:AS25)&lt;=1),SUMIF(C2:C25,C8,AS2:AS25),IF(AND(AT8=1,M8="F",SUMIF(C2:C25,C8,AS2:AS25)&gt;1),1,"")))</f>
        <v>1</v>
      </c>
      <c r="AV8" s="462" t="str">
        <f>IF(AT8=0,"",IF(AND(AT8=3,M8="F",SUMIF(C2:C25,C8,AS2:AS25)&lt;=1),SUMIF(C2:C25,C8,AS2:AS25),IF(AND(AT8=3,M8="F",SUMIF(C2:C25,C8,AS2:AS25)&gt;1),1,"")))</f>
        <v/>
      </c>
      <c r="AW8" s="462">
        <f>SUMIF(C2:C25,C8,O2:O25)</f>
        <v>3</v>
      </c>
      <c r="AX8" s="462">
        <f>IF(AND(M8="F",AS8&lt;&gt;0),SUMIF(C2:C25,C8,W2:W25),0)</f>
        <v>49254.400000000001</v>
      </c>
      <c r="AY8" s="462">
        <f t="shared" si="2"/>
        <v>34478.080000000002</v>
      </c>
      <c r="AZ8" s="462" t="str">
        <f t="shared" si="3"/>
        <v/>
      </c>
      <c r="BA8" s="462">
        <f t="shared" si="4"/>
        <v>0</v>
      </c>
      <c r="BB8" s="462">
        <f>IF(AND(AT8=1,AK8="E",AU8&gt;=0.75,AW8=1),Health,IF(AND(AT8=1,AK8="E",AU8&gt;=0.75),Health*P8,IF(AND(AT8=1,AK8="E",AU8&gt;=0.5,AW8=1),PTHealth,IF(AND(AT8=1,AK8="E",AU8&gt;=0.5),PTHealth*P8,0))))</f>
        <v>8154.9999999999991</v>
      </c>
      <c r="BC8" s="462">
        <f>IF(AND(AT8=3,AK8="E",AV8&gt;=0.75,AW8=1),Health,IF(AND(AT8=3,AK8="E",AV8&gt;=0.75),Health*P8,IF(AND(AT8=3,AK8="E",AV8&gt;=0.5,AW8=1),PTHealth,IF(AND(AT8=3,AK8="E",AV8&gt;=0.5),PTHealth*P8,0))))</f>
        <v>0</v>
      </c>
      <c r="BD8" s="462">
        <f>IF(AND(AT8&lt;&gt;0,AX8&gt;=MAXSSDI),SSDI*MAXSSDI*P8,IF(AT8&lt;&gt;0,SSDI*W8,0))</f>
        <v>2137.6409600000002</v>
      </c>
      <c r="BE8" s="462">
        <f>IF(AT8&lt;&gt;0,SSHI*W8,0)</f>
        <v>499.93216000000007</v>
      </c>
      <c r="BF8" s="462">
        <f>IF(AND(AT8&lt;&gt;0,AN8&lt;&gt;"NE"),VLOOKUP(AN8,Retirement_Rates,3,FALSE)*W8,0)</f>
        <v>4116.6827520000006</v>
      </c>
      <c r="BG8" s="462">
        <f>IF(AND(AT8&lt;&gt;0,AJ8&lt;&gt;"PF"),Life*W8,0)</f>
        <v>248.58695680000002</v>
      </c>
      <c r="BH8" s="462">
        <f>IF(AND(AT8&lt;&gt;0,AM8="Y"),UI*W8,0)</f>
        <v>168.94259199999999</v>
      </c>
      <c r="BI8" s="462">
        <f>IF(AND(AT8&lt;&gt;0,N8&lt;&gt;"NR"),DHR*W8,0)</f>
        <v>0</v>
      </c>
      <c r="BJ8" s="462">
        <f>IF(AT8&lt;&gt;0,WC*W8,0)</f>
        <v>131.016704</v>
      </c>
      <c r="BK8" s="462">
        <f>IF(OR(AND(AT8&lt;&gt;0,AJ8&lt;&gt;"PF",AN8&lt;&gt;"NE",AG8&lt;&gt;"A"),AND(AL8="E",OR(AT8=1,AT8=3))),Sick*W8,0)</f>
        <v>0</v>
      </c>
      <c r="BL8" s="462">
        <f t="shared" si="5"/>
        <v>7302.8021248000005</v>
      </c>
      <c r="BM8" s="462">
        <f t="shared" si="6"/>
        <v>0</v>
      </c>
      <c r="BN8" s="462">
        <f>IF(AND(AT8=1,AK8="E",AU8&gt;=0.75,AW8=1),HealthBY,IF(AND(AT8=1,AK8="E",AU8&gt;=0.75),HealthBY*P8,IF(AND(AT8=1,AK8="E",AU8&gt;=0.5,AW8=1),PTHealthBY,IF(AND(AT8=1,AK8="E",AU8&gt;=0.5),PTHealthBY*P8,0))))</f>
        <v>8154.9999999999991</v>
      </c>
      <c r="BO8" s="462">
        <f>IF(AND(AT8=3,AK8="E",AV8&gt;=0.75,AW8=1),HealthBY,IF(AND(AT8=3,AK8="E",AV8&gt;=0.75),HealthBY*P8,IF(AND(AT8=3,AK8="E",AV8&gt;=0.5,AW8=1),PTHealthBY,IF(AND(AT8=3,AK8="E",AV8&gt;=0.5),PTHealthBY*P8,0))))</f>
        <v>0</v>
      </c>
      <c r="BP8" s="462">
        <f>IF(AND(AT8&lt;&gt;0,(AX8+BA8)&gt;=MAXSSDIBY),SSDIBY*MAXSSDIBY*P8,IF(AT8&lt;&gt;0,SSDIBY*W8,0))</f>
        <v>2137.6409600000002</v>
      </c>
      <c r="BQ8" s="462">
        <f>IF(AT8&lt;&gt;0,SSHIBY*W8,0)</f>
        <v>499.93216000000007</v>
      </c>
      <c r="BR8" s="462">
        <f>IF(AND(AT8&lt;&gt;0,AN8&lt;&gt;"NE"),VLOOKUP(AN8,Retirement_Rates,4,FALSE)*W8,0)</f>
        <v>4116.6827520000006</v>
      </c>
      <c r="BS8" s="462">
        <f>IF(AND(AT8&lt;&gt;0,AJ8&lt;&gt;"PF"),LifeBY*W8,0)</f>
        <v>248.58695680000002</v>
      </c>
      <c r="BT8" s="462">
        <f>IF(AND(AT8&lt;&gt;0,AM8="Y"),UIBY*W8,0)</f>
        <v>0</v>
      </c>
      <c r="BU8" s="462">
        <f>IF(AND(AT8&lt;&gt;0,N8&lt;&gt;"NR"),DHRBY*W8,0)</f>
        <v>0</v>
      </c>
      <c r="BV8" s="462">
        <f>IF(AT8&lt;&gt;0,WCBY*W8,0)</f>
        <v>124.121088</v>
      </c>
      <c r="BW8" s="462">
        <f>IF(OR(AND(AT8&lt;&gt;0,AJ8&lt;&gt;"PF",AN8&lt;&gt;"NE",AG8&lt;&gt;"A"),AND(AL8="E",OR(AT8=1,AT8=3))),SickBY*W8,0)</f>
        <v>0</v>
      </c>
      <c r="BX8" s="462">
        <f t="shared" si="7"/>
        <v>7126.9639168000003</v>
      </c>
      <c r="BY8" s="462">
        <f t="shared" si="8"/>
        <v>0</v>
      </c>
      <c r="BZ8" s="462">
        <f t="shared" si="9"/>
        <v>0</v>
      </c>
      <c r="CA8" s="462">
        <f t="shared" si="10"/>
        <v>0</v>
      </c>
      <c r="CB8" s="462">
        <f t="shared" si="11"/>
        <v>0</v>
      </c>
      <c r="CC8" s="462">
        <f>IF(AT8&lt;&gt;0,SSHICHG*Y8,0)</f>
        <v>0</v>
      </c>
      <c r="CD8" s="462">
        <f>IF(AND(AT8&lt;&gt;0,AN8&lt;&gt;"NE"),VLOOKUP(AN8,Retirement_Rates,5,FALSE)*Y8,0)</f>
        <v>0</v>
      </c>
      <c r="CE8" s="462">
        <f>IF(AND(AT8&lt;&gt;0,AJ8&lt;&gt;"PF"),LifeCHG*Y8,0)</f>
        <v>0</v>
      </c>
      <c r="CF8" s="462">
        <f>IF(AND(AT8&lt;&gt;0,AM8="Y"),UICHG*Y8,0)</f>
        <v>-168.94259199999999</v>
      </c>
      <c r="CG8" s="462">
        <f>IF(AND(AT8&lt;&gt;0,N8&lt;&gt;"NR"),DHRCHG*Y8,0)</f>
        <v>0</v>
      </c>
      <c r="CH8" s="462">
        <f>IF(AT8&lt;&gt;0,WCCHG*Y8,0)</f>
        <v>-6.8956160000000031</v>
      </c>
      <c r="CI8" s="462">
        <f>IF(OR(AND(AT8&lt;&gt;0,AJ8&lt;&gt;"PF",AN8&lt;&gt;"NE",AG8&lt;&gt;"A"),AND(AL8="E",OR(AT8=1,AT8=3))),SickCHG*Y8,0)</f>
        <v>0</v>
      </c>
      <c r="CJ8" s="462">
        <f t="shared" si="12"/>
        <v>-175.83820799999998</v>
      </c>
      <c r="CK8" s="462" t="str">
        <f t="shared" si="13"/>
        <v/>
      </c>
      <c r="CL8" s="462" t="str">
        <f t="shared" si="14"/>
        <v/>
      </c>
      <c r="CM8" s="462" t="str">
        <f t="shared" si="15"/>
        <v/>
      </c>
      <c r="CN8" s="462" t="str">
        <f t="shared" si="16"/>
        <v>0348-00</v>
      </c>
    </row>
    <row r="9" spans="1:92" ht="15" thickBot="1" x14ac:dyDescent="0.35">
      <c r="A9" s="376" t="s">
        <v>161</v>
      </c>
      <c r="B9" s="376" t="s">
        <v>162</v>
      </c>
      <c r="C9" s="376" t="s">
        <v>212</v>
      </c>
      <c r="D9" s="376" t="s">
        <v>164</v>
      </c>
      <c r="E9" s="376" t="s">
        <v>203</v>
      </c>
      <c r="F9" s="377" t="s">
        <v>165</v>
      </c>
      <c r="G9" s="376" t="s">
        <v>166</v>
      </c>
      <c r="H9" s="378"/>
      <c r="I9" s="378"/>
      <c r="J9" s="376" t="s">
        <v>167</v>
      </c>
      <c r="K9" s="376" t="s">
        <v>168</v>
      </c>
      <c r="L9" s="376" t="s">
        <v>169</v>
      </c>
      <c r="M9" s="376" t="s">
        <v>170</v>
      </c>
      <c r="N9" s="376" t="s">
        <v>171</v>
      </c>
      <c r="O9" s="379">
        <v>1</v>
      </c>
      <c r="P9" s="460">
        <v>1</v>
      </c>
      <c r="Q9" s="460">
        <v>1</v>
      </c>
      <c r="R9" s="380">
        <v>80</v>
      </c>
      <c r="S9" s="460">
        <v>1</v>
      </c>
      <c r="T9" s="380">
        <v>44015.63</v>
      </c>
      <c r="U9" s="380">
        <v>0</v>
      </c>
      <c r="V9" s="380">
        <v>20234.14</v>
      </c>
      <c r="W9" s="380">
        <v>51812.800000000003</v>
      </c>
      <c r="X9" s="380">
        <v>22624.44</v>
      </c>
      <c r="Y9" s="380">
        <v>51812.800000000003</v>
      </c>
      <c r="Z9" s="380">
        <v>22360.2</v>
      </c>
      <c r="AA9" s="376" t="s">
        <v>213</v>
      </c>
      <c r="AB9" s="376" t="s">
        <v>214</v>
      </c>
      <c r="AC9" s="376" t="s">
        <v>215</v>
      </c>
      <c r="AD9" s="376" t="s">
        <v>216</v>
      </c>
      <c r="AE9" s="376" t="s">
        <v>168</v>
      </c>
      <c r="AF9" s="376" t="s">
        <v>176</v>
      </c>
      <c r="AG9" s="376" t="s">
        <v>177</v>
      </c>
      <c r="AH9" s="381">
        <v>24.91</v>
      </c>
      <c r="AI9" s="381">
        <v>4899.6000000000004</v>
      </c>
      <c r="AJ9" s="376" t="s">
        <v>178</v>
      </c>
      <c r="AK9" s="376" t="s">
        <v>179</v>
      </c>
      <c r="AL9" s="376" t="s">
        <v>180</v>
      </c>
      <c r="AM9" s="376" t="s">
        <v>181</v>
      </c>
      <c r="AN9" s="376" t="s">
        <v>68</v>
      </c>
      <c r="AO9" s="379">
        <v>80</v>
      </c>
      <c r="AP9" s="460">
        <v>1</v>
      </c>
      <c r="AQ9" s="460">
        <v>1</v>
      </c>
      <c r="AR9" s="458" t="s">
        <v>182</v>
      </c>
      <c r="AS9" s="462">
        <f t="shared" si="0"/>
        <v>1</v>
      </c>
      <c r="AT9">
        <f t="shared" si="1"/>
        <v>1</v>
      </c>
      <c r="AU9" s="462">
        <f>IF(AT9=0,"",IF(AND(AT9=1,M9="F",SUMIF(C2:C25,C9,AS2:AS25)&lt;=1),SUMIF(C2:C25,C9,AS2:AS25),IF(AND(AT9=1,M9="F",SUMIF(C2:C25,C9,AS2:AS25)&gt;1),1,"")))</f>
        <v>1</v>
      </c>
      <c r="AV9" s="462" t="str">
        <f>IF(AT9=0,"",IF(AND(AT9=3,M9="F",SUMIF(C2:C25,C9,AS2:AS25)&lt;=1),SUMIF(C2:C25,C9,AS2:AS25),IF(AND(AT9=3,M9="F",SUMIF(C2:C25,C9,AS2:AS25)&gt;1),1,"")))</f>
        <v/>
      </c>
      <c r="AW9" s="462">
        <f>SUMIF(C2:C25,C9,O2:O25)</f>
        <v>2</v>
      </c>
      <c r="AX9" s="462">
        <f>IF(AND(M9="F",AS9&lt;&gt;0),SUMIF(C2:C25,C9,W2:W25),0)</f>
        <v>51812.800000000003</v>
      </c>
      <c r="AY9" s="462">
        <f t="shared" si="2"/>
        <v>51812.800000000003</v>
      </c>
      <c r="AZ9" s="462" t="str">
        <f t="shared" si="3"/>
        <v/>
      </c>
      <c r="BA9" s="462">
        <f t="shared" si="4"/>
        <v>0</v>
      </c>
      <c r="BB9" s="462">
        <f>IF(AND(AT9=1,AK9="E",AU9&gt;=0.75,AW9=1),Health,IF(AND(AT9=1,AK9="E",AU9&gt;=0.75),Health*P9,IF(AND(AT9=1,AK9="E",AU9&gt;=0.5,AW9=1),PTHealth,IF(AND(AT9=1,AK9="E",AU9&gt;=0.5),PTHealth*P9,0))))</f>
        <v>11650</v>
      </c>
      <c r="BC9" s="462">
        <f>IF(AND(AT9=3,AK9="E",AV9&gt;=0.75,AW9=1),Health,IF(AND(AT9=3,AK9="E",AV9&gt;=0.75),Health*P9,IF(AND(AT9=3,AK9="E",AV9&gt;=0.5,AW9=1),PTHealth,IF(AND(AT9=3,AK9="E",AV9&gt;=0.5),PTHealth*P9,0))))</f>
        <v>0</v>
      </c>
      <c r="BD9" s="462">
        <f>IF(AND(AT9&lt;&gt;0,AX9&gt;=MAXSSDI),SSDI*MAXSSDI*P9,IF(AT9&lt;&gt;0,SSDI*W9,0))</f>
        <v>3212.3936000000003</v>
      </c>
      <c r="BE9" s="462">
        <f>IF(AT9&lt;&gt;0,SSHI*W9,0)</f>
        <v>751.28560000000004</v>
      </c>
      <c r="BF9" s="462">
        <f>IF(AND(AT9&lt;&gt;0,AN9&lt;&gt;"NE"),VLOOKUP(AN9,Retirement_Rates,3,FALSE)*W9,0)</f>
        <v>6186.4483200000004</v>
      </c>
      <c r="BG9" s="462">
        <f>IF(AND(AT9&lt;&gt;0,AJ9&lt;&gt;"PF"),Life*W9,0)</f>
        <v>373.57028800000006</v>
      </c>
      <c r="BH9" s="462">
        <f>IF(AND(AT9&lt;&gt;0,AM9="Y"),UI*W9,0)</f>
        <v>253.88272000000001</v>
      </c>
      <c r="BI9" s="462">
        <f>IF(AND(AT9&lt;&gt;0,N9&lt;&gt;"NR"),DHR*W9,0)</f>
        <v>0</v>
      </c>
      <c r="BJ9" s="462">
        <f>IF(AT9&lt;&gt;0,WC*W9,0)</f>
        <v>196.88864000000001</v>
      </c>
      <c r="BK9" s="462">
        <f>IF(OR(AND(AT9&lt;&gt;0,AJ9&lt;&gt;"PF",AN9&lt;&gt;"NE",AG9&lt;&gt;"A"),AND(AL9="E",OR(AT9=1,AT9=3))),Sick*W9,0)</f>
        <v>0</v>
      </c>
      <c r="BL9" s="462">
        <f t="shared" si="5"/>
        <v>10974.469168000001</v>
      </c>
      <c r="BM9" s="462">
        <f t="shared" si="6"/>
        <v>0</v>
      </c>
      <c r="BN9" s="462">
        <f>IF(AND(AT9=1,AK9="E",AU9&gt;=0.75,AW9=1),HealthBY,IF(AND(AT9=1,AK9="E",AU9&gt;=0.75),HealthBY*P9,IF(AND(AT9=1,AK9="E",AU9&gt;=0.5,AW9=1),PTHealthBY,IF(AND(AT9=1,AK9="E",AU9&gt;=0.5),PTHealthBY*P9,0))))</f>
        <v>11650</v>
      </c>
      <c r="BO9" s="462">
        <f>IF(AND(AT9=3,AK9="E",AV9&gt;=0.75,AW9=1),HealthBY,IF(AND(AT9=3,AK9="E",AV9&gt;=0.75),HealthBY*P9,IF(AND(AT9=3,AK9="E",AV9&gt;=0.5,AW9=1),PTHealthBY,IF(AND(AT9=3,AK9="E",AV9&gt;=0.5),PTHealthBY*P9,0))))</f>
        <v>0</v>
      </c>
      <c r="BP9" s="462">
        <f>IF(AND(AT9&lt;&gt;0,(AX9+BA9)&gt;=MAXSSDIBY),SSDIBY*MAXSSDIBY*P9,IF(AT9&lt;&gt;0,SSDIBY*W9,0))</f>
        <v>3212.3936000000003</v>
      </c>
      <c r="BQ9" s="462">
        <f>IF(AT9&lt;&gt;0,SSHIBY*W9,0)</f>
        <v>751.28560000000004</v>
      </c>
      <c r="BR9" s="462">
        <f>IF(AND(AT9&lt;&gt;0,AN9&lt;&gt;"NE"),VLOOKUP(AN9,Retirement_Rates,4,FALSE)*W9,0)</f>
        <v>6186.4483200000004</v>
      </c>
      <c r="BS9" s="462">
        <f>IF(AND(AT9&lt;&gt;0,AJ9&lt;&gt;"PF"),LifeBY*W9,0)</f>
        <v>373.57028800000006</v>
      </c>
      <c r="BT9" s="462">
        <f>IF(AND(AT9&lt;&gt;0,AM9="Y"),UIBY*W9,0)</f>
        <v>0</v>
      </c>
      <c r="BU9" s="462">
        <f>IF(AND(AT9&lt;&gt;0,N9&lt;&gt;"NR"),DHRBY*W9,0)</f>
        <v>0</v>
      </c>
      <c r="BV9" s="462">
        <f>IF(AT9&lt;&gt;0,WCBY*W9,0)</f>
        <v>186.52608000000001</v>
      </c>
      <c r="BW9" s="462">
        <f>IF(OR(AND(AT9&lt;&gt;0,AJ9&lt;&gt;"PF",AN9&lt;&gt;"NE",AG9&lt;&gt;"A"),AND(AL9="E",OR(AT9=1,AT9=3))),SickBY*W9,0)</f>
        <v>0</v>
      </c>
      <c r="BX9" s="462">
        <f t="shared" si="7"/>
        <v>10710.223888000002</v>
      </c>
      <c r="BY9" s="462">
        <f t="shared" si="8"/>
        <v>0</v>
      </c>
      <c r="BZ9" s="462">
        <f t="shared" si="9"/>
        <v>0</v>
      </c>
      <c r="CA9" s="462">
        <f t="shared" si="10"/>
        <v>0</v>
      </c>
      <c r="CB9" s="462">
        <f t="shared" si="11"/>
        <v>0</v>
      </c>
      <c r="CC9" s="462">
        <f>IF(AT9&lt;&gt;0,SSHICHG*Y9,0)</f>
        <v>0</v>
      </c>
      <c r="CD9" s="462">
        <f>IF(AND(AT9&lt;&gt;0,AN9&lt;&gt;"NE"),VLOOKUP(AN9,Retirement_Rates,5,FALSE)*Y9,0)</f>
        <v>0</v>
      </c>
      <c r="CE9" s="462">
        <f>IF(AND(AT9&lt;&gt;0,AJ9&lt;&gt;"PF"),LifeCHG*Y9,0)</f>
        <v>0</v>
      </c>
      <c r="CF9" s="462">
        <f>IF(AND(AT9&lt;&gt;0,AM9="Y"),UICHG*Y9,0)</f>
        <v>-253.88272000000001</v>
      </c>
      <c r="CG9" s="462">
        <f>IF(AND(AT9&lt;&gt;0,N9&lt;&gt;"NR"),DHRCHG*Y9,0)</f>
        <v>0</v>
      </c>
      <c r="CH9" s="462">
        <f>IF(AT9&lt;&gt;0,WCCHG*Y9,0)</f>
        <v>-10.362560000000006</v>
      </c>
      <c r="CI9" s="462">
        <f>IF(OR(AND(AT9&lt;&gt;0,AJ9&lt;&gt;"PF",AN9&lt;&gt;"NE",AG9&lt;&gt;"A"),AND(AL9="E",OR(AT9=1,AT9=3))),SickCHG*Y9,0)</f>
        <v>0</v>
      </c>
      <c r="CJ9" s="462">
        <f t="shared" si="12"/>
        <v>-264.24528000000004</v>
      </c>
      <c r="CK9" s="462" t="str">
        <f t="shared" si="13"/>
        <v/>
      </c>
      <c r="CL9" s="462" t="str">
        <f t="shared" si="14"/>
        <v/>
      </c>
      <c r="CM9" s="462" t="str">
        <f t="shared" si="15"/>
        <v/>
      </c>
      <c r="CN9" s="462" t="str">
        <f t="shared" si="16"/>
        <v>0348-00</v>
      </c>
    </row>
    <row r="10" spans="1:92" ht="15" thickBot="1" x14ac:dyDescent="0.35">
      <c r="A10" s="376" t="s">
        <v>161</v>
      </c>
      <c r="B10" s="376" t="s">
        <v>162</v>
      </c>
      <c r="C10" s="376" t="s">
        <v>217</v>
      </c>
      <c r="D10" s="376" t="s">
        <v>218</v>
      </c>
      <c r="E10" s="376" t="s">
        <v>203</v>
      </c>
      <c r="F10" s="377" t="s">
        <v>165</v>
      </c>
      <c r="G10" s="376" t="s">
        <v>166</v>
      </c>
      <c r="H10" s="378"/>
      <c r="I10" s="378"/>
      <c r="J10" s="376" t="s">
        <v>184</v>
      </c>
      <c r="K10" s="376" t="s">
        <v>219</v>
      </c>
      <c r="L10" s="376" t="s">
        <v>180</v>
      </c>
      <c r="M10" s="376" t="s">
        <v>170</v>
      </c>
      <c r="N10" s="376" t="s">
        <v>171</v>
      </c>
      <c r="O10" s="379">
        <v>1</v>
      </c>
      <c r="P10" s="460">
        <v>0.5</v>
      </c>
      <c r="Q10" s="460">
        <v>0.5</v>
      </c>
      <c r="R10" s="380">
        <v>80</v>
      </c>
      <c r="S10" s="460">
        <v>0.5</v>
      </c>
      <c r="T10" s="380">
        <v>50384.4</v>
      </c>
      <c r="U10" s="380">
        <v>0</v>
      </c>
      <c r="V10" s="380">
        <v>18918.830000000002</v>
      </c>
      <c r="W10" s="380">
        <v>36036</v>
      </c>
      <c r="X10" s="380">
        <v>13457.76</v>
      </c>
      <c r="Y10" s="380">
        <v>36036</v>
      </c>
      <c r="Z10" s="380">
        <v>13273.98</v>
      </c>
      <c r="AA10" s="376" t="s">
        <v>220</v>
      </c>
      <c r="AB10" s="376" t="s">
        <v>221</v>
      </c>
      <c r="AC10" s="376" t="s">
        <v>222</v>
      </c>
      <c r="AD10" s="376" t="s">
        <v>223</v>
      </c>
      <c r="AE10" s="376" t="s">
        <v>219</v>
      </c>
      <c r="AF10" s="376" t="s">
        <v>176</v>
      </c>
      <c r="AG10" s="376" t="s">
        <v>177</v>
      </c>
      <c r="AH10" s="381">
        <v>34.65</v>
      </c>
      <c r="AI10" s="381">
        <v>6646.7</v>
      </c>
      <c r="AJ10" s="376" t="s">
        <v>178</v>
      </c>
      <c r="AK10" s="376" t="s">
        <v>179</v>
      </c>
      <c r="AL10" s="376" t="s">
        <v>180</v>
      </c>
      <c r="AM10" s="376" t="s">
        <v>181</v>
      </c>
      <c r="AN10" s="376" t="s">
        <v>68</v>
      </c>
      <c r="AO10" s="379">
        <v>80</v>
      </c>
      <c r="AP10" s="460">
        <v>1</v>
      </c>
      <c r="AQ10" s="460">
        <v>0.5</v>
      </c>
      <c r="AR10" s="458" t="s">
        <v>182</v>
      </c>
      <c r="AS10" s="462">
        <f t="shared" si="0"/>
        <v>0.5</v>
      </c>
      <c r="AT10">
        <f t="shared" si="1"/>
        <v>1</v>
      </c>
      <c r="AU10" s="462">
        <f>IF(AT10=0,"",IF(AND(AT10=1,M10="F",SUMIF(C2:C25,C10,AS2:AS25)&lt;=1),SUMIF(C2:C25,C10,AS2:AS25),IF(AND(AT10=1,M10="F",SUMIF(C2:C25,C10,AS2:AS25)&gt;1),1,"")))</f>
        <v>1</v>
      </c>
      <c r="AV10" s="462" t="str">
        <f>IF(AT10=0,"",IF(AND(AT10=3,M10="F",SUMIF(C2:C25,C10,AS2:AS25)&lt;=1),SUMIF(C2:C25,C10,AS2:AS25),IF(AND(AT10=3,M10="F",SUMIF(C2:C25,C10,AS2:AS25)&gt;1),1,"")))</f>
        <v/>
      </c>
      <c r="AW10" s="462">
        <f>SUMIF(C2:C25,C10,O2:O25)</f>
        <v>3</v>
      </c>
      <c r="AX10" s="462">
        <f>IF(AND(M10="F",AS10&lt;&gt;0),SUMIF(C2:C25,C10,W2:W25),0)</f>
        <v>72072</v>
      </c>
      <c r="AY10" s="462">
        <f t="shared" si="2"/>
        <v>36036</v>
      </c>
      <c r="AZ10" s="462" t="str">
        <f t="shared" si="3"/>
        <v/>
      </c>
      <c r="BA10" s="462">
        <f t="shared" si="4"/>
        <v>0</v>
      </c>
      <c r="BB10" s="462">
        <f>IF(AND(AT10=1,AK10="E",AU10&gt;=0.75,AW10=1),Health,IF(AND(AT10=1,AK10="E",AU10&gt;=0.75),Health*P10,IF(AND(AT10=1,AK10="E",AU10&gt;=0.5,AW10=1),PTHealth,IF(AND(AT10=1,AK10="E",AU10&gt;=0.5),PTHealth*P10,0))))</f>
        <v>5825</v>
      </c>
      <c r="BC10" s="462">
        <f>IF(AND(AT10=3,AK10="E",AV10&gt;=0.75,AW10=1),Health,IF(AND(AT10=3,AK10="E",AV10&gt;=0.75),Health*P10,IF(AND(AT10=3,AK10="E",AV10&gt;=0.5,AW10=1),PTHealth,IF(AND(AT10=3,AK10="E",AV10&gt;=0.5),PTHealth*P10,0))))</f>
        <v>0</v>
      </c>
      <c r="BD10" s="462">
        <f>IF(AND(AT10&lt;&gt;0,AX10&gt;=MAXSSDI),SSDI*MAXSSDI*P10,IF(AT10&lt;&gt;0,SSDI*W10,0))</f>
        <v>2234.232</v>
      </c>
      <c r="BE10" s="462">
        <f>IF(AT10&lt;&gt;0,SSHI*W10,0)</f>
        <v>522.52200000000005</v>
      </c>
      <c r="BF10" s="462">
        <f>IF(AND(AT10&lt;&gt;0,AN10&lt;&gt;"NE"),VLOOKUP(AN10,Retirement_Rates,3,FALSE)*W10,0)</f>
        <v>4302.6984000000002</v>
      </c>
      <c r="BG10" s="462">
        <f>IF(AND(AT10&lt;&gt;0,AJ10&lt;&gt;"PF"),Life*W10,0)</f>
        <v>259.81956000000002</v>
      </c>
      <c r="BH10" s="462">
        <f>IF(AND(AT10&lt;&gt;0,AM10="Y"),UI*W10,0)</f>
        <v>176.57640000000001</v>
      </c>
      <c r="BI10" s="462">
        <f>IF(AND(AT10&lt;&gt;0,N10&lt;&gt;"NR"),DHR*W10,0)</f>
        <v>0</v>
      </c>
      <c r="BJ10" s="462">
        <f>IF(AT10&lt;&gt;0,WC*W10,0)</f>
        <v>136.93680000000001</v>
      </c>
      <c r="BK10" s="462">
        <f>IF(OR(AND(AT10&lt;&gt;0,AJ10&lt;&gt;"PF",AN10&lt;&gt;"NE",AG10&lt;&gt;"A"),AND(AL10="E",OR(AT10=1,AT10=3))),Sick*W10,0)</f>
        <v>0</v>
      </c>
      <c r="BL10" s="462">
        <f t="shared" si="5"/>
        <v>7632.7851600000004</v>
      </c>
      <c r="BM10" s="462">
        <f t="shared" si="6"/>
        <v>0</v>
      </c>
      <c r="BN10" s="462">
        <f>IF(AND(AT10=1,AK10="E",AU10&gt;=0.75,AW10=1),HealthBY,IF(AND(AT10=1,AK10="E",AU10&gt;=0.75),HealthBY*P10,IF(AND(AT10=1,AK10="E",AU10&gt;=0.5,AW10=1),PTHealthBY,IF(AND(AT10=1,AK10="E",AU10&gt;=0.5),PTHealthBY*P10,0))))</f>
        <v>5825</v>
      </c>
      <c r="BO10" s="462">
        <f>IF(AND(AT10=3,AK10="E",AV10&gt;=0.75,AW10=1),HealthBY,IF(AND(AT10=3,AK10="E",AV10&gt;=0.75),HealthBY*P10,IF(AND(AT10=3,AK10="E",AV10&gt;=0.5,AW10=1),PTHealthBY,IF(AND(AT10=3,AK10="E",AV10&gt;=0.5),PTHealthBY*P10,0))))</f>
        <v>0</v>
      </c>
      <c r="BP10" s="462">
        <f>IF(AND(AT10&lt;&gt;0,(AX10+BA10)&gt;=MAXSSDIBY),SSDIBY*MAXSSDIBY*P10,IF(AT10&lt;&gt;0,SSDIBY*W10,0))</f>
        <v>2234.232</v>
      </c>
      <c r="BQ10" s="462">
        <f>IF(AT10&lt;&gt;0,SSHIBY*W10,0)</f>
        <v>522.52200000000005</v>
      </c>
      <c r="BR10" s="462">
        <f>IF(AND(AT10&lt;&gt;0,AN10&lt;&gt;"NE"),VLOOKUP(AN10,Retirement_Rates,4,FALSE)*W10,0)</f>
        <v>4302.6984000000002</v>
      </c>
      <c r="BS10" s="462">
        <f>IF(AND(AT10&lt;&gt;0,AJ10&lt;&gt;"PF"),LifeBY*W10,0)</f>
        <v>259.81956000000002</v>
      </c>
      <c r="BT10" s="462">
        <f>IF(AND(AT10&lt;&gt;0,AM10="Y"),UIBY*W10,0)</f>
        <v>0</v>
      </c>
      <c r="BU10" s="462">
        <f>IF(AND(AT10&lt;&gt;0,N10&lt;&gt;"NR"),DHRBY*W10,0)</f>
        <v>0</v>
      </c>
      <c r="BV10" s="462">
        <f>IF(AT10&lt;&gt;0,WCBY*W10,0)</f>
        <v>129.7296</v>
      </c>
      <c r="BW10" s="462">
        <f>IF(OR(AND(AT10&lt;&gt;0,AJ10&lt;&gt;"PF",AN10&lt;&gt;"NE",AG10&lt;&gt;"A"),AND(AL10="E",OR(AT10=1,AT10=3))),SickBY*W10,0)</f>
        <v>0</v>
      </c>
      <c r="BX10" s="462">
        <f t="shared" si="7"/>
        <v>7449.0015599999997</v>
      </c>
      <c r="BY10" s="462">
        <f t="shared" si="8"/>
        <v>0</v>
      </c>
      <c r="BZ10" s="462">
        <f t="shared" si="9"/>
        <v>0</v>
      </c>
      <c r="CA10" s="462">
        <f t="shared" si="10"/>
        <v>0</v>
      </c>
      <c r="CB10" s="462">
        <f t="shared" si="11"/>
        <v>0</v>
      </c>
      <c r="CC10" s="462">
        <f>IF(AT10&lt;&gt;0,SSHICHG*Y10,0)</f>
        <v>0</v>
      </c>
      <c r="CD10" s="462">
        <f>IF(AND(AT10&lt;&gt;0,AN10&lt;&gt;"NE"),VLOOKUP(AN10,Retirement_Rates,5,FALSE)*Y10,0)</f>
        <v>0</v>
      </c>
      <c r="CE10" s="462">
        <f>IF(AND(AT10&lt;&gt;0,AJ10&lt;&gt;"PF"),LifeCHG*Y10,0)</f>
        <v>0</v>
      </c>
      <c r="CF10" s="462">
        <f>IF(AND(AT10&lt;&gt;0,AM10="Y"),UICHG*Y10,0)</f>
        <v>-176.57640000000001</v>
      </c>
      <c r="CG10" s="462">
        <f>IF(AND(AT10&lt;&gt;0,N10&lt;&gt;"NR"),DHRCHG*Y10,0)</f>
        <v>0</v>
      </c>
      <c r="CH10" s="462">
        <f>IF(AT10&lt;&gt;0,WCCHG*Y10,0)</f>
        <v>-7.2072000000000029</v>
      </c>
      <c r="CI10" s="462">
        <f>IF(OR(AND(AT10&lt;&gt;0,AJ10&lt;&gt;"PF",AN10&lt;&gt;"NE",AG10&lt;&gt;"A"),AND(AL10="E",OR(AT10=1,AT10=3))),SickCHG*Y10,0)</f>
        <v>0</v>
      </c>
      <c r="CJ10" s="462">
        <f t="shared" si="12"/>
        <v>-183.78360000000001</v>
      </c>
      <c r="CK10" s="462" t="str">
        <f t="shared" si="13"/>
        <v/>
      </c>
      <c r="CL10" s="462" t="str">
        <f t="shared" si="14"/>
        <v/>
      </c>
      <c r="CM10" s="462" t="str">
        <f t="shared" si="15"/>
        <v/>
      </c>
      <c r="CN10" s="462" t="str">
        <f t="shared" si="16"/>
        <v>0348-00</v>
      </c>
    </row>
    <row r="11" spans="1:92" ht="15" thickBot="1" x14ac:dyDescent="0.35">
      <c r="A11" s="376" t="s">
        <v>161</v>
      </c>
      <c r="B11" s="376" t="s">
        <v>162</v>
      </c>
      <c r="C11" s="376" t="s">
        <v>189</v>
      </c>
      <c r="D11" s="376" t="s">
        <v>164</v>
      </c>
      <c r="E11" s="376" t="s">
        <v>203</v>
      </c>
      <c r="F11" s="377" t="s">
        <v>165</v>
      </c>
      <c r="G11" s="376" t="s">
        <v>166</v>
      </c>
      <c r="H11" s="378"/>
      <c r="I11" s="378"/>
      <c r="J11" s="376" t="s">
        <v>184</v>
      </c>
      <c r="K11" s="376" t="s">
        <v>168</v>
      </c>
      <c r="L11" s="376" t="s">
        <v>169</v>
      </c>
      <c r="M11" s="376" t="s">
        <v>170</v>
      </c>
      <c r="N11" s="376" t="s">
        <v>171</v>
      </c>
      <c r="O11" s="379">
        <v>1</v>
      </c>
      <c r="P11" s="460">
        <v>0.1</v>
      </c>
      <c r="Q11" s="460">
        <v>0.1</v>
      </c>
      <c r="R11" s="380">
        <v>80</v>
      </c>
      <c r="S11" s="460">
        <v>0.1</v>
      </c>
      <c r="T11" s="380">
        <v>6519.71</v>
      </c>
      <c r="U11" s="380">
        <v>0</v>
      </c>
      <c r="V11" s="380">
        <v>2919.23</v>
      </c>
      <c r="W11" s="380">
        <v>5200</v>
      </c>
      <c r="X11" s="380">
        <v>2266.4</v>
      </c>
      <c r="Y11" s="380">
        <v>5200</v>
      </c>
      <c r="Z11" s="380">
        <v>2239.88</v>
      </c>
      <c r="AA11" s="376" t="s">
        <v>190</v>
      </c>
      <c r="AB11" s="376" t="s">
        <v>191</v>
      </c>
      <c r="AC11" s="376" t="s">
        <v>192</v>
      </c>
      <c r="AD11" s="376" t="s">
        <v>193</v>
      </c>
      <c r="AE11" s="376" t="s">
        <v>168</v>
      </c>
      <c r="AF11" s="376" t="s">
        <v>176</v>
      </c>
      <c r="AG11" s="376" t="s">
        <v>177</v>
      </c>
      <c r="AH11" s="379">
        <v>25</v>
      </c>
      <c r="AI11" s="381">
        <v>6486.5</v>
      </c>
      <c r="AJ11" s="376" t="s">
        <v>178</v>
      </c>
      <c r="AK11" s="376" t="s">
        <v>179</v>
      </c>
      <c r="AL11" s="376" t="s">
        <v>180</v>
      </c>
      <c r="AM11" s="376" t="s">
        <v>181</v>
      </c>
      <c r="AN11" s="376" t="s">
        <v>68</v>
      </c>
      <c r="AO11" s="379">
        <v>80</v>
      </c>
      <c r="AP11" s="460">
        <v>1</v>
      </c>
      <c r="AQ11" s="460">
        <v>0.1</v>
      </c>
      <c r="AR11" s="458" t="s">
        <v>182</v>
      </c>
      <c r="AS11" s="462">
        <f t="shared" si="0"/>
        <v>0.1</v>
      </c>
      <c r="AT11">
        <f t="shared" si="1"/>
        <v>1</v>
      </c>
      <c r="AU11" s="462">
        <f>IF(AT11=0,"",IF(AND(AT11=1,M11="F",SUMIF(C2:C25,C11,AS2:AS25)&lt;=1),SUMIF(C2:C25,C11,AS2:AS25),IF(AND(AT11=1,M11="F",SUMIF(C2:C25,C11,AS2:AS25)&gt;1),1,"")))</f>
        <v>1</v>
      </c>
      <c r="AV11" s="462" t="str">
        <f>IF(AT11=0,"",IF(AND(AT11=3,M11="F",SUMIF(C2:C25,C11,AS2:AS25)&lt;=1),SUMIF(C2:C25,C11,AS2:AS25),IF(AND(AT11=3,M11="F",SUMIF(C2:C25,C11,AS2:AS25)&gt;1),1,"")))</f>
        <v/>
      </c>
      <c r="AW11" s="462">
        <f>SUMIF(C2:C25,C11,O2:O25)</f>
        <v>3</v>
      </c>
      <c r="AX11" s="462">
        <f>IF(AND(M11="F",AS11&lt;&gt;0),SUMIF(C2:C25,C11,W2:W25),0)</f>
        <v>52000</v>
      </c>
      <c r="AY11" s="462">
        <f t="shared" si="2"/>
        <v>5200</v>
      </c>
      <c r="AZ11" s="462" t="str">
        <f t="shared" si="3"/>
        <v/>
      </c>
      <c r="BA11" s="462">
        <f t="shared" si="4"/>
        <v>0</v>
      </c>
      <c r="BB11" s="462">
        <f>IF(AND(AT11=1,AK11="E",AU11&gt;=0.75,AW11=1),Health,IF(AND(AT11=1,AK11="E",AU11&gt;=0.75),Health*P11,IF(AND(AT11=1,AK11="E",AU11&gt;=0.5,AW11=1),PTHealth,IF(AND(AT11=1,AK11="E",AU11&gt;=0.5),PTHealth*P11,0))))</f>
        <v>1165</v>
      </c>
      <c r="BC11" s="462">
        <f>IF(AND(AT11=3,AK11="E",AV11&gt;=0.75,AW11=1),Health,IF(AND(AT11=3,AK11="E",AV11&gt;=0.75),Health*P11,IF(AND(AT11=3,AK11="E",AV11&gt;=0.5,AW11=1),PTHealth,IF(AND(AT11=3,AK11="E",AV11&gt;=0.5),PTHealth*P11,0))))</f>
        <v>0</v>
      </c>
      <c r="BD11" s="462">
        <f>IF(AND(AT11&lt;&gt;0,AX11&gt;=MAXSSDI),SSDI*MAXSSDI*P11,IF(AT11&lt;&gt;0,SSDI*W11,0))</f>
        <v>322.39999999999998</v>
      </c>
      <c r="BE11" s="462">
        <f>IF(AT11&lt;&gt;0,SSHI*W11,0)</f>
        <v>75.400000000000006</v>
      </c>
      <c r="BF11" s="462">
        <f>IF(AND(AT11&lt;&gt;0,AN11&lt;&gt;"NE"),VLOOKUP(AN11,Retirement_Rates,3,FALSE)*W11,0)</f>
        <v>620.88</v>
      </c>
      <c r="BG11" s="462">
        <f>IF(AND(AT11&lt;&gt;0,AJ11&lt;&gt;"PF"),Life*W11,0)</f>
        <v>37.492000000000004</v>
      </c>
      <c r="BH11" s="462">
        <f>IF(AND(AT11&lt;&gt;0,AM11="Y"),UI*W11,0)</f>
        <v>25.48</v>
      </c>
      <c r="BI11" s="462">
        <f>IF(AND(AT11&lt;&gt;0,N11&lt;&gt;"NR"),DHR*W11,0)</f>
        <v>0</v>
      </c>
      <c r="BJ11" s="462">
        <f>IF(AT11&lt;&gt;0,WC*W11,0)</f>
        <v>19.760000000000002</v>
      </c>
      <c r="BK11" s="462">
        <f>IF(OR(AND(AT11&lt;&gt;0,AJ11&lt;&gt;"PF",AN11&lt;&gt;"NE",AG11&lt;&gt;"A"),AND(AL11="E",OR(AT11=1,AT11=3))),Sick*W11,0)</f>
        <v>0</v>
      </c>
      <c r="BL11" s="462">
        <f t="shared" si="5"/>
        <v>1101.412</v>
      </c>
      <c r="BM11" s="462">
        <f t="shared" si="6"/>
        <v>0</v>
      </c>
      <c r="BN11" s="462">
        <f>IF(AND(AT11=1,AK11="E",AU11&gt;=0.75,AW11=1),HealthBY,IF(AND(AT11=1,AK11="E",AU11&gt;=0.75),HealthBY*P11,IF(AND(AT11=1,AK11="E",AU11&gt;=0.5,AW11=1),PTHealthBY,IF(AND(AT11=1,AK11="E",AU11&gt;=0.5),PTHealthBY*P11,0))))</f>
        <v>1165</v>
      </c>
      <c r="BO11" s="462">
        <f>IF(AND(AT11=3,AK11="E",AV11&gt;=0.75,AW11=1),HealthBY,IF(AND(AT11=3,AK11="E",AV11&gt;=0.75),HealthBY*P11,IF(AND(AT11=3,AK11="E",AV11&gt;=0.5,AW11=1),PTHealthBY,IF(AND(AT11=3,AK11="E",AV11&gt;=0.5),PTHealthBY*P11,0))))</f>
        <v>0</v>
      </c>
      <c r="BP11" s="462">
        <f>IF(AND(AT11&lt;&gt;0,(AX11+BA11)&gt;=MAXSSDIBY),SSDIBY*MAXSSDIBY*P11,IF(AT11&lt;&gt;0,SSDIBY*W11,0))</f>
        <v>322.39999999999998</v>
      </c>
      <c r="BQ11" s="462">
        <f>IF(AT11&lt;&gt;0,SSHIBY*W11,0)</f>
        <v>75.400000000000006</v>
      </c>
      <c r="BR11" s="462">
        <f>IF(AND(AT11&lt;&gt;0,AN11&lt;&gt;"NE"),VLOOKUP(AN11,Retirement_Rates,4,FALSE)*W11,0)</f>
        <v>620.88</v>
      </c>
      <c r="BS11" s="462">
        <f>IF(AND(AT11&lt;&gt;0,AJ11&lt;&gt;"PF"),LifeBY*W11,0)</f>
        <v>37.492000000000004</v>
      </c>
      <c r="BT11" s="462">
        <f>IF(AND(AT11&lt;&gt;0,AM11="Y"),UIBY*W11,0)</f>
        <v>0</v>
      </c>
      <c r="BU11" s="462">
        <f>IF(AND(AT11&lt;&gt;0,N11&lt;&gt;"NR"),DHRBY*W11,0)</f>
        <v>0</v>
      </c>
      <c r="BV11" s="462">
        <f>IF(AT11&lt;&gt;0,WCBY*W11,0)</f>
        <v>18.72</v>
      </c>
      <c r="BW11" s="462">
        <f>IF(OR(AND(AT11&lt;&gt;0,AJ11&lt;&gt;"PF",AN11&lt;&gt;"NE",AG11&lt;&gt;"A"),AND(AL11="E",OR(AT11=1,AT11=3))),SickBY*W11,0)</f>
        <v>0</v>
      </c>
      <c r="BX11" s="462">
        <f t="shared" si="7"/>
        <v>1074.8920000000001</v>
      </c>
      <c r="BY11" s="462">
        <f t="shared" si="8"/>
        <v>0</v>
      </c>
      <c r="BZ11" s="462">
        <f t="shared" si="9"/>
        <v>0</v>
      </c>
      <c r="CA11" s="462">
        <f t="shared" si="10"/>
        <v>0</v>
      </c>
      <c r="CB11" s="462">
        <f t="shared" si="11"/>
        <v>0</v>
      </c>
      <c r="CC11" s="462">
        <f>IF(AT11&lt;&gt;0,SSHICHG*Y11,0)</f>
        <v>0</v>
      </c>
      <c r="CD11" s="462">
        <f>IF(AND(AT11&lt;&gt;0,AN11&lt;&gt;"NE"),VLOOKUP(AN11,Retirement_Rates,5,FALSE)*Y11,0)</f>
        <v>0</v>
      </c>
      <c r="CE11" s="462">
        <f>IF(AND(AT11&lt;&gt;0,AJ11&lt;&gt;"PF"),LifeCHG*Y11,0)</f>
        <v>0</v>
      </c>
      <c r="CF11" s="462">
        <f>IF(AND(AT11&lt;&gt;0,AM11="Y"),UICHG*Y11,0)</f>
        <v>-25.48</v>
      </c>
      <c r="CG11" s="462">
        <f>IF(AND(AT11&lt;&gt;0,N11&lt;&gt;"NR"),DHRCHG*Y11,0)</f>
        <v>0</v>
      </c>
      <c r="CH11" s="462">
        <f>IF(AT11&lt;&gt;0,WCCHG*Y11,0)</f>
        <v>-1.0400000000000005</v>
      </c>
      <c r="CI11" s="462">
        <f>IF(OR(AND(AT11&lt;&gt;0,AJ11&lt;&gt;"PF",AN11&lt;&gt;"NE",AG11&lt;&gt;"A"),AND(AL11="E",OR(AT11=1,AT11=3))),SickCHG*Y11,0)</f>
        <v>0</v>
      </c>
      <c r="CJ11" s="462">
        <f t="shared" si="12"/>
        <v>-26.52</v>
      </c>
      <c r="CK11" s="462" t="str">
        <f t="shared" si="13"/>
        <v/>
      </c>
      <c r="CL11" s="462" t="str">
        <f t="shared" si="14"/>
        <v/>
      </c>
      <c r="CM11" s="462" t="str">
        <f t="shared" si="15"/>
        <v/>
      </c>
      <c r="CN11" s="462" t="str">
        <f t="shared" si="16"/>
        <v>0348-00</v>
      </c>
    </row>
    <row r="12" spans="1:92" ht="15" thickBot="1" x14ac:dyDescent="0.35">
      <c r="A12" s="376" t="s">
        <v>161</v>
      </c>
      <c r="B12" s="376" t="s">
        <v>162</v>
      </c>
      <c r="C12" s="376" t="s">
        <v>224</v>
      </c>
      <c r="D12" s="376" t="s">
        <v>164</v>
      </c>
      <c r="E12" s="376" t="s">
        <v>203</v>
      </c>
      <c r="F12" s="377" t="s">
        <v>165</v>
      </c>
      <c r="G12" s="376" t="s">
        <v>166</v>
      </c>
      <c r="H12" s="378"/>
      <c r="I12" s="378"/>
      <c r="J12" s="376" t="s">
        <v>167</v>
      </c>
      <c r="K12" s="376" t="s">
        <v>168</v>
      </c>
      <c r="L12" s="376" t="s">
        <v>169</v>
      </c>
      <c r="M12" s="376" t="s">
        <v>170</v>
      </c>
      <c r="N12" s="376" t="s">
        <v>171</v>
      </c>
      <c r="O12" s="379">
        <v>1</v>
      </c>
      <c r="P12" s="460">
        <v>1</v>
      </c>
      <c r="Q12" s="460">
        <v>1</v>
      </c>
      <c r="R12" s="380">
        <v>80</v>
      </c>
      <c r="S12" s="460">
        <v>1</v>
      </c>
      <c r="T12" s="380">
        <v>32847.64</v>
      </c>
      <c r="U12" s="380">
        <v>0</v>
      </c>
      <c r="V12" s="380">
        <v>16082.51</v>
      </c>
      <c r="W12" s="380">
        <v>46508.800000000003</v>
      </c>
      <c r="X12" s="380">
        <v>21501</v>
      </c>
      <c r="Y12" s="380">
        <v>46508.800000000003</v>
      </c>
      <c r="Z12" s="380">
        <v>21263.8</v>
      </c>
      <c r="AA12" s="376" t="s">
        <v>225</v>
      </c>
      <c r="AB12" s="376" t="s">
        <v>226</v>
      </c>
      <c r="AC12" s="376" t="s">
        <v>227</v>
      </c>
      <c r="AD12" s="376" t="s">
        <v>228</v>
      </c>
      <c r="AE12" s="376" t="s">
        <v>168</v>
      </c>
      <c r="AF12" s="376" t="s">
        <v>176</v>
      </c>
      <c r="AG12" s="376" t="s">
        <v>177</v>
      </c>
      <c r="AH12" s="381">
        <v>22.36</v>
      </c>
      <c r="AI12" s="381">
        <v>320.5</v>
      </c>
      <c r="AJ12" s="376" t="s">
        <v>178</v>
      </c>
      <c r="AK12" s="376" t="s">
        <v>179</v>
      </c>
      <c r="AL12" s="376" t="s">
        <v>180</v>
      </c>
      <c r="AM12" s="376" t="s">
        <v>181</v>
      </c>
      <c r="AN12" s="376" t="s">
        <v>68</v>
      </c>
      <c r="AO12" s="379">
        <v>80</v>
      </c>
      <c r="AP12" s="460">
        <v>1</v>
      </c>
      <c r="AQ12" s="460">
        <v>1</v>
      </c>
      <c r="AR12" s="458" t="s">
        <v>182</v>
      </c>
      <c r="AS12" s="462">
        <f t="shared" si="0"/>
        <v>1</v>
      </c>
      <c r="AT12">
        <f t="shared" si="1"/>
        <v>1</v>
      </c>
      <c r="AU12" s="462">
        <f>IF(AT12=0,"",IF(AND(AT12=1,M12="F",SUMIF(C2:C25,C12,AS2:AS25)&lt;=1),SUMIF(C2:C25,C12,AS2:AS25),IF(AND(AT12=1,M12="F",SUMIF(C2:C25,C12,AS2:AS25)&gt;1),1,"")))</f>
        <v>1</v>
      </c>
      <c r="AV12" s="462" t="str">
        <f>IF(AT12=0,"",IF(AND(AT12=3,M12="F",SUMIF(C2:C25,C12,AS2:AS25)&lt;=1),SUMIF(C2:C25,C12,AS2:AS25),IF(AND(AT12=3,M12="F",SUMIF(C2:C25,C12,AS2:AS25)&gt;1),1,"")))</f>
        <v/>
      </c>
      <c r="AW12" s="462">
        <f>SUMIF(C2:C25,C12,O2:O25)</f>
        <v>2</v>
      </c>
      <c r="AX12" s="462">
        <f>IF(AND(M12="F",AS12&lt;&gt;0),SUMIF(C2:C25,C12,W2:W25),0)</f>
        <v>46508.800000000003</v>
      </c>
      <c r="AY12" s="462">
        <f t="shared" si="2"/>
        <v>46508.800000000003</v>
      </c>
      <c r="AZ12" s="462" t="str">
        <f t="shared" si="3"/>
        <v/>
      </c>
      <c r="BA12" s="462">
        <f t="shared" si="4"/>
        <v>0</v>
      </c>
      <c r="BB12" s="462">
        <f>IF(AND(AT12=1,AK12="E",AU12&gt;=0.75,AW12=1),Health,IF(AND(AT12=1,AK12="E",AU12&gt;=0.75),Health*P12,IF(AND(AT12=1,AK12="E",AU12&gt;=0.5,AW12=1),PTHealth,IF(AND(AT12=1,AK12="E",AU12&gt;=0.5),PTHealth*P12,0))))</f>
        <v>11650</v>
      </c>
      <c r="BC12" s="462">
        <f>IF(AND(AT12=3,AK12="E",AV12&gt;=0.75,AW12=1),Health,IF(AND(AT12=3,AK12="E",AV12&gt;=0.75),Health*P12,IF(AND(AT12=3,AK12="E",AV12&gt;=0.5,AW12=1),PTHealth,IF(AND(AT12=3,AK12="E",AV12&gt;=0.5),PTHealth*P12,0))))</f>
        <v>0</v>
      </c>
      <c r="BD12" s="462">
        <f>IF(AND(AT12&lt;&gt;0,AX12&gt;=MAXSSDI),SSDI*MAXSSDI*P12,IF(AT12&lt;&gt;0,SSDI*W12,0))</f>
        <v>2883.5456000000004</v>
      </c>
      <c r="BE12" s="462">
        <f>IF(AT12&lt;&gt;0,SSHI*W12,0)</f>
        <v>674.37760000000003</v>
      </c>
      <c r="BF12" s="462">
        <f>IF(AND(AT12&lt;&gt;0,AN12&lt;&gt;"NE"),VLOOKUP(AN12,Retirement_Rates,3,FALSE)*W12,0)</f>
        <v>5553.1507200000005</v>
      </c>
      <c r="BG12" s="462">
        <f>IF(AND(AT12&lt;&gt;0,AJ12&lt;&gt;"PF"),Life*W12,0)</f>
        <v>335.32844800000004</v>
      </c>
      <c r="BH12" s="462">
        <f>IF(AND(AT12&lt;&gt;0,AM12="Y"),UI*W12,0)</f>
        <v>227.89312000000001</v>
      </c>
      <c r="BI12" s="462">
        <f>IF(AND(AT12&lt;&gt;0,N12&lt;&gt;"NR"),DHR*W12,0)</f>
        <v>0</v>
      </c>
      <c r="BJ12" s="462">
        <f>IF(AT12&lt;&gt;0,WC*W12,0)</f>
        <v>176.73344</v>
      </c>
      <c r="BK12" s="462">
        <f>IF(OR(AND(AT12&lt;&gt;0,AJ12&lt;&gt;"PF",AN12&lt;&gt;"NE",AG12&lt;&gt;"A"),AND(AL12="E",OR(AT12=1,AT12=3))),Sick*W12,0)</f>
        <v>0</v>
      </c>
      <c r="BL12" s="462">
        <f t="shared" si="5"/>
        <v>9851.0289280000015</v>
      </c>
      <c r="BM12" s="462">
        <f t="shared" si="6"/>
        <v>0</v>
      </c>
      <c r="BN12" s="462">
        <f>IF(AND(AT12=1,AK12="E",AU12&gt;=0.75,AW12=1),HealthBY,IF(AND(AT12=1,AK12="E",AU12&gt;=0.75),HealthBY*P12,IF(AND(AT12=1,AK12="E",AU12&gt;=0.5,AW12=1),PTHealthBY,IF(AND(AT12=1,AK12="E",AU12&gt;=0.5),PTHealthBY*P12,0))))</f>
        <v>11650</v>
      </c>
      <c r="BO12" s="462">
        <f>IF(AND(AT12=3,AK12="E",AV12&gt;=0.75,AW12=1),HealthBY,IF(AND(AT12=3,AK12="E",AV12&gt;=0.75),HealthBY*P12,IF(AND(AT12=3,AK12="E",AV12&gt;=0.5,AW12=1),PTHealthBY,IF(AND(AT12=3,AK12="E",AV12&gt;=0.5),PTHealthBY*P12,0))))</f>
        <v>0</v>
      </c>
      <c r="BP12" s="462">
        <f>IF(AND(AT12&lt;&gt;0,(AX12+BA12)&gt;=MAXSSDIBY),SSDIBY*MAXSSDIBY*P12,IF(AT12&lt;&gt;0,SSDIBY*W12,0))</f>
        <v>2883.5456000000004</v>
      </c>
      <c r="BQ12" s="462">
        <f>IF(AT12&lt;&gt;0,SSHIBY*W12,0)</f>
        <v>674.37760000000003</v>
      </c>
      <c r="BR12" s="462">
        <f>IF(AND(AT12&lt;&gt;0,AN12&lt;&gt;"NE"),VLOOKUP(AN12,Retirement_Rates,4,FALSE)*W12,0)</f>
        <v>5553.1507200000005</v>
      </c>
      <c r="BS12" s="462">
        <f>IF(AND(AT12&lt;&gt;0,AJ12&lt;&gt;"PF"),LifeBY*W12,0)</f>
        <v>335.32844800000004</v>
      </c>
      <c r="BT12" s="462">
        <f>IF(AND(AT12&lt;&gt;0,AM12="Y"),UIBY*W12,0)</f>
        <v>0</v>
      </c>
      <c r="BU12" s="462">
        <f>IF(AND(AT12&lt;&gt;0,N12&lt;&gt;"NR"),DHRBY*W12,0)</f>
        <v>0</v>
      </c>
      <c r="BV12" s="462">
        <f>IF(AT12&lt;&gt;0,WCBY*W12,0)</f>
        <v>167.43168</v>
      </c>
      <c r="BW12" s="462">
        <f>IF(OR(AND(AT12&lt;&gt;0,AJ12&lt;&gt;"PF",AN12&lt;&gt;"NE",AG12&lt;&gt;"A"),AND(AL12="E",OR(AT12=1,AT12=3))),SickBY*W12,0)</f>
        <v>0</v>
      </c>
      <c r="BX12" s="462">
        <f t="shared" si="7"/>
        <v>9613.8340480000006</v>
      </c>
      <c r="BY12" s="462">
        <f t="shared" si="8"/>
        <v>0</v>
      </c>
      <c r="BZ12" s="462">
        <f t="shared" si="9"/>
        <v>0</v>
      </c>
      <c r="CA12" s="462">
        <f t="shared" si="10"/>
        <v>0</v>
      </c>
      <c r="CB12" s="462">
        <f t="shared" si="11"/>
        <v>0</v>
      </c>
      <c r="CC12" s="462">
        <f>IF(AT12&lt;&gt;0,SSHICHG*Y12,0)</f>
        <v>0</v>
      </c>
      <c r="CD12" s="462">
        <f>IF(AND(AT12&lt;&gt;0,AN12&lt;&gt;"NE"),VLOOKUP(AN12,Retirement_Rates,5,FALSE)*Y12,0)</f>
        <v>0</v>
      </c>
      <c r="CE12" s="462">
        <f>IF(AND(AT12&lt;&gt;0,AJ12&lt;&gt;"PF"),LifeCHG*Y12,0)</f>
        <v>0</v>
      </c>
      <c r="CF12" s="462">
        <f>IF(AND(AT12&lt;&gt;0,AM12="Y"),UICHG*Y12,0)</f>
        <v>-227.89312000000001</v>
      </c>
      <c r="CG12" s="462">
        <f>IF(AND(AT12&lt;&gt;0,N12&lt;&gt;"NR"),DHRCHG*Y12,0)</f>
        <v>0</v>
      </c>
      <c r="CH12" s="462">
        <f>IF(AT12&lt;&gt;0,WCCHG*Y12,0)</f>
        <v>-9.3017600000000051</v>
      </c>
      <c r="CI12" s="462">
        <f>IF(OR(AND(AT12&lt;&gt;0,AJ12&lt;&gt;"PF",AN12&lt;&gt;"NE",AG12&lt;&gt;"A"),AND(AL12="E",OR(AT12=1,AT12=3))),SickCHG*Y12,0)</f>
        <v>0</v>
      </c>
      <c r="CJ12" s="462">
        <f t="shared" si="12"/>
        <v>-237.19488000000001</v>
      </c>
      <c r="CK12" s="462" t="str">
        <f t="shared" si="13"/>
        <v/>
      </c>
      <c r="CL12" s="462" t="str">
        <f t="shared" si="14"/>
        <v/>
      </c>
      <c r="CM12" s="462" t="str">
        <f t="shared" si="15"/>
        <v/>
      </c>
      <c r="CN12" s="462" t="str">
        <f t="shared" si="16"/>
        <v>0348-00</v>
      </c>
    </row>
    <row r="13" spans="1:92" ht="15" thickBot="1" x14ac:dyDescent="0.35">
      <c r="A13" s="376" t="s">
        <v>161</v>
      </c>
      <c r="B13" s="376" t="s">
        <v>162</v>
      </c>
      <c r="C13" s="376" t="s">
        <v>194</v>
      </c>
      <c r="D13" s="376" t="s">
        <v>195</v>
      </c>
      <c r="E13" s="376" t="s">
        <v>203</v>
      </c>
      <c r="F13" s="377" t="s">
        <v>165</v>
      </c>
      <c r="G13" s="376" t="s">
        <v>166</v>
      </c>
      <c r="H13" s="378"/>
      <c r="I13" s="378"/>
      <c r="J13" s="376" t="s">
        <v>167</v>
      </c>
      <c r="K13" s="376" t="s">
        <v>196</v>
      </c>
      <c r="L13" s="376" t="s">
        <v>165</v>
      </c>
      <c r="M13" s="376" t="s">
        <v>170</v>
      </c>
      <c r="N13" s="376" t="s">
        <v>171</v>
      </c>
      <c r="O13" s="379">
        <v>1</v>
      </c>
      <c r="P13" s="460">
        <v>0</v>
      </c>
      <c r="Q13" s="460">
        <v>0</v>
      </c>
      <c r="R13" s="380">
        <v>80</v>
      </c>
      <c r="S13" s="460">
        <v>0</v>
      </c>
      <c r="T13" s="380">
        <v>0</v>
      </c>
      <c r="U13" s="380">
        <v>0</v>
      </c>
      <c r="V13" s="380">
        <v>5.62</v>
      </c>
      <c r="W13" s="380">
        <v>0</v>
      </c>
      <c r="X13" s="380">
        <v>0</v>
      </c>
      <c r="Y13" s="380">
        <v>0</v>
      </c>
      <c r="Z13" s="380">
        <v>0</v>
      </c>
      <c r="AA13" s="376" t="s">
        <v>197</v>
      </c>
      <c r="AB13" s="376" t="s">
        <v>198</v>
      </c>
      <c r="AC13" s="376" t="s">
        <v>199</v>
      </c>
      <c r="AD13" s="376" t="s">
        <v>200</v>
      </c>
      <c r="AE13" s="376" t="s">
        <v>196</v>
      </c>
      <c r="AF13" s="376" t="s">
        <v>176</v>
      </c>
      <c r="AG13" s="376" t="s">
        <v>177</v>
      </c>
      <c r="AH13" s="381">
        <v>51.66</v>
      </c>
      <c r="AI13" s="381">
        <v>54579.5</v>
      </c>
      <c r="AJ13" s="376" t="s">
        <v>178</v>
      </c>
      <c r="AK13" s="376" t="s">
        <v>179</v>
      </c>
      <c r="AL13" s="376" t="s">
        <v>180</v>
      </c>
      <c r="AM13" s="376" t="s">
        <v>180</v>
      </c>
      <c r="AN13" s="376" t="s">
        <v>68</v>
      </c>
      <c r="AO13" s="379">
        <v>80</v>
      </c>
      <c r="AP13" s="460">
        <v>1</v>
      </c>
      <c r="AQ13" s="460">
        <v>0</v>
      </c>
      <c r="AR13" s="458" t="s">
        <v>182</v>
      </c>
      <c r="AS13" s="462">
        <f t="shared" si="0"/>
        <v>0</v>
      </c>
      <c r="AT13">
        <f t="shared" si="1"/>
        <v>0</v>
      </c>
      <c r="AU13" s="462" t="str">
        <f>IF(AT13=0,"",IF(AND(AT13=1,M13="F",SUMIF(C2:C25,C13,AS2:AS25)&lt;=1),SUMIF(C2:C25,C13,AS2:AS25),IF(AND(AT13=1,M13="F",SUMIF(C2:C25,C13,AS2:AS25)&gt;1),1,"")))</f>
        <v/>
      </c>
      <c r="AV13" s="462" t="str">
        <f>IF(AT13=0,"",IF(AND(AT13=3,M13="F",SUMIF(C2:C25,C13,AS2:AS25)&lt;=1),SUMIF(C2:C25,C13,AS2:AS25),IF(AND(AT13=3,M13="F",SUMIF(C2:C25,C13,AS2:AS25)&gt;1),1,"")))</f>
        <v/>
      </c>
      <c r="AW13" s="462">
        <f>SUMIF(C2:C25,C13,O2:O25)</f>
        <v>4</v>
      </c>
      <c r="AX13" s="462">
        <f>IF(AND(M13="F",AS13&lt;&gt;0),SUMIF(C2:C25,C13,W2:W25),0)</f>
        <v>0</v>
      </c>
      <c r="AY13" s="462" t="str">
        <f t="shared" si="2"/>
        <v/>
      </c>
      <c r="AZ13" s="462" t="str">
        <f t="shared" si="3"/>
        <v/>
      </c>
      <c r="BA13" s="462">
        <f t="shared" si="4"/>
        <v>0</v>
      </c>
      <c r="BB13" s="462">
        <f>IF(AND(AT13=1,AK13="E",AU13&gt;=0.75,AW13=1),Health,IF(AND(AT13=1,AK13="E",AU13&gt;=0.75),Health*P13,IF(AND(AT13=1,AK13="E",AU13&gt;=0.5,AW13=1),PTHealth,IF(AND(AT13=1,AK13="E",AU13&gt;=0.5),PTHealth*P13,0))))</f>
        <v>0</v>
      </c>
      <c r="BC13" s="462">
        <f>IF(AND(AT13=3,AK13="E",AV13&gt;=0.75,AW13=1),Health,IF(AND(AT13=3,AK13="E",AV13&gt;=0.75),Health*P13,IF(AND(AT13=3,AK13="E",AV13&gt;=0.5,AW13=1),PTHealth,IF(AND(AT13=3,AK13="E",AV13&gt;=0.5),PTHealth*P13,0))))</f>
        <v>0</v>
      </c>
      <c r="BD13" s="462">
        <f>IF(AND(AT13&lt;&gt;0,AX13&gt;=MAXSSDI),SSDI*MAXSSDI*P13,IF(AT13&lt;&gt;0,SSDI*W13,0))</f>
        <v>0</v>
      </c>
      <c r="BE13" s="462">
        <f>IF(AT13&lt;&gt;0,SSHI*W13,0)</f>
        <v>0</v>
      </c>
      <c r="BF13" s="462">
        <f>IF(AND(AT13&lt;&gt;0,AN13&lt;&gt;"NE"),VLOOKUP(AN13,Retirement_Rates,3,FALSE)*W13,0)</f>
        <v>0</v>
      </c>
      <c r="BG13" s="462">
        <f>IF(AND(AT13&lt;&gt;0,AJ13&lt;&gt;"PF"),Life*W13,0)</f>
        <v>0</v>
      </c>
      <c r="BH13" s="462">
        <f>IF(AND(AT13&lt;&gt;0,AM13="Y"),UI*W13,0)</f>
        <v>0</v>
      </c>
      <c r="BI13" s="462">
        <f>IF(AND(AT13&lt;&gt;0,N13&lt;&gt;"NR"),DHR*W13,0)</f>
        <v>0</v>
      </c>
      <c r="BJ13" s="462">
        <f>IF(AT13&lt;&gt;0,WC*W13,0)</f>
        <v>0</v>
      </c>
      <c r="BK13" s="462">
        <f>IF(OR(AND(AT13&lt;&gt;0,AJ13&lt;&gt;"PF",AN13&lt;&gt;"NE",AG13&lt;&gt;"A"),AND(AL13="E",OR(AT13=1,AT13=3))),Sick*W13,0)</f>
        <v>0</v>
      </c>
      <c r="BL13" s="462">
        <f t="shared" si="5"/>
        <v>0</v>
      </c>
      <c r="BM13" s="462">
        <f t="shared" si="6"/>
        <v>0</v>
      </c>
      <c r="BN13" s="462">
        <f>IF(AND(AT13=1,AK13="E",AU13&gt;=0.75,AW13=1),HealthBY,IF(AND(AT13=1,AK13="E",AU13&gt;=0.75),HealthBY*P13,IF(AND(AT13=1,AK13="E",AU13&gt;=0.5,AW13=1),PTHealthBY,IF(AND(AT13=1,AK13="E",AU13&gt;=0.5),PTHealthBY*P13,0))))</f>
        <v>0</v>
      </c>
      <c r="BO13" s="462">
        <f>IF(AND(AT13=3,AK13="E",AV13&gt;=0.75,AW13=1),HealthBY,IF(AND(AT13=3,AK13="E",AV13&gt;=0.75),HealthBY*P13,IF(AND(AT13=3,AK13="E",AV13&gt;=0.5,AW13=1),PTHealthBY,IF(AND(AT13=3,AK13="E",AV13&gt;=0.5),PTHealthBY*P13,0))))</f>
        <v>0</v>
      </c>
      <c r="BP13" s="462">
        <f>IF(AND(AT13&lt;&gt;0,(AX13+BA13)&gt;=MAXSSDIBY),SSDIBY*MAXSSDIBY*P13,IF(AT13&lt;&gt;0,SSDIBY*W13,0))</f>
        <v>0</v>
      </c>
      <c r="BQ13" s="462">
        <f>IF(AT13&lt;&gt;0,SSHIBY*W13,0)</f>
        <v>0</v>
      </c>
      <c r="BR13" s="462">
        <f>IF(AND(AT13&lt;&gt;0,AN13&lt;&gt;"NE"),VLOOKUP(AN13,Retirement_Rates,4,FALSE)*W13,0)</f>
        <v>0</v>
      </c>
      <c r="BS13" s="462">
        <f>IF(AND(AT13&lt;&gt;0,AJ13&lt;&gt;"PF"),LifeBY*W13,0)</f>
        <v>0</v>
      </c>
      <c r="BT13" s="462">
        <f>IF(AND(AT13&lt;&gt;0,AM13="Y"),UIBY*W13,0)</f>
        <v>0</v>
      </c>
      <c r="BU13" s="462">
        <f>IF(AND(AT13&lt;&gt;0,N13&lt;&gt;"NR"),DHRBY*W13,0)</f>
        <v>0</v>
      </c>
      <c r="BV13" s="462">
        <f>IF(AT13&lt;&gt;0,WCBY*W13,0)</f>
        <v>0</v>
      </c>
      <c r="BW13" s="462">
        <f>IF(OR(AND(AT13&lt;&gt;0,AJ13&lt;&gt;"PF",AN13&lt;&gt;"NE",AG13&lt;&gt;"A"),AND(AL13="E",OR(AT13=1,AT13=3))),SickBY*W13,0)</f>
        <v>0</v>
      </c>
      <c r="BX13" s="462">
        <f t="shared" si="7"/>
        <v>0</v>
      </c>
      <c r="BY13" s="462">
        <f t="shared" si="8"/>
        <v>0</v>
      </c>
      <c r="BZ13" s="462">
        <f t="shared" si="9"/>
        <v>0</v>
      </c>
      <c r="CA13" s="462">
        <f t="shared" si="10"/>
        <v>0</v>
      </c>
      <c r="CB13" s="462">
        <f t="shared" si="11"/>
        <v>0</v>
      </c>
      <c r="CC13" s="462">
        <f>IF(AT13&lt;&gt;0,SSHICHG*Y13,0)</f>
        <v>0</v>
      </c>
      <c r="CD13" s="462">
        <f>IF(AND(AT13&lt;&gt;0,AN13&lt;&gt;"NE"),VLOOKUP(AN13,Retirement_Rates,5,FALSE)*Y13,0)</f>
        <v>0</v>
      </c>
      <c r="CE13" s="462">
        <f>IF(AND(AT13&lt;&gt;0,AJ13&lt;&gt;"PF"),LifeCHG*Y13,0)</f>
        <v>0</v>
      </c>
      <c r="CF13" s="462">
        <f>IF(AND(AT13&lt;&gt;0,AM13="Y"),UICHG*Y13,0)</f>
        <v>0</v>
      </c>
      <c r="CG13" s="462">
        <f>IF(AND(AT13&lt;&gt;0,N13&lt;&gt;"NR"),DHRCHG*Y13,0)</f>
        <v>0</v>
      </c>
      <c r="CH13" s="462">
        <f>IF(AT13&lt;&gt;0,WCCHG*Y13,0)</f>
        <v>0</v>
      </c>
      <c r="CI13" s="462">
        <f>IF(OR(AND(AT13&lt;&gt;0,AJ13&lt;&gt;"PF",AN13&lt;&gt;"NE",AG13&lt;&gt;"A"),AND(AL13="E",OR(AT13=1,AT13=3))),SickCHG*Y13,0)</f>
        <v>0</v>
      </c>
      <c r="CJ13" s="462">
        <f t="shared" si="12"/>
        <v>0</v>
      </c>
      <c r="CK13" s="462" t="str">
        <f t="shared" si="13"/>
        <v/>
      </c>
      <c r="CL13" s="462" t="str">
        <f t="shared" si="14"/>
        <v/>
      </c>
      <c r="CM13" s="462" t="str">
        <f t="shared" si="15"/>
        <v/>
      </c>
      <c r="CN13" s="462" t="str">
        <f t="shared" si="16"/>
        <v>0348-00</v>
      </c>
    </row>
    <row r="14" spans="1:92" ht="15" thickBot="1" x14ac:dyDescent="0.35">
      <c r="A14" s="376" t="s">
        <v>161</v>
      </c>
      <c r="B14" s="376" t="s">
        <v>162</v>
      </c>
      <c r="C14" s="376" t="s">
        <v>201</v>
      </c>
      <c r="D14" s="376" t="s">
        <v>202</v>
      </c>
      <c r="E14" s="376" t="s">
        <v>229</v>
      </c>
      <c r="F14" s="382" t="s">
        <v>230</v>
      </c>
      <c r="G14" s="376" t="s">
        <v>166</v>
      </c>
      <c r="H14" s="378"/>
      <c r="I14" s="378"/>
      <c r="J14" s="376" t="s">
        <v>204</v>
      </c>
      <c r="K14" s="376" t="s">
        <v>205</v>
      </c>
      <c r="L14" s="376" t="s">
        <v>206</v>
      </c>
      <c r="M14" s="376" t="s">
        <v>170</v>
      </c>
      <c r="N14" s="376" t="s">
        <v>171</v>
      </c>
      <c r="O14" s="379">
        <v>1</v>
      </c>
      <c r="P14" s="460">
        <v>0.4</v>
      </c>
      <c r="Q14" s="460">
        <v>0.4</v>
      </c>
      <c r="R14" s="380">
        <v>810</v>
      </c>
      <c r="S14" s="460">
        <v>0.4</v>
      </c>
      <c r="T14" s="380">
        <v>7832.99</v>
      </c>
      <c r="U14" s="380">
        <v>0</v>
      </c>
      <c r="V14" s="380">
        <v>2782.35</v>
      </c>
      <c r="W14" s="380">
        <v>28346.240000000002</v>
      </c>
      <c r="X14" s="380">
        <v>10664</v>
      </c>
      <c r="Y14" s="380">
        <v>28346.240000000002</v>
      </c>
      <c r="Z14" s="380">
        <v>10519.44</v>
      </c>
      <c r="AA14" s="376" t="s">
        <v>207</v>
      </c>
      <c r="AB14" s="376" t="s">
        <v>208</v>
      </c>
      <c r="AC14" s="376" t="s">
        <v>209</v>
      </c>
      <c r="AD14" s="376" t="s">
        <v>210</v>
      </c>
      <c r="AE14" s="376" t="s">
        <v>211</v>
      </c>
      <c r="AF14" s="376" t="s">
        <v>176</v>
      </c>
      <c r="AG14" s="376" t="s">
        <v>177</v>
      </c>
      <c r="AH14" s="381">
        <v>34.07</v>
      </c>
      <c r="AI14" s="379">
        <v>7841</v>
      </c>
      <c r="AJ14" s="376" t="s">
        <v>178</v>
      </c>
      <c r="AK14" s="376" t="s">
        <v>179</v>
      </c>
      <c r="AL14" s="376" t="s">
        <v>180</v>
      </c>
      <c r="AM14" s="376" t="s">
        <v>181</v>
      </c>
      <c r="AN14" s="376" t="s">
        <v>68</v>
      </c>
      <c r="AO14" s="379">
        <v>80</v>
      </c>
      <c r="AP14" s="460">
        <v>1</v>
      </c>
      <c r="AQ14" s="460">
        <v>0.4</v>
      </c>
      <c r="AR14" s="458" t="s">
        <v>182</v>
      </c>
      <c r="AS14" s="462">
        <f t="shared" si="0"/>
        <v>0.4</v>
      </c>
      <c r="AT14">
        <f t="shared" si="1"/>
        <v>1</v>
      </c>
      <c r="AU14" s="462">
        <f>IF(AT14=0,"",IF(AND(AT14=1,M14="F",SUMIF(C2:C25,C14,AS2:AS25)&lt;=1),SUMIF(C2:C25,C14,AS2:AS25),IF(AND(AT14=1,M14="F",SUMIF(C2:C25,C14,AS2:AS25)&gt;1),1,"")))</f>
        <v>1</v>
      </c>
      <c r="AV14" s="462" t="str">
        <f>IF(AT14=0,"",IF(AND(AT14=3,M14="F",SUMIF(C2:C25,C14,AS2:AS25)&lt;=1),SUMIF(C2:C25,C14,AS2:AS25),IF(AND(AT14=3,M14="F",SUMIF(C2:C25,C14,AS2:AS25)&gt;1),1,"")))</f>
        <v/>
      </c>
      <c r="AW14" s="462">
        <f>SUMIF(C2:C25,C14,O2:O25)</f>
        <v>2</v>
      </c>
      <c r="AX14" s="462">
        <f>IF(AND(M14="F",AS14&lt;&gt;0),SUMIF(C2:C25,C14,W2:W25),0)</f>
        <v>70865.600000000006</v>
      </c>
      <c r="AY14" s="462">
        <f t="shared" si="2"/>
        <v>28346.240000000002</v>
      </c>
      <c r="AZ14" s="462" t="str">
        <f t="shared" si="3"/>
        <v/>
      </c>
      <c r="BA14" s="462">
        <f t="shared" si="4"/>
        <v>0</v>
      </c>
      <c r="BB14" s="462">
        <f>IF(AND(AT14=1,AK14="E",AU14&gt;=0.75,AW14=1),Health,IF(AND(AT14=1,AK14="E",AU14&gt;=0.75),Health*P14,IF(AND(AT14=1,AK14="E",AU14&gt;=0.5,AW14=1),PTHealth,IF(AND(AT14=1,AK14="E",AU14&gt;=0.5),PTHealth*P14,0))))</f>
        <v>4660</v>
      </c>
      <c r="BC14" s="462">
        <f>IF(AND(AT14=3,AK14="E",AV14&gt;=0.75,AW14=1),Health,IF(AND(AT14=3,AK14="E",AV14&gt;=0.75),Health*P14,IF(AND(AT14=3,AK14="E",AV14&gt;=0.5,AW14=1),PTHealth,IF(AND(AT14=3,AK14="E",AV14&gt;=0.5),PTHealth*P14,0))))</f>
        <v>0</v>
      </c>
      <c r="BD14" s="462">
        <f>IF(AND(AT14&lt;&gt;0,AX14&gt;=MAXSSDI),SSDI*MAXSSDI*P14,IF(AT14&lt;&gt;0,SSDI*W14,0))</f>
        <v>1757.4668800000002</v>
      </c>
      <c r="BE14" s="462">
        <f>IF(AT14&lt;&gt;0,SSHI*W14,0)</f>
        <v>411.02048000000002</v>
      </c>
      <c r="BF14" s="462">
        <f>IF(AND(AT14&lt;&gt;0,AN14&lt;&gt;"NE"),VLOOKUP(AN14,Retirement_Rates,3,FALSE)*W14,0)</f>
        <v>3384.5410560000005</v>
      </c>
      <c r="BG14" s="462">
        <f>IF(AND(AT14&lt;&gt;0,AJ14&lt;&gt;"PF"),Life*W14,0)</f>
        <v>204.37639040000002</v>
      </c>
      <c r="BH14" s="462">
        <f>IF(AND(AT14&lt;&gt;0,AM14="Y"),UI*W14,0)</f>
        <v>138.89657600000001</v>
      </c>
      <c r="BI14" s="462">
        <f>IF(AND(AT14&lt;&gt;0,N14&lt;&gt;"NR"),DHR*W14,0)</f>
        <v>0</v>
      </c>
      <c r="BJ14" s="462">
        <f>IF(AT14&lt;&gt;0,WC*W14,0)</f>
        <v>107.71571200000001</v>
      </c>
      <c r="BK14" s="462">
        <f>IF(OR(AND(AT14&lt;&gt;0,AJ14&lt;&gt;"PF",AN14&lt;&gt;"NE",AG14&lt;&gt;"A"),AND(AL14="E",OR(AT14=1,AT14=3))),Sick*W14,0)</f>
        <v>0</v>
      </c>
      <c r="BL14" s="462">
        <f t="shared" si="5"/>
        <v>6004.017094400001</v>
      </c>
      <c r="BM14" s="462">
        <f t="shared" si="6"/>
        <v>0</v>
      </c>
      <c r="BN14" s="462">
        <f>IF(AND(AT14=1,AK14="E",AU14&gt;=0.75,AW14=1),HealthBY,IF(AND(AT14=1,AK14="E",AU14&gt;=0.75),HealthBY*P14,IF(AND(AT14=1,AK14="E",AU14&gt;=0.5,AW14=1),PTHealthBY,IF(AND(AT14=1,AK14="E",AU14&gt;=0.5),PTHealthBY*P14,0))))</f>
        <v>4660</v>
      </c>
      <c r="BO14" s="462">
        <f>IF(AND(AT14=3,AK14="E",AV14&gt;=0.75,AW14=1),HealthBY,IF(AND(AT14=3,AK14="E",AV14&gt;=0.75),HealthBY*P14,IF(AND(AT14=3,AK14="E",AV14&gt;=0.5,AW14=1),PTHealthBY,IF(AND(AT14=3,AK14="E",AV14&gt;=0.5),PTHealthBY*P14,0))))</f>
        <v>0</v>
      </c>
      <c r="BP14" s="462">
        <f>IF(AND(AT14&lt;&gt;0,(AX14+BA14)&gt;=MAXSSDIBY),SSDIBY*MAXSSDIBY*P14,IF(AT14&lt;&gt;0,SSDIBY*W14,0))</f>
        <v>1757.4668800000002</v>
      </c>
      <c r="BQ14" s="462">
        <f>IF(AT14&lt;&gt;0,SSHIBY*W14,0)</f>
        <v>411.02048000000002</v>
      </c>
      <c r="BR14" s="462">
        <f>IF(AND(AT14&lt;&gt;0,AN14&lt;&gt;"NE"),VLOOKUP(AN14,Retirement_Rates,4,FALSE)*W14,0)</f>
        <v>3384.5410560000005</v>
      </c>
      <c r="BS14" s="462">
        <f>IF(AND(AT14&lt;&gt;0,AJ14&lt;&gt;"PF"),LifeBY*W14,0)</f>
        <v>204.37639040000002</v>
      </c>
      <c r="BT14" s="462">
        <f>IF(AND(AT14&lt;&gt;0,AM14="Y"),UIBY*W14,0)</f>
        <v>0</v>
      </c>
      <c r="BU14" s="462">
        <f>IF(AND(AT14&lt;&gt;0,N14&lt;&gt;"NR"),DHRBY*W14,0)</f>
        <v>0</v>
      </c>
      <c r="BV14" s="462">
        <f>IF(AT14&lt;&gt;0,WCBY*W14,0)</f>
        <v>102.046464</v>
      </c>
      <c r="BW14" s="462">
        <f>IF(OR(AND(AT14&lt;&gt;0,AJ14&lt;&gt;"PF",AN14&lt;&gt;"NE",AG14&lt;&gt;"A"),AND(AL14="E",OR(AT14=1,AT14=3))),SickBY*W14,0)</f>
        <v>0</v>
      </c>
      <c r="BX14" s="462">
        <f t="shared" si="7"/>
        <v>5859.4512704000008</v>
      </c>
      <c r="BY14" s="462">
        <f t="shared" si="8"/>
        <v>0</v>
      </c>
      <c r="BZ14" s="462">
        <f t="shared" si="9"/>
        <v>0</v>
      </c>
      <c r="CA14" s="462">
        <f t="shared" si="10"/>
        <v>0</v>
      </c>
      <c r="CB14" s="462">
        <f t="shared" si="11"/>
        <v>0</v>
      </c>
      <c r="CC14" s="462">
        <f>IF(AT14&lt;&gt;0,SSHICHG*Y14,0)</f>
        <v>0</v>
      </c>
      <c r="CD14" s="462">
        <f>IF(AND(AT14&lt;&gt;0,AN14&lt;&gt;"NE"),VLOOKUP(AN14,Retirement_Rates,5,FALSE)*Y14,0)</f>
        <v>0</v>
      </c>
      <c r="CE14" s="462">
        <f>IF(AND(AT14&lt;&gt;0,AJ14&lt;&gt;"PF"),LifeCHG*Y14,0)</f>
        <v>0</v>
      </c>
      <c r="CF14" s="462">
        <f>IF(AND(AT14&lt;&gt;0,AM14="Y"),UICHG*Y14,0)</f>
        <v>-138.89657600000001</v>
      </c>
      <c r="CG14" s="462">
        <f>IF(AND(AT14&lt;&gt;0,N14&lt;&gt;"NR"),DHRCHG*Y14,0)</f>
        <v>0</v>
      </c>
      <c r="CH14" s="462">
        <f>IF(AT14&lt;&gt;0,WCCHG*Y14,0)</f>
        <v>-5.6692480000000032</v>
      </c>
      <c r="CI14" s="462">
        <f>IF(OR(AND(AT14&lt;&gt;0,AJ14&lt;&gt;"PF",AN14&lt;&gt;"NE",AG14&lt;&gt;"A"),AND(AL14="E",OR(AT14=1,AT14=3))),SickCHG*Y14,0)</f>
        <v>0</v>
      </c>
      <c r="CJ14" s="462">
        <f t="shared" si="12"/>
        <v>-144.56582400000002</v>
      </c>
      <c r="CK14" s="462" t="str">
        <f t="shared" si="13"/>
        <v/>
      </c>
      <c r="CL14" s="462" t="str">
        <f t="shared" si="14"/>
        <v/>
      </c>
      <c r="CM14" s="462" t="str">
        <f t="shared" si="15"/>
        <v/>
      </c>
      <c r="CN14" s="462" t="str">
        <f t="shared" si="16"/>
        <v>0494-03</v>
      </c>
    </row>
    <row r="15" spans="1:92" ht="15" thickBot="1" x14ac:dyDescent="0.35">
      <c r="A15" s="376" t="s">
        <v>161</v>
      </c>
      <c r="B15" s="376" t="s">
        <v>162</v>
      </c>
      <c r="C15" s="376" t="s">
        <v>163</v>
      </c>
      <c r="D15" s="376" t="s">
        <v>164</v>
      </c>
      <c r="E15" s="376" t="s">
        <v>229</v>
      </c>
      <c r="F15" s="382" t="s">
        <v>230</v>
      </c>
      <c r="G15" s="376" t="s">
        <v>166</v>
      </c>
      <c r="H15" s="378"/>
      <c r="I15" s="378"/>
      <c r="J15" s="376" t="s">
        <v>167</v>
      </c>
      <c r="K15" s="376" t="s">
        <v>168</v>
      </c>
      <c r="L15" s="376" t="s">
        <v>169</v>
      </c>
      <c r="M15" s="376" t="s">
        <v>170</v>
      </c>
      <c r="N15" s="376" t="s">
        <v>171</v>
      </c>
      <c r="O15" s="379">
        <v>1</v>
      </c>
      <c r="P15" s="460">
        <v>0</v>
      </c>
      <c r="Q15" s="460">
        <v>0</v>
      </c>
      <c r="R15" s="380">
        <v>80</v>
      </c>
      <c r="S15" s="460">
        <v>0</v>
      </c>
      <c r="T15" s="380">
        <v>1378.45</v>
      </c>
      <c r="U15" s="380">
        <v>0</v>
      </c>
      <c r="V15" s="380">
        <v>1828.29</v>
      </c>
      <c r="W15" s="380">
        <v>0</v>
      </c>
      <c r="X15" s="380">
        <v>0</v>
      </c>
      <c r="Y15" s="380">
        <v>0</v>
      </c>
      <c r="Z15" s="380">
        <v>0</v>
      </c>
      <c r="AA15" s="376" t="s">
        <v>172</v>
      </c>
      <c r="AB15" s="376" t="s">
        <v>173</v>
      </c>
      <c r="AC15" s="376" t="s">
        <v>174</v>
      </c>
      <c r="AD15" s="376" t="s">
        <v>175</v>
      </c>
      <c r="AE15" s="376" t="s">
        <v>168</v>
      </c>
      <c r="AF15" s="376" t="s">
        <v>176</v>
      </c>
      <c r="AG15" s="376" t="s">
        <v>177</v>
      </c>
      <c r="AH15" s="381">
        <v>22.36</v>
      </c>
      <c r="AI15" s="379">
        <v>316</v>
      </c>
      <c r="AJ15" s="376" t="s">
        <v>178</v>
      </c>
      <c r="AK15" s="376" t="s">
        <v>179</v>
      </c>
      <c r="AL15" s="376" t="s">
        <v>180</v>
      </c>
      <c r="AM15" s="376" t="s">
        <v>181</v>
      </c>
      <c r="AN15" s="376" t="s">
        <v>68</v>
      </c>
      <c r="AO15" s="379">
        <v>80</v>
      </c>
      <c r="AP15" s="460">
        <v>1</v>
      </c>
      <c r="AQ15" s="460">
        <v>0</v>
      </c>
      <c r="AR15" s="458" t="s">
        <v>182</v>
      </c>
      <c r="AS15" s="462">
        <f t="shared" si="0"/>
        <v>0</v>
      </c>
      <c r="AT15">
        <f t="shared" si="1"/>
        <v>0</v>
      </c>
      <c r="AU15" s="462" t="str">
        <f>IF(AT15=0,"",IF(AND(AT15=1,M15="F",SUMIF(C2:C25,C15,AS2:AS25)&lt;=1),SUMIF(C2:C25,C15,AS2:AS25),IF(AND(AT15=1,M15="F",SUMIF(C2:C25,C15,AS2:AS25)&gt;1),1,"")))</f>
        <v/>
      </c>
      <c r="AV15" s="462" t="str">
        <f>IF(AT15=0,"",IF(AND(AT15=3,M15="F",SUMIF(C2:C25,C15,AS2:AS25)&lt;=1),SUMIF(C2:C25,C15,AS2:AS25),IF(AND(AT15=3,M15="F",SUMIF(C2:C25,C15,AS2:AS25)&gt;1),1,"")))</f>
        <v/>
      </c>
      <c r="AW15" s="462">
        <f>SUMIF(C2:C25,C15,O2:O25)</f>
        <v>4</v>
      </c>
      <c r="AX15" s="462">
        <f>IF(AND(M15="F",AS15&lt;&gt;0),SUMIF(C2:C25,C15,W2:W25),0)</f>
        <v>0</v>
      </c>
      <c r="AY15" s="462" t="str">
        <f t="shared" si="2"/>
        <v/>
      </c>
      <c r="AZ15" s="462" t="str">
        <f t="shared" si="3"/>
        <v/>
      </c>
      <c r="BA15" s="462">
        <f t="shared" si="4"/>
        <v>0</v>
      </c>
      <c r="BB15" s="462">
        <f>IF(AND(AT15=1,AK15="E",AU15&gt;=0.75,AW15=1),Health,IF(AND(AT15=1,AK15="E",AU15&gt;=0.75),Health*P15,IF(AND(AT15=1,AK15="E",AU15&gt;=0.5,AW15=1),PTHealth,IF(AND(AT15=1,AK15="E",AU15&gt;=0.5),PTHealth*P15,0))))</f>
        <v>0</v>
      </c>
      <c r="BC15" s="462">
        <f>IF(AND(AT15=3,AK15="E",AV15&gt;=0.75,AW15=1),Health,IF(AND(AT15=3,AK15="E",AV15&gt;=0.75),Health*P15,IF(AND(AT15=3,AK15="E",AV15&gt;=0.5,AW15=1),PTHealth,IF(AND(AT15=3,AK15="E",AV15&gt;=0.5),PTHealth*P15,0))))</f>
        <v>0</v>
      </c>
      <c r="BD15" s="462">
        <f>IF(AND(AT15&lt;&gt;0,AX15&gt;=MAXSSDI),SSDI*MAXSSDI*P15,IF(AT15&lt;&gt;0,SSDI*W15,0))</f>
        <v>0</v>
      </c>
      <c r="BE15" s="462">
        <f>IF(AT15&lt;&gt;0,SSHI*W15,0)</f>
        <v>0</v>
      </c>
      <c r="BF15" s="462">
        <f>IF(AND(AT15&lt;&gt;0,AN15&lt;&gt;"NE"),VLOOKUP(AN15,Retirement_Rates,3,FALSE)*W15,0)</f>
        <v>0</v>
      </c>
      <c r="BG15" s="462">
        <f>IF(AND(AT15&lt;&gt;0,AJ15&lt;&gt;"PF"),Life*W15,0)</f>
        <v>0</v>
      </c>
      <c r="BH15" s="462">
        <f>IF(AND(AT15&lt;&gt;0,AM15="Y"),UI*W15,0)</f>
        <v>0</v>
      </c>
      <c r="BI15" s="462">
        <f>IF(AND(AT15&lt;&gt;0,N15&lt;&gt;"NR"),DHR*W15,0)</f>
        <v>0</v>
      </c>
      <c r="BJ15" s="462">
        <f>IF(AT15&lt;&gt;0,WC*W15,0)</f>
        <v>0</v>
      </c>
      <c r="BK15" s="462">
        <f>IF(OR(AND(AT15&lt;&gt;0,AJ15&lt;&gt;"PF",AN15&lt;&gt;"NE",AG15&lt;&gt;"A"),AND(AL15="E",OR(AT15=1,AT15=3))),Sick*W15,0)</f>
        <v>0</v>
      </c>
      <c r="BL15" s="462">
        <f t="shared" si="5"/>
        <v>0</v>
      </c>
      <c r="BM15" s="462">
        <f t="shared" si="6"/>
        <v>0</v>
      </c>
      <c r="BN15" s="462">
        <f>IF(AND(AT15=1,AK15="E",AU15&gt;=0.75,AW15=1),HealthBY,IF(AND(AT15=1,AK15="E",AU15&gt;=0.75),HealthBY*P15,IF(AND(AT15=1,AK15="E",AU15&gt;=0.5,AW15=1),PTHealthBY,IF(AND(AT15=1,AK15="E",AU15&gt;=0.5),PTHealthBY*P15,0))))</f>
        <v>0</v>
      </c>
      <c r="BO15" s="462">
        <f>IF(AND(AT15=3,AK15="E",AV15&gt;=0.75,AW15=1),HealthBY,IF(AND(AT15=3,AK15="E",AV15&gt;=0.75),HealthBY*P15,IF(AND(AT15=3,AK15="E",AV15&gt;=0.5,AW15=1),PTHealthBY,IF(AND(AT15=3,AK15="E",AV15&gt;=0.5),PTHealthBY*P15,0))))</f>
        <v>0</v>
      </c>
      <c r="BP15" s="462">
        <f>IF(AND(AT15&lt;&gt;0,(AX15+BA15)&gt;=MAXSSDIBY),SSDIBY*MAXSSDIBY*P15,IF(AT15&lt;&gt;0,SSDIBY*W15,0))</f>
        <v>0</v>
      </c>
      <c r="BQ15" s="462">
        <f>IF(AT15&lt;&gt;0,SSHIBY*W15,0)</f>
        <v>0</v>
      </c>
      <c r="BR15" s="462">
        <f>IF(AND(AT15&lt;&gt;0,AN15&lt;&gt;"NE"),VLOOKUP(AN15,Retirement_Rates,4,FALSE)*W15,0)</f>
        <v>0</v>
      </c>
      <c r="BS15" s="462">
        <f>IF(AND(AT15&lt;&gt;0,AJ15&lt;&gt;"PF"),LifeBY*W15,0)</f>
        <v>0</v>
      </c>
      <c r="BT15" s="462">
        <f>IF(AND(AT15&lt;&gt;0,AM15="Y"),UIBY*W15,0)</f>
        <v>0</v>
      </c>
      <c r="BU15" s="462">
        <f>IF(AND(AT15&lt;&gt;0,N15&lt;&gt;"NR"),DHRBY*W15,0)</f>
        <v>0</v>
      </c>
      <c r="BV15" s="462">
        <f>IF(AT15&lt;&gt;0,WCBY*W15,0)</f>
        <v>0</v>
      </c>
      <c r="BW15" s="462">
        <f>IF(OR(AND(AT15&lt;&gt;0,AJ15&lt;&gt;"PF",AN15&lt;&gt;"NE",AG15&lt;&gt;"A"),AND(AL15="E",OR(AT15=1,AT15=3))),SickBY*W15,0)</f>
        <v>0</v>
      </c>
      <c r="BX15" s="462">
        <f t="shared" si="7"/>
        <v>0</v>
      </c>
      <c r="BY15" s="462">
        <f t="shared" si="8"/>
        <v>0</v>
      </c>
      <c r="BZ15" s="462">
        <f t="shared" si="9"/>
        <v>0</v>
      </c>
      <c r="CA15" s="462">
        <f t="shared" si="10"/>
        <v>0</v>
      </c>
      <c r="CB15" s="462">
        <f t="shared" si="11"/>
        <v>0</v>
      </c>
      <c r="CC15" s="462">
        <f>IF(AT15&lt;&gt;0,SSHICHG*Y15,0)</f>
        <v>0</v>
      </c>
      <c r="CD15" s="462">
        <f>IF(AND(AT15&lt;&gt;0,AN15&lt;&gt;"NE"),VLOOKUP(AN15,Retirement_Rates,5,FALSE)*Y15,0)</f>
        <v>0</v>
      </c>
      <c r="CE15" s="462">
        <f>IF(AND(AT15&lt;&gt;0,AJ15&lt;&gt;"PF"),LifeCHG*Y15,0)</f>
        <v>0</v>
      </c>
      <c r="CF15" s="462">
        <f>IF(AND(AT15&lt;&gt;0,AM15="Y"),UICHG*Y15,0)</f>
        <v>0</v>
      </c>
      <c r="CG15" s="462">
        <f>IF(AND(AT15&lt;&gt;0,N15&lt;&gt;"NR"),DHRCHG*Y15,0)</f>
        <v>0</v>
      </c>
      <c r="CH15" s="462">
        <f>IF(AT15&lt;&gt;0,WCCHG*Y15,0)</f>
        <v>0</v>
      </c>
      <c r="CI15" s="462">
        <f>IF(OR(AND(AT15&lt;&gt;0,AJ15&lt;&gt;"PF",AN15&lt;&gt;"NE",AG15&lt;&gt;"A"),AND(AL15="E",OR(AT15=1,AT15=3))),SickCHG*Y15,0)</f>
        <v>0</v>
      </c>
      <c r="CJ15" s="462">
        <f t="shared" si="12"/>
        <v>0</v>
      </c>
      <c r="CK15" s="462" t="str">
        <f t="shared" si="13"/>
        <v/>
      </c>
      <c r="CL15" s="462" t="str">
        <f t="shared" si="14"/>
        <v/>
      </c>
      <c r="CM15" s="462" t="str">
        <f t="shared" si="15"/>
        <v/>
      </c>
      <c r="CN15" s="462" t="str">
        <f t="shared" si="16"/>
        <v>0494-03</v>
      </c>
    </row>
    <row r="16" spans="1:92" ht="15" thickBot="1" x14ac:dyDescent="0.35">
      <c r="A16" s="376" t="s">
        <v>161</v>
      </c>
      <c r="B16" s="376" t="s">
        <v>162</v>
      </c>
      <c r="C16" s="376" t="s">
        <v>183</v>
      </c>
      <c r="D16" s="376" t="s">
        <v>164</v>
      </c>
      <c r="E16" s="376" t="s">
        <v>229</v>
      </c>
      <c r="F16" s="382" t="s">
        <v>230</v>
      </c>
      <c r="G16" s="376" t="s">
        <v>166</v>
      </c>
      <c r="H16" s="378"/>
      <c r="I16" s="378"/>
      <c r="J16" s="376" t="s">
        <v>184</v>
      </c>
      <c r="K16" s="376" t="s">
        <v>168</v>
      </c>
      <c r="L16" s="376" t="s">
        <v>169</v>
      </c>
      <c r="M16" s="376" t="s">
        <v>170</v>
      </c>
      <c r="N16" s="376" t="s">
        <v>171</v>
      </c>
      <c r="O16" s="379">
        <v>1</v>
      </c>
      <c r="P16" s="460">
        <v>0</v>
      </c>
      <c r="Q16" s="460">
        <v>0</v>
      </c>
      <c r="R16" s="380">
        <v>80</v>
      </c>
      <c r="S16" s="460">
        <v>0</v>
      </c>
      <c r="T16" s="380">
        <v>3160.48</v>
      </c>
      <c r="U16" s="380">
        <v>0</v>
      </c>
      <c r="V16" s="380">
        <v>1477.9</v>
      </c>
      <c r="W16" s="380">
        <v>0</v>
      </c>
      <c r="X16" s="380">
        <v>0</v>
      </c>
      <c r="Y16" s="380">
        <v>0</v>
      </c>
      <c r="Z16" s="380">
        <v>0</v>
      </c>
      <c r="AA16" s="376" t="s">
        <v>185</v>
      </c>
      <c r="AB16" s="376" t="s">
        <v>186</v>
      </c>
      <c r="AC16" s="376" t="s">
        <v>187</v>
      </c>
      <c r="AD16" s="376" t="s">
        <v>188</v>
      </c>
      <c r="AE16" s="376" t="s">
        <v>168</v>
      </c>
      <c r="AF16" s="376" t="s">
        <v>176</v>
      </c>
      <c r="AG16" s="376" t="s">
        <v>177</v>
      </c>
      <c r="AH16" s="381">
        <v>23.68</v>
      </c>
      <c r="AI16" s="379">
        <v>7794</v>
      </c>
      <c r="AJ16" s="376" t="s">
        <v>178</v>
      </c>
      <c r="AK16" s="376" t="s">
        <v>179</v>
      </c>
      <c r="AL16" s="376" t="s">
        <v>180</v>
      </c>
      <c r="AM16" s="376" t="s">
        <v>181</v>
      </c>
      <c r="AN16" s="376" t="s">
        <v>68</v>
      </c>
      <c r="AO16" s="379">
        <v>80</v>
      </c>
      <c r="AP16" s="460">
        <v>1</v>
      </c>
      <c r="AQ16" s="460">
        <v>0</v>
      </c>
      <c r="AR16" s="458" t="s">
        <v>182</v>
      </c>
      <c r="AS16" s="462">
        <f t="shared" si="0"/>
        <v>0</v>
      </c>
      <c r="AT16">
        <f t="shared" si="1"/>
        <v>0</v>
      </c>
      <c r="AU16" s="462" t="str">
        <f>IF(AT16=0,"",IF(AND(AT16=1,M16="F",SUMIF(C2:C25,C16,AS2:AS25)&lt;=1),SUMIF(C2:C25,C16,AS2:AS25),IF(AND(AT16=1,M16="F",SUMIF(C2:C25,C16,AS2:AS25)&gt;1),1,"")))</f>
        <v/>
      </c>
      <c r="AV16" s="462" t="str">
        <f>IF(AT16=0,"",IF(AND(AT16=3,M16="F",SUMIF(C2:C25,C16,AS2:AS25)&lt;=1),SUMIF(C2:C25,C16,AS2:AS25),IF(AND(AT16=3,M16="F",SUMIF(C2:C25,C16,AS2:AS25)&gt;1),1,"")))</f>
        <v/>
      </c>
      <c r="AW16" s="462">
        <f>SUMIF(C2:C25,C16,O2:O25)</f>
        <v>3</v>
      </c>
      <c r="AX16" s="462">
        <f>IF(AND(M16="F",AS16&lt;&gt;0),SUMIF(C2:C25,C16,W2:W25),0)</f>
        <v>0</v>
      </c>
      <c r="AY16" s="462" t="str">
        <f t="shared" si="2"/>
        <v/>
      </c>
      <c r="AZ16" s="462" t="str">
        <f t="shared" si="3"/>
        <v/>
      </c>
      <c r="BA16" s="462">
        <f t="shared" si="4"/>
        <v>0</v>
      </c>
      <c r="BB16" s="462">
        <f>IF(AND(AT16=1,AK16="E",AU16&gt;=0.75,AW16=1),Health,IF(AND(AT16=1,AK16="E",AU16&gt;=0.75),Health*P16,IF(AND(AT16=1,AK16="E",AU16&gt;=0.5,AW16=1),PTHealth,IF(AND(AT16=1,AK16="E",AU16&gt;=0.5),PTHealth*P16,0))))</f>
        <v>0</v>
      </c>
      <c r="BC16" s="462">
        <f>IF(AND(AT16=3,AK16="E",AV16&gt;=0.75,AW16=1),Health,IF(AND(AT16=3,AK16="E",AV16&gt;=0.75),Health*P16,IF(AND(AT16=3,AK16="E",AV16&gt;=0.5,AW16=1),PTHealth,IF(AND(AT16=3,AK16="E",AV16&gt;=0.5),PTHealth*P16,0))))</f>
        <v>0</v>
      </c>
      <c r="BD16" s="462">
        <f>IF(AND(AT16&lt;&gt;0,AX16&gt;=MAXSSDI),SSDI*MAXSSDI*P16,IF(AT16&lt;&gt;0,SSDI*W16,0))</f>
        <v>0</v>
      </c>
      <c r="BE16" s="462">
        <f>IF(AT16&lt;&gt;0,SSHI*W16,0)</f>
        <v>0</v>
      </c>
      <c r="BF16" s="462">
        <f>IF(AND(AT16&lt;&gt;0,AN16&lt;&gt;"NE"),VLOOKUP(AN16,Retirement_Rates,3,FALSE)*W16,0)</f>
        <v>0</v>
      </c>
      <c r="BG16" s="462">
        <f>IF(AND(AT16&lt;&gt;0,AJ16&lt;&gt;"PF"),Life*W16,0)</f>
        <v>0</v>
      </c>
      <c r="BH16" s="462">
        <f>IF(AND(AT16&lt;&gt;0,AM16="Y"),UI*W16,0)</f>
        <v>0</v>
      </c>
      <c r="BI16" s="462">
        <f>IF(AND(AT16&lt;&gt;0,N16&lt;&gt;"NR"),DHR*W16,0)</f>
        <v>0</v>
      </c>
      <c r="BJ16" s="462">
        <f>IF(AT16&lt;&gt;0,WC*W16,0)</f>
        <v>0</v>
      </c>
      <c r="BK16" s="462">
        <f>IF(OR(AND(AT16&lt;&gt;0,AJ16&lt;&gt;"PF",AN16&lt;&gt;"NE",AG16&lt;&gt;"A"),AND(AL16="E",OR(AT16=1,AT16=3))),Sick*W16,0)</f>
        <v>0</v>
      </c>
      <c r="BL16" s="462">
        <f t="shared" si="5"/>
        <v>0</v>
      </c>
      <c r="BM16" s="462">
        <f t="shared" si="6"/>
        <v>0</v>
      </c>
      <c r="BN16" s="462">
        <f>IF(AND(AT16=1,AK16="E",AU16&gt;=0.75,AW16=1),HealthBY,IF(AND(AT16=1,AK16="E",AU16&gt;=0.75),HealthBY*P16,IF(AND(AT16=1,AK16="E",AU16&gt;=0.5,AW16=1),PTHealthBY,IF(AND(AT16=1,AK16="E",AU16&gt;=0.5),PTHealthBY*P16,0))))</f>
        <v>0</v>
      </c>
      <c r="BO16" s="462">
        <f>IF(AND(AT16=3,AK16="E",AV16&gt;=0.75,AW16=1),HealthBY,IF(AND(AT16=3,AK16="E",AV16&gt;=0.75),HealthBY*P16,IF(AND(AT16=3,AK16="E",AV16&gt;=0.5,AW16=1),PTHealthBY,IF(AND(AT16=3,AK16="E",AV16&gt;=0.5),PTHealthBY*P16,0))))</f>
        <v>0</v>
      </c>
      <c r="BP16" s="462">
        <f>IF(AND(AT16&lt;&gt;0,(AX16+BA16)&gt;=MAXSSDIBY),SSDIBY*MAXSSDIBY*P16,IF(AT16&lt;&gt;0,SSDIBY*W16,0))</f>
        <v>0</v>
      </c>
      <c r="BQ16" s="462">
        <f>IF(AT16&lt;&gt;0,SSHIBY*W16,0)</f>
        <v>0</v>
      </c>
      <c r="BR16" s="462">
        <f>IF(AND(AT16&lt;&gt;0,AN16&lt;&gt;"NE"),VLOOKUP(AN16,Retirement_Rates,4,FALSE)*W16,0)</f>
        <v>0</v>
      </c>
      <c r="BS16" s="462">
        <f>IF(AND(AT16&lt;&gt;0,AJ16&lt;&gt;"PF"),LifeBY*W16,0)</f>
        <v>0</v>
      </c>
      <c r="BT16" s="462">
        <f>IF(AND(AT16&lt;&gt;0,AM16="Y"),UIBY*W16,0)</f>
        <v>0</v>
      </c>
      <c r="BU16" s="462">
        <f>IF(AND(AT16&lt;&gt;0,N16&lt;&gt;"NR"),DHRBY*W16,0)</f>
        <v>0</v>
      </c>
      <c r="BV16" s="462">
        <f>IF(AT16&lt;&gt;0,WCBY*W16,0)</f>
        <v>0</v>
      </c>
      <c r="BW16" s="462">
        <f>IF(OR(AND(AT16&lt;&gt;0,AJ16&lt;&gt;"PF",AN16&lt;&gt;"NE",AG16&lt;&gt;"A"),AND(AL16="E",OR(AT16=1,AT16=3))),SickBY*W16,0)</f>
        <v>0</v>
      </c>
      <c r="BX16" s="462">
        <f t="shared" si="7"/>
        <v>0</v>
      </c>
      <c r="BY16" s="462">
        <f t="shared" si="8"/>
        <v>0</v>
      </c>
      <c r="BZ16" s="462">
        <f t="shared" si="9"/>
        <v>0</v>
      </c>
      <c r="CA16" s="462">
        <f t="shared" si="10"/>
        <v>0</v>
      </c>
      <c r="CB16" s="462">
        <f t="shared" si="11"/>
        <v>0</v>
      </c>
      <c r="CC16" s="462">
        <f>IF(AT16&lt;&gt;0,SSHICHG*Y16,0)</f>
        <v>0</v>
      </c>
      <c r="CD16" s="462">
        <f>IF(AND(AT16&lt;&gt;0,AN16&lt;&gt;"NE"),VLOOKUP(AN16,Retirement_Rates,5,FALSE)*Y16,0)</f>
        <v>0</v>
      </c>
      <c r="CE16" s="462">
        <f>IF(AND(AT16&lt;&gt;0,AJ16&lt;&gt;"PF"),LifeCHG*Y16,0)</f>
        <v>0</v>
      </c>
      <c r="CF16" s="462">
        <f>IF(AND(AT16&lt;&gt;0,AM16="Y"),UICHG*Y16,0)</f>
        <v>0</v>
      </c>
      <c r="CG16" s="462">
        <f>IF(AND(AT16&lt;&gt;0,N16&lt;&gt;"NR"),DHRCHG*Y16,0)</f>
        <v>0</v>
      </c>
      <c r="CH16" s="462">
        <f>IF(AT16&lt;&gt;0,WCCHG*Y16,0)</f>
        <v>0</v>
      </c>
      <c r="CI16" s="462">
        <f>IF(OR(AND(AT16&lt;&gt;0,AJ16&lt;&gt;"PF",AN16&lt;&gt;"NE",AG16&lt;&gt;"A"),AND(AL16="E",OR(AT16=1,AT16=3))),SickCHG*Y16,0)</f>
        <v>0</v>
      </c>
      <c r="CJ16" s="462">
        <f t="shared" si="12"/>
        <v>0</v>
      </c>
      <c r="CK16" s="462" t="str">
        <f t="shared" si="13"/>
        <v/>
      </c>
      <c r="CL16" s="462" t="str">
        <f t="shared" si="14"/>
        <v/>
      </c>
      <c r="CM16" s="462" t="str">
        <f t="shared" si="15"/>
        <v/>
      </c>
      <c r="CN16" s="462" t="str">
        <f t="shared" si="16"/>
        <v>0494-03</v>
      </c>
    </row>
    <row r="17" spans="1:92" ht="15" thickBot="1" x14ac:dyDescent="0.35">
      <c r="A17" s="376" t="s">
        <v>161</v>
      </c>
      <c r="B17" s="376" t="s">
        <v>162</v>
      </c>
      <c r="C17" s="376" t="s">
        <v>212</v>
      </c>
      <c r="D17" s="376" t="s">
        <v>164</v>
      </c>
      <c r="E17" s="376" t="s">
        <v>229</v>
      </c>
      <c r="F17" s="382" t="s">
        <v>230</v>
      </c>
      <c r="G17" s="376" t="s">
        <v>166</v>
      </c>
      <c r="H17" s="378"/>
      <c r="I17" s="378"/>
      <c r="J17" s="376" t="s">
        <v>167</v>
      </c>
      <c r="K17" s="376" t="s">
        <v>168</v>
      </c>
      <c r="L17" s="376" t="s">
        <v>169</v>
      </c>
      <c r="M17" s="376" t="s">
        <v>170</v>
      </c>
      <c r="N17" s="376" t="s">
        <v>171</v>
      </c>
      <c r="O17" s="379">
        <v>1</v>
      </c>
      <c r="P17" s="460">
        <v>0</v>
      </c>
      <c r="Q17" s="460">
        <v>0</v>
      </c>
      <c r="R17" s="380">
        <v>80</v>
      </c>
      <c r="S17" s="460">
        <v>0</v>
      </c>
      <c r="T17" s="380">
        <v>2787.57</v>
      </c>
      <c r="U17" s="380">
        <v>0</v>
      </c>
      <c r="V17" s="380">
        <v>1050.98</v>
      </c>
      <c r="W17" s="380">
        <v>0</v>
      </c>
      <c r="X17" s="380">
        <v>0</v>
      </c>
      <c r="Y17" s="380">
        <v>0</v>
      </c>
      <c r="Z17" s="380">
        <v>0</v>
      </c>
      <c r="AA17" s="376" t="s">
        <v>213</v>
      </c>
      <c r="AB17" s="376" t="s">
        <v>214</v>
      </c>
      <c r="AC17" s="376" t="s">
        <v>215</v>
      </c>
      <c r="AD17" s="376" t="s">
        <v>216</v>
      </c>
      <c r="AE17" s="376" t="s">
        <v>168</v>
      </c>
      <c r="AF17" s="376" t="s">
        <v>176</v>
      </c>
      <c r="AG17" s="376" t="s">
        <v>177</v>
      </c>
      <c r="AH17" s="381">
        <v>24.91</v>
      </c>
      <c r="AI17" s="381">
        <v>4899.6000000000004</v>
      </c>
      <c r="AJ17" s="376" t="s">
        <v>178</v>
      </c>
      <c r="AK17" s="376" t="s">
        <v>179</v>
      </c>
      <c r="AL17" s="376" t="s">
        <v>180</v>
      </c>
      <c r="AM17" s="376" t="s">
        <v>181</v>
      </c>
      <c r="AN17" s="376" t="s">
        <v>68</v>
      </c>
      <c r="AO17" s="379">
        <v>80</v>
      </c>
      <c r="AP17" s="460">
        <v>1</v>
      </c>
      <c r="AQ17" s="460">
        <v>0</v>
      </c>
      <c r="AR17" s="458" t="s">
        <v>182</v>
      </c>
      <c r="AS17" s="462">
        <f t="shared" si="0"/>
        <v>0</v>
      </c>
      <c r="AT17">
        <f t="shared" si="1"/>
        <v>0</v>
      </c>
      <c r="AU17" s="462" t="str">
        <f>IF(AT17=0,"",IF(AND(AT17=1,M17="F",SUMIF(C2:C25,C17,AS2:AS25)&lt;=1),SUMIF(C2:C25,C17,AS2:AS25),IF(AND(AT17=1,M17="F",SUMIF(C2:C25,C17,AS2:AS25)&gt;1),1,"")))</f>
        <v/>
      </c>
      <c r="AV17" s="462" t="str">
        <f>IF(AT17=0,"",IF(AND(AT17=3,M17="F",SUMIF(C2:C25,C17,AS2:AS25)&lt;=1),SUMIF(C2:C25,C17,AS2:AS25),IF(AND(AT17=3,M17="F",SUMIF(C2:C25,C17,AS2:AS25)&gt;1),1,"")))</f>
        <v/>
      </c>
      <c r="AW17" s="462">
        <f>SUMIF(C2:C25,C17,O2:O25)</f>
        <v>2</v>
      </c>
      <c r="AX17" s="462">
        <f>IF(AND(M17="F",AS17&lt;&gt;0),SUMIF(C2:C25,C17,W2:W25),0)</f>
        <v>0</v>
      </c>
      <c r="AY17" s="462" t="str">
        <f t="shared" si="2"/>
        <v/>
      </c>
      <c r="AZ17" s="462" t="str">
        <f t="shared" si="3"/>
        <v/>
      </c>
      <c r="BA17" s="462">
        <f t="shared" si="4"/>
        <v>0</v>
      </c>
      <c r="BB17" s="462">
        <f>IF(AND(AT17=1,AK17="E",AU17&gt;=0.75,AW17=1),Health,IF(AND(AT17=1,AK17="E",AU17&gt;=0.75),Health*P17,IF(AND(AT17=1,AK17="E",AU17&gt;=0.5,AW17=1),PTHealth,IF(AND(AT17=1,AK17="E",AU17&gt;=0.5),PTHealth*P17,0))))</f>
        <v>0</v>
      </c>
      <c r="BC17" s="462">
        <f>IF(AND(AT17=3,AK17="E",AV17&gt;=0.75,AW17=1),Health,IF(AND(AT17=3,AK17="E",AV17&gt;=0.75),Health*P17,IF(AND(AT17=3,AK17="E",AV17&gt;=0.5,AW17=1),PTHealth,IF(AND(AT17=3,AK17="E",AV17&gt;=0.5),PTHealth*P17,0))))</f>
        <v>0</v>
      </c>
      <c r="BD17" s="462">
        <f>IF(AND(AT17&lt;&gt;0,AX17&gt;=MAXSSDI),SSDI*MAXSSDI*P17,IF(AT17&lt;&gt;0,SSDI*W17,0))</f>
        <v>0</v>
      </c>
      <c r="BE17" s="462">
        <f>IF(AT17&lt;&gt;0,SSHI*W17,0)</f>
        <v>0</v>
      </c>
      <c r="BF17" s="462">
        <f>IF(AND(AT17&lt;&gt;0,AN17&lt;&gt;"NE"),VLOOKUP(AN17,Retirement_Rates,3,FALSE)*W17,0)</f>
        <v>0</v>
      </c>
      <c r="BG17" s="462">
        <f>IF(AND(AT17&lt;&gt;0,AJ17&lt;&gt;"PF"),Life*W17,0)</f>
        <v>0</v>
      </c>
      <c r="BH17" s="462">
        <f>IF(AND(AT17&lt;&gt;0,AM17="Y"),UI*W17,0)</f>
        <v>0</v>
      </c>
      <c r="BI17" s="462">
        <f>IF(AND(AT17&lt;&gt;0,N17&lt;&gt;"NR"),DHR*W17,0)</f>
        <v>0</v>
      </c>
      <c r="BJ17" s="462">
        <f>IF(AT17&lt;&gt;0,WC*W17,0)</f>
        <v>0</v>
      </c>
      <c r="BK17" s="462">
        <f>IF(OR(AND(AT17&lt;&gt;0,AJ17&lt;&gt;"PF",AN17&lt;&gt;"NE",AG17&lt;&gt;"A"),AND(AL17="E",OR(AT17=1,AT17=3))),Sick*W17,0)</f>
        <v>0</v>
      </c>
      <c r="BL17" s="462">
        <f t="shared" si="5"/>
        <v>0</v>
      </c>
      <c r="BM17" s="462">
        <f t="shared" si="6"/>
        <v>0</v>
      </c>
      <c r="BN17" s="462">
        <f>IF(AND(AT17=1,AK17="E",AU17&gt;=0.75,AW17=1),HealthBY,IF(AND(AT17=1,AK17="E",AU17&gt;=0.75),HealthBY*P17,IF(AND(AT17=1,AK17="E",AU17&gt;=0.5,AW17=1),PTHealthBY,IF(AND(AT17=1,AK17="E",AU17&gt;=0.5),PTHealthBY*P17,0))))</f>
        <v>0</v>
      </c>
      <c r="BO17" s="462">
        <f>IF(AND(AT17=3,AK17="E",AV17&gt;=0.75,AW17=1),HealthBY,IF(AND(AT17=3,AK17="E",AV17&gt;=0.75),HealthBY*P17,IF(AND(AT17=3,AK17="E",AV17&gt;=0.5,AW17=1),PTHealthBY,IF(AND(AT17=3,AK17="E",AV17&gt;=0.5),PTHealthBY*P17,0))))</f>
        <v>0</v>
      </c>
      <c r="BP17" s="462">
        <f>IF(AND(AT17&lt;&gt;0,(AX17+BA17)&gt;=MAXSSDIBY),SSDIBY*MAXSSDIBY*P17,IF(AT17&lt;&gt;0,SSDIBY*W17,0))</f>
        <v>0</v>
      </c>
      <c r="BQ17" s="462">
        <f>IF(AT17&lt;&gt;0,SSHIBY*W17,0)</f>
        <v>0</v>
      </c>
      <c r="BR17" s="462">
        <f>IF(AND(AT17&lt;&gt;0,AN17&lt;&gt;"NE"),VLOOKUP(AN17,Retirement_Rates,4,FALSE)*W17,0)</f>
        <v>0</v>
      </c>
      <c r="BS17" s="462">
        <f>IF(AND(AT17&lt;&gt;0,AJ17&lt;&gt;"PF"),LifeBY*W17,0)</f>
        <v>0</v>
      </c>
      <c r="BT17" s="462">
        <f>IF(AND(AT17&lt;&gt;0,AM17="Y"),UIBY*W17,0)</f>
        <v>0</v>
      </c>
      <c r="BU17" s="462">
        <f>IF(AND(AT17&lt;&gt;0,N17&lt;&gt;"NR"),DHRBY*W17,0)</f>
        <v>0</v>
      </c>
      <c r="BV17" s="462">
        <f>IF(AT17&lt;&gt;0,WCBY*W17,0)</f>
        <v>0</v>
      </c>
      <c r="BW17" s="462">
        <f>IF(OR(AND(AT17&lt;&gt;0,AJ17&lt;&gt;"PF",AN17&lt;&gt;"NE",AG17&lt;&gt;"A"),AND(AL17="E",OR(AT17=1,AT17=3))),SickBY*W17,0)</f>
        <v>0</v>
      </c>
      <c r="BX17" s="462">
        <f t="shared" si="7"/>
        <v>0</v>
      </c>
      <c r="BY17" s="462">
        <f t="shared" si="8"/>
        <v>0</v>
      </c>
      <c r="BZ17" s="462">
        <f t="shared" si="9"/>
        <v>0</v>
      </c>
      <c r="CA17" s="462">
        <f t="shared" si="10"/>
        <v>0</v>
      </c>
      <c r="CB17" s="462">
        <f t="shared" si="11"/>
        <v>0</v>
      </c>
      <c r="CC17" s="462">
        <f>IF(AT17&lt;&gt;0,SSHICHG*Y17,0)</f>
        <v>0</v>
      </c>
      <c r="CD17" s="462">
        <f>IF(AND(AT17&lt;&gt;0,AN17&lt;&gt;"NE"),VLOOKUP(AN17,Retirement_Rates,5,FALSE)*Y17,0)</f>
        <v>0</v>
      </c>
      <c r="CE17" s="462">
        <f>IF(AND(AT17&lt;&gt;0,AJ17&lt;&gt;"PF"),LifeCHG*Y17,0)</f>
        <v>0</v>
      </c>
      <c r="CF17" s="462">
        <f>IF(AND(AT17&lt;&gt;0,AM17="Y"),UICHG*Y17,0)</f>
        <v>0</v>
      </c>
      <c r="CG17" s="462">
        <f>IF(AND(AT17&lt;&gt;0,N17&lt;&gt;"NR"),DHRCHG*Y17,0)</f>
        <v>0</v>
      </c>
      <c r="CH17" s="462">
        <f>IF(AT17&lt;&gt;0,WCCHG*Y17,0)</f>
        <v>0</v>
      </c>
      <c r="CI17" s="462">
        <f>IF(OR(AND(AT17&lt;&gt;0,AJ17&lt;&gt;"PF",AN17&lt;&gt;"NE",AG17&lt;&gt;"A"),AND(AL17="E",OR(AT17=1,AT17=3))),SickCHG*Y17,0)</f>
        <v>0</v>
      </c>
      <c r="CJ17" s="462">
        <f t="shared" si="12"/>
        <v>0</v>
      </c>
      <c r="CK17" s="462" t="str">
        <f t="shared" si="13"/>
        <v/>
      </c>
      <c r="CL17" s="462" t="str">
        <f t="shared" si="14"/>
        <v/>
      </c>
      <c r="CM17" s="462" t="str">
        <f t="shared" si="15"/>
        <v/>
      </c>
      <c r="CN17" s="462" t="str">
        <f t="shared" si="16"/>
        <v>0494-03</v>
      </c>
    </row>
    <row r="18" spans="1:92" ht="15" thickBot="1" x14ac:dyDescent="0.35">
      <c r="A18" s="376" t="s">
        <v>161</v>
      </c>
      <c r="B18" s="376" t="s">
        <v>162</v>
      </c>
      <c r="C18" s="376" t="s">
        <v>217</v>
      </c>
      <c r="D18" s="376" t="s">
        <v>218</v>
      </c>
      <c r="E18" s="376" t="s">
        <v>229</v>
      </c>
      <c r="F18" s="382" t="s">
        <v>230</v>
      </c>
      <c r="G18" s="376" t="s">
        <v>166</v>
      </c>
      <c r="H18" s="378"/>
      <c r="I18" s="378"/>
      <c r="J18" s="376" t="s">
        <v>184</v>
      </c>
      <c r="K18" s="376" t="s">
        <v>219</v>
      </c>
      <c r="L18" s="376" t="s">
        <v>180</v>
      </c>
      <c r="M18" s="376" t="s">
        <v>170</v>
      </c>
      <c r="N18" s="376" t="s">
        <v>171</v>
      </c>
      <c r="O18" s="379">
        <v>1</v>
      </c>
      <c r="P18" s="460">
        <v>0</v>
      </c>
      <c r="Q18" s="460">
        <v>0</v>
      </c>
      <c r="R18" s="380">
        <v>80</v>
      </c>
      <c r="S18" s="460">
        <v>0</v>
      </c>
      <c r="T18" s="380">
        <v>0</v>
      </c>
      <c r="U18" s="380">
        <v>0</v>
      </c>
      <c r="V18" s="380">
        <v>6.69</v>
      </c>
      <c r="W18" s="380">
        <v>0</v>
      </c>
      <c r="X18" s="380">
        <v>0</v>
      </c>
      <c r="Y18" s="380">
        <v>0</v>
      </c>
      <c r="Z18" s="380">
        <v>0</v>
      </c>
      <c r="AA18" s="376" t="s">
        <v>220</v>
      </c>
      <c r="AB18" s="376" t="s">
        <v>221</v>
      </c>
      <c r="AC18" s="376" t="s">
        <v>222</v>
      </c>
      <c r="AD18" s="376" t="s">
        <v>223</v>
      </c>
      <c r="AE18" s="376" t="s">
        <v>219</v>
      </c>
      <c r="AF18" s="376" t="s">
        <v>176</v>
      </c>
      <c r="AG18" s="376" t="s">
        <v>177</v>
      </c>
      <c r="AH18" s="381">
        <v>34.65</v>
      </c>
      <c r="AI18" s="381">
        <v>6646.7</v>
      </c>
      <c r="AJ18" s="376" t="s">
        <v>178</v>
      </c>
      <c r="AK18" s="376" t="s">
        <v>179</v>
      </c>
      <c r="AL18" s="376" t="s">
        <v>180</v>
      </c>
      <c r="AM18" s="376" t="s">
        <v>181</v>
      </c>
      <c r="AN18" s="376" t="s">
        <v>68</v>
      </c>
      <c r="AO18" s="379">
        <v>80</v>
      </c>
      <c r="AP18" s="460">
        <v>1</v>
      </c>
      <c r="AQ18" s="460">
        <v>0</v>
      </c>
      <c r="AR18" s="458" t="s">
        <v>182</v>
      </c>
      <c r="AS18" s="462">
        <f t="shared" si="0"/>
        <v>0</v>
      </c>
      <c r="AT18">
        <f t="shared" si="1"/>
        <v>0</v>
      </c>
      <c r="AU18" s="462" t="str">
        <f>IF(AT18=0,"",IF(AND(AT18=1,M18="F",SUMIF(C2:C25,C18,AS2:AS25)&lt;=1),SUMIF(C2:C25,C18,AS2:AS25),IF(AND(AT18=1,M18="F",SUMIF(C2:C25,C18,AS2:AS25)&gt;1),1,"")))</f>
        <v/>
      </c>
      <c r="AV18" s="462" t="str">
        <f>IF(AT18=0,"",IF(AND(AT18=3,M18="F",SUMIF(C2:C25,C18,AS2:AS25)&lt;=1),SUMIF(C2:C25,C18,AS2:AS25),IF(AND(AT18=3,M18="F",SUMIF(C2:C25,C18,AS2:AS25)&gt;1),1,"")))</f>
        <v/>
      </c>
      <c r="AW18" s="462">
        <f>SUMIF(C2:C25,C18,O2:O25)</f>
        <v>3</v>
      </c>
      <c r="AX18" s="462">
        <f>IF(AND(M18="F",AS18&lt;&gt;0),SUMIF(C2:C25,C18,W2:W25),0)</f>
        <v>0</v>
      </c>
      <c r="AY18" s="462" t="str">
        <f t="shared" si="2"/>
        <v/>
      </c>
      <c r="AZ18" s="462" t="str">
        <f t="shared" si="3"/>
        <v/>
      </c>
      <c r="BA18" s="462">
        <f t="shared" si="4"/>
        <v>0</v>
      </c>
      <c r="BB18" s="462">
        <f>IF(AND(AT18=1,AK18="E",AU18&gt;=0.75,AW18=1),Health,IF(AND(AT18=1,AK18="E",AU18&gt;=0.75),Health*P18,IF(AND(AT18=1,AK18="E",AU18&gt;=0.5,AW18=1),PTHealth,IF(AND(AT18=1,AK18="E",AU18&gt;=0.5),PTHealth*P18,0))))</f>
        <v>0</v>
      </c>
      <c r="BC18" s="462">
        <f>IF(AND(AT18=3,AK18="E",AV18&gt;=0.75,AW18=1),Health,IF(AND(AT18=3,AK18="E",AV18&gt;=0.75),Health*P18,IF(AND(AT18=3,AK18="E",AV18&gt;=0.5,AW18=1),PTHealth,IF(AND(AT18=3,AK18="E",AV18&gt;=0.5),PTHealth*P18,0))))</f>
        <v>0</v>
      </c>
      <c r="BD18" s="462">
        <f>IF(AND(AT18&lt;&gt;0,AX18&gt;=MAXSSDI),SSDI*MAXSSDI*P18,IF(AT18&lt;&gt;0,SSDI*W18,0))</f>
        <v>0</v>
      </c>
      <c r="BE18" s="462">
        <f>IF(AT18&lt;&gt;0,SSHI*W18,0)</f>
        <v>0</v>
      </c>
      <c r="BF18" s="462">
        <f>IF(AND(AT18&lt;&gt;0,AN18&lt;&gt;"NE"),VLOOKUP(AN18,Retirement_Rates,3,FALSE)*W18,0)</f>
        <v>0</v>
      </c>
      <c r="BG18" s="462">
        <f>IF(AND(AT18&lt;&gt;0,AJ18&lt;&gt;"PF"),Life*W18,0)</f>
        <v>0</v>
      </c>
      <c r="BH18" s="462">
        <f>IF(AND(AT18&lt;&gt;0,AM18="Y"),UI*W18,0)</f>
        <v>0</v>
      </c>
      <c r="BI18" s="462">
        <f>IF(AND(AT18&lt;&gt;0,N18&lt;&gt;"NR"),DHR*W18,0)</f>
        <v>0</v>
      </c>
      <c r="BJ18" s="462">
        <f>IF(AT18&lt;&gt;0,WC*W18,0)</f>
        <v>0</v>
      </c>
      <c r="BK18" s="462">
        <f>IF(OR(AND(AT18&lt;&gt;0,AJ18&lt;&gt;"PF",AN18&lt;&gt;"NE",AG18&lt;&gt;"A"),AND(AL18="E",OR(AT18=1,AT18=3))),Sick*W18,0)</f>
        <v>0</v>
      </c>
      <c r="BL18" s="462">
        <f t="shared" si="5"/>
        <v>0</v>
      </c>
      <c r="BM18" s="462">
        <f t="shared" si="6"/>
        <v>0</v>
      </c>
      <c r="BN18" s="462">
        <f>IF(AND(AT18=1,AK18="E",AU18&gt;=0.75,AW18=1),HealthBY,IF(AND(AT18=1,AK18="E",AU18&gt;=0.75),HealthBY*P18,IF(AND(AT18=1,AK18="E",AU18&gt;=0.5,AW18=1),PTHealthBY,IF(AND(AT18=1,AK18="E",AU18&gt;=0.5),PTHealthBY*P18,0))))</f>
        <v>0</v>
      </c>
      <c r="BO18" s="462">
        <f>IF(AND(AT18=3,AK18="E",AV18&gt;=0.75,AW18=1),HealthBY,IF(AND(AT18=3,AK18="E",AV18&gt;=0.75),HealthBY*P18,IF(AND(AT18=3,AK18="E",AV18&gt;=0.5,AW18=1),PTHealthBY,IF(AND(AT18=3,AK18="E",AV18&gt;=0.5),PTHealthBY*P18,0))))</f>
        <v>0</v>
      </c>
      <c r="BP18" s="462">
        <f>IF(AND(AT18&lt;&gt;0,(AX18+BA18)&gt;=MAXSSDIBY),SSDIBY*MAXSSDIBY*P18,IF(AT18&lt;&gt;0,SSDIBY*W18,0))</f>
        <v>0</v>
      </c>
      <c r="BQ18" s="462">
        <f>IF(AT18&lt;&gt;0,SSHIBY*W18,0)</f>
        <v>0</v>
      </c>
      <c r="BR18" s="462">
        <f>IF(AND(AT18&lt;&gt;0,AN18&lt;&gt;"NE"),VLOOKUP(AN18,Retirement_Rates,4,FALSE)*W18,0)</f>
        <v>0</v>
      </c>
      <c r="BS18" s="462">
        <f>IF(AND(AT18&lt;&gt;0,AJ18&lt;&gt;"PF"),LifeBY*W18,0)</f>
        <v>0</v>
      </c>
      <c r="BT18" s="462">
        <f>IF(AND(AT18&lt;&gt;0,AM18="Y"),UIBY*W18,0)</f>
        <v>0</v>
      </c>
      <c r="BU18" s="462">
        <f>IF(AND(AT18&lt;&gt;0,N18&lt;&gt;"NR"),DHRBY*W18,0)</f>
        <v>0</v>
      </c>
      <c r="BV18" s="462">
        <f>IF(AT18&lt;&gt;0,WCBY*W18,0)</f>
        <v>0</v>
      </c>
      <c r="BW18" s="462">
        <f>IF(OR(AND(AT18&lt;&gt;0,AJ18&lt;&gt;"PF",AN18&lt;&gt;"NE",AG18&lt;&gt;"A"),AND(AL18="E",OR(AT18=1,AT18=3))),SickBY*W18,0)</f>
        <v>0</v>
      </c>
      <c r="BX18" s="462">
        <f t="shared" si="7"/>
        <v>0</v>
      </c>
      <c r="BY18" s="462">
        <f t="shared" si="8"/>
        <v>0</v>
      </c>
      <c r="BZ18" s="462">
        <f t="shared" si="9"/>
        <v>0</v>
      </c>
      <c r="CA18" s="462">
        <f t="shared" si="10"/>
        <v>0</v>
      </c>
      <c r="CB18" s="462">
        <f t="shared" si="11"/>
        <v>0</v>
      </c>
      <c r="CC18" s="462">
        <f>IF(AT18&lt;&gt;0,SSHICHG*Y18,0)</f>
        <v>0</v>
      </c>
      <c r="CD18" s="462">
        <f>IF(AND(AT18&lt;&gt;0,AN18&lt;&gt;"NE"),VLOOKUP(AN18,Retirement_Rates,5,FALSE)*Y18,0)</f>
        <v>0</v>
      </c>
      <c r="CE18" s="462">
        <f>IF(AND(AT18&lt;&gt;0,AJ18&lt;&gt;"PF"),LifeCHG*Y18,0)</f>
        <v>0</v>
      </c>
      <c r="CF18" s="462">
        <f>IF(AND(AT18&lt;&gt;0,AM18="Y"),UICHG*Y18,0)</f>
        <v>0</v>
      </c>
      <c r="CG18" s="462">
        <f>IF(AND(AT18&lt;&gt;0,N18&lt;&gt;"NR"),DHRCHG*Y18,0)</f>
        <v>0</v>
      </c>
      <c r="CH18" s="462">
        <f>IF(AT18&lt;&gt;0,WCCHG*Y18,0)</f>
        <v>0</v>
      </c>
      <c r="CI18" s="462">
        <f>IF(OR(AND(AT18&lt;&gt;0,AJ18&lt;&gt;"PF",AN18&lt;&gt;"NE",AG18&lt;&gt;"A"),AND(AL18="E",OR(AT18=1,AT18=3))),SickCHG*Y18,0)</f>
        <v>0</v>
      </c>
      <c r="CJ18" s="462">
        <f t="shared" si="12"/>
        <v>0</v>
      </c>
      <c r="CK18" s="462" t="str">
        <f t="shared" si="13"/>
        <v/>
      </c>
      <c r="CL18" s="462" t="str">
        <f t="shared" si="14"/>
        <v/>
      </c>
      <c r="CM18" s="462" t="str">
        <f t="shared" si="15"/>
        <v/>
      </c>
      <c r="CN18" s="462" t="str">
        <f t="shared" si="16"/>
        <v>0494-03</v>
      </c>
    </row>
    <row r="19" spans="1:92" ht="15" thickBot="1" x14ac:dyDescent="0.35">
      <c r="A19" s="376" t="s">
        <v>161</v>
      </c>
      <c r="B19" s="376" t="s">
        <v>162</v>
      </c>
      <c r="C19" s="376" t="s">
        <v>224</v>
      </c>
      <c r="D19" s="376" t="s">
        <v>164</v>
      </c>
      <c r="E19" s="376" t="s">
        <v>229</v>
      </c>
      <c r="F19" s="382" t="s">
        <v>230</v>
      </c>
      <c r="G19" s="376" t="s">
        <v>166</v>
      </c>
      <c r="H19" s="378"/>
      <c r="I19" s="378"/>
      <c r="J19" s="376" t="s">
        <v>167</v>
      </c>
      <c r="K19" s="376" t="s">
        <v>168</v>
      </c>
      <c r="L19" s="376" t="s">
        <v>169</v>
      </c>
      <c r="M19" s="376" t="s">
        <v>170</v>
      </c>
      <c r="N19" s="376" t="s">
        <v>171</v>
      </c>
      <c r="O19" s="379">
        <v>1</v>
      </c>
      <c r="P19" s="460">
        <v>0</v>
      </c>
      <c r="Q19" s="460">
        <v>0</v>
      </c>
      <c r="R19" s="380">
        <v>80</v>
      </c>
      <c r="S19" s="460">
        <v>0</v>
      </c>
      <c r="T19" s="380">
        <v>1106.82</v>
      </c>
      <c r="U19" s="380">
        <v>0</v>
      </c>
      <c r="V19" s="380">
        <v>536.6</v>
      </c>
      <c r="W19" s="380">
        <v>0</v>
      </c>
      <c r="X19" s="380">
        <v>0</v>
      </c>
      <c r="Y19" s="380">
        <v>0</v>
      </c>
      <c r="Z19" s="380">
        <v>0</v>
      </c>
      <c r="AA19" s="376" t="s">
        <v>225</v>
      </c>
      <c r="AB19" s="376" t="s">
        <v>226</v>
      </c>
      <c r="AC19" s="376" t="s">
        <v>227</v>
      </c>
      <c r="AD19" s="376" t="s">
        <v>228</v>
      </c>
      <c r="AE19" s="376" t="s">
        <v>168</v>
      </c>
      <c r="AF19" s="376" t="s">
        <v>176</v>
      </c>
      <c r="AG19" s="376" t="s">
        <v>177</v>
      </c>
      <c r="AH19" s="381">
        <v>22.36</v>
      </c>
      <c r="AI19" s="381">
        <v>320.5</v>
      </c>
      <c r="AJ19" s="376" t="s">
        <v>178</v>
      </c>
      <c r="AK19" s="376" t="s">
        <v>179</v>
      </c>
      <c r="AL19" s="376" t="s">
        <v>180</v>
      </c>
      <c r="AM19" s="376" t="s">
        <v>181</v>
      </c>
      <c r="AN19" s="376" t="s">
        <v>68</v>
      </c>
      <c r="AO19" s="379">
        <v>80</v>
      </c>
      <c r="AP19" s="460">
        <v>1</v>
      </c>
      <c r="AQ19" s="460">
        <v>0</v>
      </c>
      <c r="AR19" s="458" t="s">
        <v>182</v>
      </c>
      <c r="AS19" s="462">
        <f t="shared" si="0"/>
        <v>0</v>
      </c>
      <c r="AT19">
        <f t="shared" si="1"/>
        <v>0</v>
      </c>
      <c r="AU19" s="462" t="str">
        <f>IF(AT19=0,"",IF(AND(AT19=1,M19="F",SUMIF(C2:C25,C19,AS2:AS25)&lt;=1),SUMIF(C2:C25,C19,AS2:AS25),IF(AND(AT19=1,M19="F",SUMIF(C2:C25,C19,AS2:AS25)&gt;1),1,"")))</f>
        <v/>
      </c>
      <c r="AV19" s="462" t="str">
        <f>IF(AT19=0,"",IF(AND(AT19=3,M19="F",SUMIF(C2:C25,C19,AS2:AS25)&lt;=1),SUMIF(C2:C25,C19,AS2:AS25),IF(AND(AT19=3,M19="F",SUMIF(C2:C25,C19,AS2:AS25)&gt;1),1,"")))</f>
        <v/>
      </c>
      <c r="AW19" s="462">
        <f>SUMIF(C2:C25,C19,O2:O25)</f>
        <v>2</v>
      </c>
      <c r="AX19" s="462">
        <f>IF(AND(M19="F",AS19&lt;&gt;0),SUMIF(C2:C25,C19,W2:W25),0)</f>
        <v>0</v>
      </c>
      <c r="AY19" s="462" t="str">
        <f t="shared" si="2"/>
        <v/>
      </c>
      <c r="AZ19" s="462" t="str">
        <f t="shared" si="3"/>
        <v/>
      </c>
      <c r="BA19" s="462">
        <f t="shared" si="4"/>
        <v>0</v>
      </c>
      <c r="BB19" s="462">
        <f>IF(AND(AT19=1,AK19="E",AU19&gt;=0.75,AW19=1),Health,IF(AND(AT19=1,AK19="E",AU19&gt;=0.75),Health*P19,IF(AND(AT19=1,AK19="E",AU19&gt;=0.5,AW19=1),PTHealth,IF(AND(AT19=1,AK19="E",AU19&gt;=0.5),PTHealth*P19,0))))</f>
        <v>0</v>
      </c>
      <c r="BC19" s="462">
        <f>IF(AND(AT19=3,AK19="E",AV19&gt;=0.75,AW19=1),Health,IF(AND(AT19=3,AK19="E",AV19&gt;=0.75),Health*P19,IF(AND(AT19=3,AK19="E",AV19&gt;=0.5,AW19=1),PTHealth,IF(AND(AT19=3,AK19="E",AV19&gt;=0.5),PTHealth*P19,0))))</f>
        <v>0</v>
      </c>
      <c r="BD19" s="462">
        <f>IF(AND(AT19&lt;&gt;0,AX19&gt;=MAXSSDI),SSDI*MAXSSDI*P19,IF(AT19&lt;&gt;0,SSDI*W19,0))</f>
        <v>0</v>
      </c>
      <c r="BE19" s="462">
        <f>IF(AT19&lt;&gt;0,SSHI*W19,0)</f>
        <v>0</v>
      </c>
      <c r="BF19" s="462">
        <f>IF(AND(AT19&lt;&gt;0,AN19&lt;&gt;"NE"),VLOOKUP(AN19,Retirement_Rates,3,FALSE)*W19,0)</f>
        <v>0</v>
      </c>
      <c r="BG19" s="462">
        <f>IF(AND(AT19&lt;&gt;0,AJ19&lt;&gt;"PF"),Life*W19,0)</f>
        <v>0</v>
      </c>
      <c r="BH19" s="462">
        <f>IF(AND(AT19&lt;&gt;0,AM19="Y"),UI*W19,0)</f>
        <v>0</v>
      </c>
      <c r="BI19" s="462">
        <f>IF(AND(AT19&lt;&gt;0,N19&lt;&gt;"NR"),DHR*W19,0)</f>
        <v>0</v>
      </c>
      <c r="BJ19" s="462">
        <f>IF(AT19&lt;&gt;0,WC*W19,0)</f>
        <v>0</v>
      </c>
      <c r="BK19" s="462">
        <f>IF(OR(AND(AT19&lt;&gt;0,AJ19&lt;&gt;"PF",AN19&lt;&gt;"NE",AG19&lt;&gt;"A"),AND(AL19="E",OR(AT19=1,AT19=3))),Sick*W19,0)</f>
        <v>0</v>
      </c>
      <c r="BL19" s="462">
        <f t="shared" si="5"/>
        <v>0</v>
      </c>
      <c r="BM19" s="462">
        <f t="shared" si="6"/>
        <v>0</v>
      </c>
      <c r="BN19" s="462">
        <f>IF(AND(AT19=1,AK19="E",AU19&gt;=0.75,AW19=1),HealthBY,IF(AND(AT19=1,AK19="E",AU19&gt;=0.75),HealthBY*P19,IF(AND(AT19=1,AK19="E",AU19&gt;=0.5,AW19=1),PTHealthBY,IF(AND(AT19=1,AK19="E",AU19&gt;=0.5),PTHealthBY*P19,0))))</f>
        <v>0</v>
      </c>
      <c r="BO19" s="462">
        <f>IF(AND(AT19=3,AK19="E",AV19&gt;=0.75,AW19=1),HealthBY,IF(AND(AT19=3,AK19="E",AV19&gt;=0.75),HealthBY*P19,IF(AND(AT19=3,AK19="E",AV19&gt;=0.5,AW19=1),PTHealthBY,IF(AND(AT19=3,AK19="E",AV19&gt;=0.5),PTHealthBY*P19,0))))</f>
        <v>0</v>
      </c>
      <c r="BP19" s="462">
        <f>IF(AND(AT19&lt;&gt;0,(AX19+BA19)&gt;=MAXSSDIBY),SSDIBY*MAXSSDIBY*P19,IF(AT19&lt;&gt;0,SSDIBY*W19,0))</f>
        <v>0</v>
      </c>
      <c r="BQ19" s="462">
        <f>IF(AT19&lt;&gt;0,SSHIBY*W19,0)</f>
        <v>0</v>
      </c>
      <c r="BR19" s="462">
        <f>IF(AND(AT19&lt;&gt;0,AN19&lt;&gt;"NE"),VLOOKUP(AN19,Retirement_Rates,4,FALSE)*W19,0)</f>
        <v>0</v>
      </c>
      <c r="BS19" s="462">
        <f>IF(AND(AT19&lt;&gt;0,AJ19&lt;&gt;"PF"),LifeBY*W19,0)</f>
        <v>0</v>
      </c>
      <c r="BT19" s="462">
        <f>IF(AND(AT19&lt;&gt;0,AM19="Y"),UIBY*W19,0)</f>
        <v>0</v>
      </c>
      <c r="BU19" s="462">
        <f>IF(AND(AT19&lt;&gt;0,N19&lt;&gt;"NR"),DHRBY*W19,0)</f>
        <v>0</v>
      </c>
      <c r="BV19" s="462">
        <f>IF(AT19&lt;&gt;0,WCBY*W19,0)</f>
        <v>0</v>
      </c>
      <c r="BW19" s="462">
        <f>IF(OR(AND(AT19&lt;&gt;0,AJ19&lt;&gt;"PF",AN19&lt;&gt;"NE",AG19&lt;&gt;"A"),AND(AL19="E",OR(AT19=1,AT19=3))),SickBY*W19,0)</f>
        <v>0</v>
      </c>
      <c r="BX19" s="462">
        <f t="shared" si="7"/>
        <v>0</v>
      </c>
      <c r="BY19" s="462">
        <f t="shared" si="8"/>
        <v>0</v>
      </c>
      <c r="BZ19" s="462">
        <f t="shared" si="9"/>
        <v>0</v>
      </c>
      <c r="CA19" s="462">
        <f t="shared" si="10"/>
        <v>0</v>
      </c>
      <c r="CB19" s="462">
        <f t="shared" si="11"/>
        <v>0</v>
      </c>
      <c r="CC19" s="462">
        <f>IF(AT19&lt;&gt;0,SSHICHG*Y19,0)</f>
        <v>0</v>
      </c>
      <c r="CD19" s="462">
        <f>IF(AND(AT19&lt;&gt;0,AN19&lt;&gt;"NE"),VLOOKUP(AN19,Retirement_Rates,5,FALSE)*Y19,0)</f>
        <v>0</v>
      </c>
      <c r="CE19" s="462">
        <f>IF(AND(AT19&lt;&gt;0,AJ19&lt;&gt;"PF"),LifeCHG*Y19,0)</f>
        <v>0</v>
      </c>
      <c r="CF19" s="462">
        <f>IF(AND(AT19&lt;&gt;0,AM19="Y"),UICHG*Y19,0)</f>
        <v>0</v>
      </c>
      <c r="CG19" s="462">
        <f>IF(AND(AT19&lt;&gt;0,N19&lt;&gt;"NR"),DHRCHG*Y19,0)</f>
        <v>0</v>
      </c>
      <c r="CH19" s="462">
        <f>IF(AT19&lt;&gt;0,WCCHG*Y19,0)</f>
        <v>0</v>
      </c>
      <c r="CI19" s="462">
        <f>IF(OR(AND(AT19&lt;&gt;0,AJ19&lt;&gt;"PF",AN19&lt;&gt;"NE",AG19&lt;&gt;"A"),AND(AL19="E",OR(AT19=1,AT19=3))),SickCHG*Y19,0)</f>
        <v>0</v>
      </c>
      <c r="CJ19" s="462">
        <f t="shared" si="12"/>
        <v>0</v>
      </c>
      <c r="CK19" s="462" t="str">
        <f t="shared" si="13"/>
        <v/>
      </c>
      <c r="CL19" s="462" t="str">
        <f t="shared" si="14"/>
        <v/>
      </c>
      <c r="CM19" s="462" t="str">
        <f t="shared" si="15"/>
        <v/>
      </c>
      <c r="CN19" s="462" t="str">
        <f t="shared" si="16"/>
        <v>0494-03</v>
      </c>
    </row>
    <row r="20" spans="1:92" ht="15" thickBot="1" x14ac:dyDescent="0.35">
      <c r="A20" s="376" t="s">
        <v>161</v>
      </c>
      <c r="B20" s="376" t="s">
        <v>162</v>
      </c>
      <c r="C20" s="376" t="s">
        <v>194</v>
      </c>
      <c r="D20" s="376" t="s">
        <v>195</v>
      </c>
      <c r="E20" s="376" t="s">
        <v>229</v>
      </c>
      <c r="F20" s="382" t="s">
        <v>230</v>
      </c>
      <c r="G20" s="376" t="s">
        <v>166</v>
      </c>
      <c r="H20" s="378"/>
      <c r="I20" s="378"/>
      <c r="J20" s="376" t="s">
        <v>167</v>
      </c>
      <c r="K20" s="376" t="s">
        <v>196</v>
      </c>
      <c r="L20" s="376" t="s">
        <v>165</v>
      </c>
      <c r="M20" s="376" t="s">
        <v>170</v>
      </c>
      <c r="N20" s="376" t="s">
        <v>171</v>
      </c>
      <c r="O20" s="379">
        <v>1</v>
      </c>
      <c r="P20" s="460">
        <v>0</v>
      </c>
      <c r="Q20" s="460">
        <v>0</v>
      </c>
      <c r="R20" s="380">
        <v>80</v>
      </c>
      <c r="S20" s="460">
        <v>0</v>
      </c>
      <c r="T20" s="380">
        <v>0</v>
      </c>
      <c r="U20" s="380">
        <v>0</v>
      </c>
      <c r="V20" s="380">
        <v>16.77</v>
      </c>
      <c r="W20" s="380">
        <v>0</v>
      </c>
      <c r="X20" s="380">
        <v>0</v>
      </c>
      <c r="Y20" s="380">
        <v>0</v>
      </c>
      <c r="Z20" s="380">
        <v>0</v>
      </c>
      <c r="AA20" s="376" t="s">
        <v>197</v>
      </c>
      <c r="AB20" s="376" t="s">
        <v>198</v>
      </c>
      <c r="AC20" s="376" t="s">
        <v>199</v>
      </c>
      <c r="AD20" s="376" t="s">
        <v>200</v>
      </c>
      <c r="AE20" s="376" t="s">
        <v>196</v>
      </c>
      <c r="AF20" s="376" t="s">
        <v>176</v>
      </c>
      <c r="AG20" s="376" t="s">
        <v>177</v>
      </c>
      <c r="AH20" s="381">
        <v>51.66</v>
      </c>
      <c r="AI20" s="381">
        <v>54579.5</v>
      </c>
      <c r="AJ20" s="376" t="s">
        <v>178</v>
      </c>
      <c r="AK20" s="376" t="s">
        <v>179</v>
      </c>
      <c r="AL20" s="376" t="s">
        <v>180</v>
      </c>
      <c r="AM20" s="376" t="s">
        <v>180</v>
      </c>
      <c r="AN20" s="376" t="s">
        <v>68</v>
      </c>
      <c r="AO20" s="379">
        <v>80</v>
      </c>
      <c r="AP20" s="460">
        <v>1</v>
      </c>
      <c r="AQ20" s="460">
        <v>0</v>
      </c>
      <c r="AR20" s="458" t="s">
        <v>182</v>
      </c>
      <c r="AS20" s="462">
        <f t="shared" si="0"/>
        <v>0</v>
      </c>
      <c r="AT20">
        <f t="shared" si="1"/>
        <v>0</v>
      </c>
      <c r="AU20" s="462" t="str">
        <f>IF(AT20=0,"",IF(AND(AT20=1,M20="F",SUMIF(C2:C25,C20,AS2:AS25)&lt;=1),SUMIF(C2:C25,C20,AS2:AS25),IF(AND(AT20=1,M20="F",SUMIF(C2:C25,C20,AS2:AS25)&gt;1),1,"")))</f>
        <v/>
      </c>
      <c r="AV20" s="462" t="str">
        <f>IF(AT20=0,"",IF(AND(AT20=3,M20="F",SUMIF(C2:C25,C20,AS2:AS25)&lt;=1),SUMIF(C2:C25,C20,AS2:AS25),IF(AND(AT20=3,M20="F",SUMIF(C2:C25,C20,AS2:AS25)&gt;1),1,"")))</f>
        <v/>
      </c>
      <c r="AW20" s="462">
        <f>SUMIF(C2:C25,C20,O2:O25)</f>
        <v>4</v>
      </c>
      <c r="AX20" s="462">
        <f>IF(AND(M20="F",AS20&lt;&gt;0),SUMIF(C2:C25,C20,W2:W25),0)</f>
        <v>0</v>
      </c>
      <c r="AY20" s="462" t="str">
        <f t="shared" si="2"/>
        <v/>
      </c>
      <c r="AZ20" s="462" t="str">
        <f t="shared" si="3"/>
        <v/>
      </c>
      <c r="BA20" s="462">
        <f t="shared" si="4"/>
        <v>0</v>
      </c>
      <c r="BB20" s="462">
        <f>IF(AND(AT20=1,AK20="E",AU20&gt;=0.75,AW20=1),Health,IF(AND(AT20=1,AK20="E",AU20&gt;=0.75),Health*P20,IF(AND(AT20=1,AK20="E",AU20&gt;=0.5,AW20=1),PTHealth,IF(AND(AT20=1,AK20="E",AU20&gt;=0.5),PTHealth*P20,0))))</f>
        <v>0</v>
      </c>
      <c r="BC20" s="462">
        <f>IF(AND(AT20=3,AK20="E",AV20&gt;=0.75,AW20=1),Health,IF(AND(AT20=3,AK20="E",AV20&gt;=0.75),Health*P20,IF(AND(AT20=3,AK20="E",AV20&gt;=0.5,AW20=1),PTHealth,IF(AND(AT20=3,AK20="E",AV20&gt;=0.5),PTHealth*P20,0))))</f>
        <v>0</v>
      </c>
      <c r="BD20" s="462">
        <f>IF(AND(AT20&lt;&gt;0,AX20&gt;=MAXSSDI),SSDI*MAXSSDI*P20,IF(AT20&lt;&gt;0,SSDI*W20,0))</f>
        <v>0</v>
      </c>
      <c r="BE20" s="462">
        <f>IF(AT20&lt;&gt;0,SSHI*W20,0)</f>
        <v>0</v>
      </c>
      <c r="BF20" s="462">
        <f>IF(AND(AT20&lt;&gt;0,AN20&lt;&gt;"NE"),VLOOKUP(AN20,Retirement_Rates,3,FALSE)*W20,0)</f>
        <v>0</v>
      </c>
      <c r="BG20" s="462">
        <f>IF(AND(AT20&lt;&gt;0,AJ20&lt;&gt;"PF"),Life*W20,0)</f>
        <v>0</v>
      </c>
      <c r="BH20" s="462">
        <f>IF(AND(AT20&lt;&gt;0,AM20="Y"),UI*W20,0)</f>
        <v>0</v>
      </c>
      <c r="BI20" s="462">
        <f>IF(AND(AT20&lt;&gt;0,N20&lt;&gt;"NR"),DHR*W20,0)</f>
        <v>0</v>
      </c>
      <c r="BJ20" s="462">
        <f>IF(AT20&lt;&gt;0,WC*W20,0)</f>
        <v>0</v>
      </c>
      <c r="BK20" s="462">
        <f>IF(OR(AND(AT20&lt;&gt;0,AJ20&lt;&gt;"PF",AN20&lt;&gt;"NE",AG20&lt;&gt;"A"),AND(AL20="E",OR(AT20=1,AT20=3))),Sick*W20,0)</f>
        <v>0</v>
      </c>
      <c r="BL20" s="462">
        <f t="shared" si="5"/>
        <v>0</v>
      </c>
      <c r="BM20" s="462">
        <f t="shared" si="6"/>
        <v>0</v>
      </c>
      <c r="BN20" s="462">
        <f>IF(AND(AT20=1,AK20="E",AU20&gt;=0.75,AW20=1),HealthBY,IF(AND(AT20=1,AK20="E",AU20&gt;=0.75),HealthBY*P20,IF(AND(AT20=1,AK20="E",AU20&gt;=0.5,AW20=1),PTHealthBY,IF(AND(AT20=1,AK20="E",AU20&gt;=0.5),PTHealthBY*P20,0))))</f>
        <v>0</v>
      </c>
      <c r="BO20" s="462">
        <f>IF(AND(AT20=3,AK20="E",AV20&gt;=0.75,AW20=1),HealthBY,IF(AND(AT20=3,AK20="E",AV20&gt;=0.75),HealthBY*P20,IF(AND(AT20=3,AK20="E",AV20&gt;=0.5,AW20=1),PTHealthBY,IF(AND(AT20=3,AK20="E",AV20&gt;=0.5),PTHealthBY*P20,0))))</f>
        <v>0</v>
      </c>
      <c r="BP20" s="462">
        <f>IF(AND(AT20&lt;&gt;0,(AX20+BA20)&gt;=MAXSSDIBY),SSDIBY*MAXSSDIBY*P20,IF(AT20&lt;&gt;0,SSDIBY*W20,0))</f>
        <v>0</v>
      </c>
      <c r="BQ20" s="462">
        <f>IF(AT20&lt;&gt;0,SSHIBY*W20,0)</f>
        <v>0</v>
      </c>
      <c r="BR20" s="462">
        <f>IF(AND(AT20&lt;&gt;0,AN20&lt;&gt;"NE"),VLOOKUP(AN20,Retirement_Rates,4,FALSE)*W20,0)</f>
        <v>0</v>
      </c>
      <c r="BS20" s="462">
        <f>IF(AND(AT20&lt;&gt;0,AJ20&lt;&gt;"PF"),LifeBY*W20,0)</f>
        <v>0</v>
      </c>
      <c r="BT20" s="462">
        <f>IF(AND(AT20&lt;&gt;0,AM20="Y"),UIBY*W20,0)</f>
        <v>0</v>
      </c>
      <c r="BU20" s="462">
        <f>IF(AND(AT20&lt;&gt;0,N20&lt;&gt;"NR"),DHRBY*W20,0)</f>
        <v>0</v>
      </c>
      <c r="BV20" s="462">
        <f>IF(AT20&lt;&gt;0,WCBY*W20,0)</f>
        <v>0</v>
      </c>
      <c r="BW20" s="462">
        <f>IF(OR(AND(AT20&lt;&gt;0,AJ20&lt;&gt;"PF",AN20&lt;&gt;"NE",AG20&lt;&gt;"A"),AND(AL20="E",OR(AT20=1,AT20=3))),SickBY*W20,0)</f>
        <v>0</v>
      </c>
      <c r="BX20" s="462">
        <f t="shared" si="7"/>
        <v>0</v>
      </c>
      <c r="BY20" s="462">
        <f t="shared" si="8"/>
        <v>0</v>
      </c>
      <c r="BZ20" s="462">
        <f t="shared" si="9"/>
        <v>0</v>
      </c>
      <c r="CA20" s="462">
        <f t="shared" si="10"/>
        <v>0</v>
      </c>
      <c r="CB20" s="462">
        <f t="shared" si="11"/>
        <v>0</v>
      </c>
      <c r="CC20" s="462">
        <f>IF(AT20&lt;&gt;0,SSHICHG*Y20,0)</f>
        <v>0</v>
      </c>
      <c r="CD20" s="462">
        <f>IF(AND(AT20&lt;&gt;0,AN20&lt;&gt;"NE"),VLOOKUP(AN20,Retirement_Rates,5,FALSE)*Y20,0)</f>
        <v>0</v>
      </c>
      <c r="CE20" s="462">
        <f>IF(AND(AT20&lt;&gt;0,AJ20&lt;&gt;"PF"),LifeCHG*Y20,0)</f>
        <v>0</v>
      </c>
      <c r="CF20" s="462">
        <f>IF(AND(AT20&lt;&gt;0,AM20="Y"),UICHG*Y20,0)</f>
        <v>0</v>
      </c>
      <c r="CG20" s="462">
        <f>IF(AND(AT20&lt;&gt;0,N20&lt;&gt;"NR"),DHRCHG*Y20,0)</f>
        <v>0</v>
      </c>
      <c r="CH20" s="462">
        <f>IF(AT20&lt;&gt;0,WCCHG*Y20,0)</f>
        <v>0</v>
      </c>
      <c r="CI20" s="462">
        <f>IF(OR(AND(AT20&lt;&gt;0,AJ20&lt;&gt;"PF",AN20&lt;&gt;"NE",AG20&lt;&gt;"A"),AND(AL20="E",OR(AT20=1,AT20=3))),SickCHG*Y20,0)</f>
        <v>0</v>
      </c>
      <c r="CJ20" s="462">
        <f t="shared" si="12"/>
        <v>0</v>
      </c>
      <c r="CK20" s="462" t="str">
        <f t="shared" si="13"/>
        <v/>
      </c>
      <c r="CL20" s="462" t="str">
        <f t="shared" si="14"/>
        <v/>
      </c>
      <c r="CM20" s="462" t="str">
        <f t="shared" si="15"/>
        <v/>
      </c>
      <c r="CN20" s="462" t="str">
        <f t="shared" si="16"/>
        <v>0494-03</v>
      </c>
    </row>
    <row r="21" spans="1:92" ht="15" thickBot="1" x14ac:dyDescent="0.35">
      <c r="A21" s="376" t="s">
        <v>161</v>
      </c>
      <c r="B21" s="376" t="s">
        <v>162</v>
      </c>
      <c r="C21" s="376" t="s">
        <v>163</v>
      </c>
      <c r="D21" s="376" t="s">
        <v>164</v>
      </c>
      <c r="E21" s="376" t="s">
        <v>231</v>
      </c>
      <c r="F21" s="377" t="s">
        <v>165</v>
      </c>
      <c r="G21" s="376" t="s">
        <v>232</v>
      </c>
      <c r="H21" s="378"/>
      <c r="I21" s="378"/>
      <c r="J21" s="376" t="s">
        <v>167</v>
      </c>
      <c r="K21" s="376" t="s">
        <v>168</v>
      </c>
      <c r="L21" s="376" t="s">
        <v>169</v>
      </c>
      <c r="M21" s="376" t="s">
        <v>170</v>
      </c>
      <c r="N21" s="376" t="s">
        <v>171</v>
      </c>
      <c r="O21" s="379">
        <v>1</v>
      </c>
      <c r="P21" s="460">
        <v>0</v>
      </c>
      <c r="Q21" s="460">
        <v>0</v>
      </c>
      <c r="R21" s="380">
        <v>80</v>
      </c>
      <c r="S21" s="460">
        <v>0</v>
      </c>
      <c r="T21" s="380">
        <v>7612.08</v>
      </c>
      <c r="U21" s="380">
        <v>0</v>
      </c>
      <c r="V21" s="380">
        <v>799.03</v>
      </c>
      <c r="W21" s="380">
        <v>0</v>
      </c>
      <c r="X21" s="380">
        <v>0</v>
      </c>
      <c r="Y21" s="380">
        <v>0</v>
      </c>
      <c r="Z21" s="380">
        <v>0</v>
      </c>
      <c r="AA21" s="376" t="s">
        <v>172</v>
      </c>
      <c r="AB21" s="376" t="s">
        <v>173</v>
      </c>
      <c r="AC21" s="376" t="s">
        <v>174</v>
      </c>
      <c r="AD21" s="376" t="s">
        <v>175</v>
      </c>
      <c r="AE21" s="376" t="s">
        <v>168</v>
      </c>
      <c r="AF21" s="376" t="s">
        <v>176</v>
      </c>
      <c r="AG21" s="376" t="s">
        <v>177</v>
      </c>
      <c r="AH21" s="381">
        <v>22.36</v>
      </c>
      <c r="AI21" s="379">
        <v>316</v>
      </c>
      <c r="AJ21" s="376" t="s">
        <v>178</v>
      </c>
      <c r="AK21" s="376" t="s">
        <v>179</v>
      </c>
      <c r="AL21" s="376" t="s">
        <v>180</v>
      </c>
      <c r="AM21" s="376" t="s">
        <v>181</v>
      </c>
      <c r="AN21" s="376" t="s">
        <v>68</v>
      </c>
      <c r="AO21" s="379">
        <v>80</v>
      </c>
      <c r="AP21" s="460">
        <v>1</v>
      </c>
      <c r="AQ21" s="460">
        <v>0</v>
      </c>
      <c r="AR21" s="458" t="s">
        <v>182</v>
      </c>
      <c r="AS21" s="462">
        <f t="shared" si="0"/>
        <v>0</v>
      </c>
      <c r="AT21">
        <f t="shared" si="1"/>
        <v>0</v>
      </c>
      <c r="AU21" s="462" t="str">
        <f>IF(AT21=0,"",IF(AND(AT21=1,M21="F",SUMIF(C2:C25,C21,AS2:AS25)&lt;=1),SUMIF(C2:C25,C21,AS2:AS25),IF(AND(AT21=1,M21="F",SUMIF(C2:C25,C21,AS2:AS25)&gt;1),1,"")))</f>
        <v/>
      </c>
      <c r="AV21" s="462" t="str">
        <f>IF(AT21=0,"",IF(AND(AT21=3,M21="F",SUMIF(C2:C25,C21,AS2:AS25)&lt;=1),SUMIF(C2:C25,C21,AS2:AS25),IF(AND(AT21=3,M21="F",SUMIF(C2:C25,C21,AS2:AS25)&gt;1),1,"")))</f>
        <v/>
      </c>
      <c r="AW21" s="462">
        <f>SUMIF(C2:C25,C21,O2:O25)</f>
        <v>4</v>
      </c>
      <c r="AX21" s="462">
        <f>IF(AND(M21="F",AS21&lt;&gt;0),SUMIF(C2:C25,C21,W2:W25),0)</f>
        <v>0</v>
      </c>
      <c r="AY21" s="462" t="str">
        <f t="shared" si="2"/>
        <v/>
      </c>
      <c r="AZ21" s="462" t="str">
        <f t="shared" si="3"/>
        <v/>
      </c>
      <c r="BA21" s="462">
        <f t="shared" si="4"/>
        <v>0</v>
      </c>
      <c r="BB21" s="462">
        <f>IF(AND(AT21=1,AK21="E",AU21&gt;=0.75,AW21=1),Health,IF(AND(AT21=1,AK21="E",AU21&gt;=0.75),Health*P21,IF(AND(AT21=1,AK21="E",AU21&gt;=0.5,AW21=1),PTHealth,IF(AND(AT21=1,AK21="E",AU21&gt;=0.5),PTHealth*P21,0))))</f>
        <v>0</v>
      </c>
      <c r="BC21" s="462">
        <f>IF(AND(AT21=3,AK21="E",AV21&gt;=0.75,AW21=1),Health,IF(AND(AT21=3,AK21="E",AV21&gt;=0.75),Health*P21,IF(AND(AT21=3,AK21="E",AV21&gt;=0.5,AW21=1),PTHealth,IF(AND(AT21=3,AK21="E",AV21&gt;=0.5),PTHealth*P21,0))))</f>
        <v>0</v>
      </c>
      <c r="BD21" s="462">
        <f>IF(AND(AT21&lt;&gt;0,AX21&gt;=MAXSSDI),SSDI*MAXSSDI*P21,IF(AT21&lt;&gt;0,SSDI*W21,0))</f>
        <v>0</v>
      </c>
      <c r="BE21" s="462">
        <f>IF(AT21&lt;&gt;0,SSHI*W21,0)</f>
        <v>0</v>
      </c>
      <c r="BF21" s="462">
        <f>IF(AND(AT21&lt;&gt;0,AN21&lt;&gt;"NE"),VLOOKUP(AN21,Retirement_Rates,3,FALSE)*W21,0)</f>
        <v>0</v>
      </c>
      <c r="BG21" s="462">
        <f>IF(AND(AT21&lt;&gt;0,AJ21&lt;&gt;"PF"),Life*W21,0)</f>
        <v>0</v>
      </c>
      <c r="BH21" s="462">
        <f>IF(AND(AT21&lt;&gt;0,AM21="Y"),UI*W21,0)</f>
        <v>0</v>
      </c>
      <c r="BI21" s="462">
        <f>IF(AND(AT21&lt;&gt;0,N21&lt;&gt;"NR"),DHR*W21,0)</f>
        <v>0</v>
      </c>
      <c r="BJ21" s="462">
        <f>IF(AT21&lt;&gt;0,WC*W21,0)</f>
        <v>0</v>
      </c>
      <c r="BK21" s="462">
        <f>IF(OR(AND(AT21&lt;&gt;0,AJ21&lt;&gt;"PF",AN21&lt;&gt;"NE",AG21&lt;&gt;"A"),AND(AL21="E",OR(AT21=1,AT21=3))),Sick*W21,0)</f>
        <v>0</v>
      </c>
      <c r="BL21" s="462">
        <f t="shared" si="5"/>
        <v>0</v>
      </c>
      <c r="BM21" s="462">
        <f t="shared" si="6"/>
        <v>0</v>
      </c>
      <c r="BN21" s="462">
        <f>IF(AND(AT21=1,AK21="E",AU21&gt;=0.75,AW21=1),HealthBY,IF(AND(AT21=1,AK21="E",AU21&gt;=0.75),HealthBY*P21,IF(AND(AT21=1,AK21="E",AU21&gt;=0.5,AW21=1),PTHealthBY,IF(AND(AT21=1,AK21="E",AU21&gt;=0.5),PTHealthBY*P21,0))))</f>
        <v>0</v>
      </c>
      <c r="BO21" s="462">
        <f>IF(AND(AT21=3,AK21="E",AV21&gt;=0.75,AW21=1),HealthBY,IF(AND(AT21=3,AK21="E",AV21&gt;=0.75),HealthBY*P21,IF(AND(AT21=3,AK21="E",AV21&gt;=0.5,AW21=1),PTHealthBY,IF(AND(AT21=3,AK21="E",AV21&gt;=0.5),PTHealthBY*P21,0))))</f>
        <v>0</v>
      </c>
      <c r="BP21" s="462">
        <f>IF(AND(AT21&lt;&gt;0,(AX21+BA21)&gt;=MAXSSDIBY),SSDIBY*MAXSSDIBY*P21,IF(AT21&lt;&gt;0,SSDIBY*W21,0))</f>
        <v>0</v>
      </c>
      <c r="BQ21" s="462">
        <f>IF(AT21&lt;&gt;0,SSHIBY*W21,0)</f>
        <v>0</v>
      </c>
      <c r="BR21" s="462">
        <f>IF(AND(AT21&lt;&gt;0,AN21&lt;&gt;"NE"),VLOOKUP(AN21,Retirement_Rates,4,FALSE)*W21,0)</f>
        <v>0</v>
      </c>
      <c r="BS21" s="462">
        <f>IF(AND(AT21&lt;&gt;0,AJ21&lt;&gt;"PF"),LifeBY*W21,0)</f>
        <v>0</v>
      </c>
      <c r="BT21" s="462">
        <f>IF(AND(AT21&lt;&gt;0,AM21="Y"),UIBY*W21,0)</f>
        <v>0</v>
      </c>
      <c r="BU21" s="462">
        <f>IF(AND(AT21&lt;&gt;0,N21&lt;&gt;"NR"),DHRBY*W21,0)</f>
        <v>0</v>
      </c>
      <c r="BV21" s="462">
        <f>IF(AT21&lt;&gt;0,WCBY*W21,0)</f>
        <v>0</v>
      </c>
      <c r="BW21" s="462">
        <f>IF(OR(AND(AT21&lt;&gt;0,AJ21&lt;&gt;"PF",AN21&lt;&gt;"NE",AG21&lt;&gt;"A"),AND(AL21="E",OR(AT21=1,AT21=3))),SickBY*W21,0)</f>
        <v>0</v>
      </c>
      <c r="BX21" s="462">
        <f t="shared" si="7"/>
        <v>0</v>
      </c>
      <c r="BY21" s="462">
        <f t="shared" si="8"/>
        <v>0</v>
      </c>
      <c r="BZ21" s="462">
        <f t="shared" si="9"/>
        <v>0</v>
      </c>
      <c r="CA21" s="462">
        <f t="shared" si="10"/>
        <v>0</v>
      </c>
      <c r="CB21" s="462">
        <f t="shared" si="11"/>
        <v>0</v>
      </c>
      <c r="CC21" s="462">
        <f>IF(AT21&lt;&gt;0,SSHICHG*Y21,0)</f>
        <v>0</v>
      </c>
      <c r="CD21" s="462">
        <f>IF(AND(AT21&lt;&gt;0,AN21&lt;&gt;"NE"),VLOOKUP(AN21,Retirement_Rates,5,FALSE)*Y21,0)</f>
        <v>0</v>
      </c>
      <c r="CE21" s="462">
        <f>IF(AND(AT21&lt;&gt;0,AJ21&lt;&gt;"PF"),LifeCHG*Y21,0)</f>
        <v>0</v>
      </c>
      <c r="CF21" s="462">
        <f>IF(AND(AT21&lt;&gt;0,AM21="Y"),UICHG*Y21,0)</f>
        <v>0</v>
      </c>
      <c r="CG21" s="462">
        <f>IF(AND(AT21&lt;&gt;0,N21&lt;&gt;"NR"),DHRCHG*Y21,0)</f>
        <v>0</v>
      </c>
      <c r="CH21" s="462">
        <f>IF(AT21&lt;&gt;0,WCCHG*Y21,0)</f>
        <v>0</v>
      </c>
      <c r="CI21" s="462">
        <f>IF(OR(AND(AT21&lt;&gt;0,AJ21&lt;&gt;"PF",AN21&lt;&gt;"NE",AG21&lt;&gt;"A"),AND(AL21="E",OR(AT21=1,AT21=3))),SickCHG*Y21,0)</f>
        <v>0</v>
      </c>
      <c r="CJ21" s="462">
        <f t="shared" si="12"/>
        <v>0</v>
      </c>
      <c r="CK21" s="462" t="str">
        <f t="shared" si="13"/>
        <v/>
      </c>
      <c r="CL21" s="462" t="str">
        <f t="shared" si="14"/>
        <v/>
      </c>
      <c r="CM21" s="462" t="str">
        <f t="shared" si="15"/>
        <v/>
      </c>
      <c r="CN21" s="462" t="str">
        <f t="shared" si="16"/>
        <v>0199-00</v>
      </c>
    </row>
    <row r="22" spans="1:92" ht="15" thickBot="1" x14ac:dyDescent="0.35">
      <c r="A22" s="376" t="s">
        <v>161</v>
      </c>
      <c r="B22" s="376" t="s">
        <v>162</v>
      </c>
      <c r="C22" s="376" t="s">
        <v>217</v>
      </c>
      <c r="D22" s="376" t="s">
        <v>218</v>
      </c>
      <c r="E22" s="376" t="s">
        <v>231</v>
      </c>
      <c r="F22" s="377" t="s">
        <v>165</v>
      </c>
      <c r="G22" s="376" t="s">
        <v>232</v>
      </c>
      <c r="H22" s="378"/>
      <c r="I22" s="378"/>
      <c r="J22" s="376" t="s">
        <v>184</v>
      </c>
      <c r="K22" s="376" t="s">
        <v>219</v>
      </c>
      <c r="L22" s="376" t="s">
        <v>180</v>
      </c>
      <c r="M22" s="376" t="s">
        <v>170</v>
      </c>
      <c r="N22" s="376" t="s">
        <v>171</v>
      </c>
      <c r="O22" s="379">
        <v>1</v>
      </c>
      <c r="P22" s="460">
        <v>0.5</v>
      </c>
      <c r="Q22" s="460">
        <v>0.5</v>
      </c>
      <c r="R22" s="380">
        <v>80</v>
      </c>
      <c r="S22" s="460">
        <v>0.5</v>
      </c>
      <c r="T22" s="380">
        <v>18783.599999999999</v>
      </c>
      <c r="U22" s="380">
        <v>0</v>
      </c>
      <c r="V22" s="380">
        <v>6908.49</v>
      </c>
      <c r="W22" s="380">
        <v>36036</v>
      </c>
      <c r="X22" s="380">
        <v>13457.77</v>
      </c>
      <c r="Y22" s="380">
        <v>36036</v>
      </c>
      <c r="Z22" s="380">
        <v>13273.98</v>
      </c>
      <c r="AA22" s="376" t="s">
        <v>220</v>
      </c>
      <c r="AB22" s="376" t="s">
        <v>221</v>
      </c>
      <c r="AC22" s="376" t="s">
        <v>222</v>
      </c>
      <c r="AD22" s="376" t="s">
        <v>223</v>
      </c>
      <c r="AE22" s="376" t="s">
        <v>219</v>
      </c>
      <c r="AF22" s="376" t="s">
        <v>176</v>
      </c>
      <c r="AG22" s="376" t="s">
        <v>177</v>
      </c>
      <c r="AH22" s="381">
        <v>34.65</v>
      </c>
      <c r="AI22" s="381">
        <v>6646.7</v>
      </c>
      <c r="AJ22" s="376" t="s">
        <v>178</v>
      </c>
      <c r="AK22" s="376" t="s">
        <v>179</v>
      </c>
      <c r="AL22" s="376" t="s">
        <v>180</v>
      </c>
      <c r="AM22" s="376" t="s">
        <v>181</v>
      </c>
      <c r="AN22" s="376" t="s">
        <v>68</v>
      </c>
      <c r="AO22" s="379">
        <v>80</v>
      </c>
      <c r="AP22" s="460">
        <v>1</v>
      </c>
      <c r="AQ22" s="460">
        <v>0.5</v>
      </c>
      <c r="AR22" s="458" t="s">
        <v>182</v>
      </c>
      <c r="AS22" s="462">
        <f t="shared" si="0"/>
        <v>0.5</v>
      </c>
      <c r="AT22">
        <f t="shared" si="1"/>
        <v>1</v>
      </c>
      <c r="AU22" s="462">
        <f>IF(AT22=0,"",IF(AND(AT22=1,M22="F",SUMIF(C2:C25,C22,AS2:AS25)&lt;=1),SUMIF(C2:C25,C22,AS2:AS25),IF(AND(AT22=1,M22="F",SUMIF(C2:C25,C22,AS2:AS25)&gt;1),1,"")))</f>
        <v>1</v>
      </c>
      <c r="AV22" s="462" t="str">
        <f>IF(AT22=0,"",IF(AND(AT22=3,M22="F",SUMIF(C2:C25,C22,AS2:AS25)&lt;=1),SUMIF(C2:C25,C22,AS2:AS25),IF(AND(AT22=3,M22="F",SUMIF(C2:C25,C22,AS2:AS25)&gt;1),1,"")))</f>
        <v/>
      </c>
      <c r="AW22" s="462">
        <f>SUMIF(C2:C25,C22,O2:O25)</f>
        <v>3</v>
      </c>
      <c r="AX22" s="462">
        <f>IF(AND(M22="F",AS22&lt;&gt;0),SUMIF(C2:C25,C22,W2:W25),0)</f>
        <v>72072</v>
      </c>
      <c r="AY22" s="462">
        <f t="shared" si="2"/>
        <v>36036</v>
      </c>
      <c r="AZ22" s="462" t="str">
        <f t="shared" si="3"/>
        <v/>
      </c>
      <c r="BA22" s="462">
        <f t="shared" si="4"/>
        <v>0</v>
      </c>
      <c r="BB22" s="462">
        <f>IF(AND(AT22=1,AK22="E",AU22&gt;=0.75,AW22=1),Health,IF(AND(AT22=1,AK22="E",AU22&gt;=0.75),Health*P22,IF(AND(AT22=1,AK22="E",AU22&gt;=0.5,AW22=1),PTHealth,IF(AND(AT22=1,AK22="E",AU22&gt;=0.5),PTHealth*P22,0))))</f>
        <v>5825</v>
      </c>
      <c r="BC22" s="462">
        <f>IF(AND(AT22=3,AK22="E",AV22&gt;=0.75,AW22=1),Health,IF(AND(AT22=3,AK22="E",AV22&gt;=0.75),Health*P22,IF(AND(AT22=3,AK22="E",AV22&gt;=0.5,AW22=1),PTHealth,IF(AND(AT22=3,AK22="E",AV22&gt;=0.5),PTHealth*P22,0))))</f>
        <v>0</v>
      </c>
      <c r="BD22" s="462">
        <f>IF(AND(AT22&lt;&gt;0,AX22&gt;=MAXSSDI),SSDI*MAXSSDI*P22,IF(AT22&lt;&gt;0,SSDI*W22,0))</f>
        <v>2234.232</v>
      </c>
      <c r="BE22" s="462">
        <f>IF(AT22&lt;&gt;0,SSHI*W22,0)</f>
        <v>522.52200000000005</v>
      </c>
      <c r="BF22" s="462">
        <f>IF(AND(AT22&lt;&gt;0,AN22&lt;&gt;"NE"),VLOOKUP(AN22,Retirement_Rates,3,FALSE)*W22,0)</f>
        <v>4302.6984000000002</v>
      </c>
      <c r="BG22" s="462">
        <f>IF(AND(AT22&lt;&gt;0,AJ22&lt;&gt;"PF"),Life*W22,0)</f>
        <v>259.81956000000002</v>
      </c>
      <c r="BH22" s="462">
        <f>IF(AND(AT22&lt;&gt;0,AM22="Y"),UI*W22,0)</f>
        <v>176.57640000000001</v>
      </c>
      <c r="BI22" s="462">
        <f>IF(AND(AT22&lt;&gt;0,N22&lt;&gt;"NR"),DHR*W22,0)</f>
        <v>0</v>
      </c>
      <c r="BJ22" s="462">
        <f>IF(AT22&lt;&gt;0,WC*W22,0)</f>
        <v>136.93680000000001</v>
      </c>
      <c r="BK22" s="462">
        <f>IF(OR(AND(AT22&lt;&gt;0,AJ22&lt;&gt;"PF",AN22&lt;&gt;"NE",AG22&lt;&gt;"A"),AND(AL22="E",OR(AT22=1,AT22=3))),Sick*W22,0)</f>
        <v>0</v>
      </c>
      <c r="BL22" s="462">
        <f t="shared" si="5"/>
        <v>7632.7851600000004</v>
      </c>
      <c r="BM22" s="462">
        <f t="shared" si="6"/>
        <v>0</v>
      </c>
      <c r="BN22" s="462">
        <f>IF(AND(AT22=1,AK22="E",AU22&gt;=0.75,AW22=1),HealthBY,IF(AND(AT22=1,AK22="E",AU22&gt;=0.75),HealthBY*P22,IF(AND(AT22=1,AK22="E",AU22&gt;=0.5,AW22=1),PTHealthBY,IF(AND(AT22=1,AK22="E",AU22&gt;=0.5),PTHealthBY*P22,0))))</f>
        <v>5825</v>
      </c>
      <c r="BO22" s="462">
        <f>IF(AND(AT22=3,AK22="E",AV22&gt;=0.75,AW22=1),HealthBY,IF(AND(AT22=3,AK22="E",AV22&gt;=0.75),HealthBY*P22,IF(AND(AT22=3,AK22="E",AV22&gt;=0.5,AW22=1),PTHealthBY,IF(AND(AT22=3,AK22="E",AV22&gt;=0.5),PTHealthBY*P22,0))))</f>
        <v>0</v>
      </c>
      <c r="BP22" s="462">
        <f>IF(AND(AT22&lt;&gt;0,(AX22+BA22)&gt;=MAXSSDIBY),SSDIBY*MAXSSDIBY*P22,IF(AT22&lt;&gt;0,SSDIBY*W22,0))</f>
        <v>2234.232</v>
      </c>
      <c r="BQ22" s="462">
        <f>IF(AT22&lt;&gt;0,SSHIBY*W22,0)</f>
        <v>522.52200000000005</v>
      </c>
      <c r="BR22" s="462">
        <f>IF(AND(AT22&lt;&gt;0,AN22&lt;&gt;"NE"),VLOOKUP(AN22,Retirement_Rates,4,FALSE)*W22,0)</f>
        <v>4302.6984000000002</v>
      </c>
      <c r="BS22" s="462">
        <f>IF(AND(AT22&lt;&gt;0,AJ22&lt;&gt;"PF"),LifeBY*W22,0)</f>
        <v>259.81956000000002</v>
      </c>
      <c r="BT22" s="462">
        <f>IF(AND(AT22&lt;&gt;0,AM22="Y"),UIBY*W22,0)</f>
        <v>0</v>
      </c>
      <c r="BU22" s="462">
        <f>IF(AND(AT22&lt;&gt;0,N22&lt;&gt;"NR"),DHRBY*W22,0)</f>
        <v>0</v>
      </c>
      <c r="BV22" s="462">
        <f>IF(AT22&lt;&gt;0,WCBY*W22,0)</f>
        <v>129.7296</v>
      </c>
      <c r="BW22" s="462">
        <f>IF(OR(AND(AT22&lt;&gt;0,AJ22&lt;&gt;"PF",AN22&lt;&gt;"NE",AG22&lt;&gt;"A"),AND(AL22="E",OR(AT22=1,AT22=3))),SickBY*W22,0)</f>
        <v>0</v>
      </c>
      <c r="BX22" s="462">
        <f t="shared" si="7"/>
        <v>7449.0015599999997</v>
      </c>
      <c r="BY22" s="462">
        <f t="shared" si="8"/>
        <v>0</v>
      </c>
      <c r="BZ22" s="462">
        <f t="shared" si="9"/>
        <v>0</v>
      </c>
      <c r="CA22" s="462">
        <f t="shared" si="10"/>
        <v>0</v>
      </c>
      <c r="CB22" s="462">
        <f t="shared" si="11"/>
        <v>0</v>
      </c>
      <c r="CC22" s="462">
        <f>IF(AT22&lt;&gt;0,SSHICHG*Y22,0)</f>
        <v>0</v>
      </c>
      <c r="CD22" s="462">
        <f>IF(AND(AT22&lt;&gt;0,AN22&lt;&gt;"NE"),VLOOKUP(AN22,Retirement_Rates,5,FALSE)*Y22,0)</f>
        <v>0</v>
      </c>
      <c r="CE22" s="462">
        <f>IF(AND(AT22&lt;&gt;0,AJ22&lt;&gt;"PF"),LifeCHG*Y22,0)</f>
        <v>0</v>
      </c>
      <c r="CF22" s="462">
        <f>IF(AND(AT22&lt;&gt;0,AM22="Y"),UICHG*Y22,0)</f>
        <v>-176.57640000000001</v>
      </c>
      <c r="CG22" s="462">
        <f>IF(AND(AT22&lt;&gt;0,N22&lt;&gt;"NR"),DHRCHG*Y22,0)</f>
        <v>0</v>
      </c>
      <c r="CH22" s="462">
        <f>IF(AT22&lt;&gt;0,WCCHG*Y22,0)</f>
        <v>-7.2072000000000029</v>
      </c>
      <c r="CI22" s="462">
        <f>IF(OR(AND(AT22&lt;&gt;0,AJ22&lt;&gt;"PF",AN22&lt;&gt;"NE",AG22&lt;&gt;"A"),AND(AL22="E",OR(AT22=1,AT22=3))),SickCHG*Y22,0)</f>
        <v>0</v>
      </c>
      <c r="CJ22" s="462">
        <f t="shared" si="12"/>
        <v>-183.78360000000001</v>
      </c>
      <c r="CK22" s="462" t="str">
        <f t="shared" si="13"/>
        <v/>
      </c>
      <c r="CL22" s="462" t="str">
        <f t="shared" si="14"/>
        <v/>
      </c>
      <c r="CM22" s="462" t="str">
        <f t="shared" si="15"/>
        <v/>
      </c>
      <c r="CN22" s="462" t="str">
        <f t="shared" si="16"/>
        <v>0199-00</v>
      </c>
    </row>
    <row r="23" spans="1:92" ht="15" thickBot="1" x14ac:dyDescent="0.35">
      <c r="A23" s="376" t="s">
        <v>161</v>
      </c>
      <c r="B23" s="376" t="s">
        <v>162</v>
      </c>
      <c r="C23" s="376" t="s">
        <v>189</v>
      </c>
      <c r="D23" s="376" t="s">
        <v>164</v>
      </c>
      <c r="E23" s="376" t="s">
        <v>231</v>
      </c>
      <c r="F23" s="377" t="s">
        <v>165</v>
      </c>
      <c r="G23" s="376" t="s">
        <v>232</v>
      </c>
      <c r="H23" s="378"/>
      <c r="I23" s="378"/>
      <c r="J23" s="376" t="s">
        <v>184</v>
      </c>
      <c r="K23" s="376" t="s">
        <v>168</v>
      </c>
      <c r="L23" s="376" t="s">
        <v>169</v>
      </c>
      <c r="M23" s="376" t="s">
        <v>170</v>
      </c>
      <c r="N23" s="376" t="s">
        <v>171</v>
      </c>
      <c r="O23" s="379">
        <v>1</v>
      </c>
      <c r="P23" s="460">
        <v>0.9</v>
      </c>
      <c r="Q23" s="460">
        <v>0.9</v>
      </c>
      <c r="R23" s="380">
        <v>80</v>
      </c>
      <c r="S23" s="460">
        <v>0.9</v>
      </c>
      <c r="T23" s="380">
        <v>39117.39</v>
      </c>
      <c r="U23" s="380">
        <v>0</v>
      </c>
      <c r="V23" s="380">
        <v>17778.5</v>
      </c>
      <c r="W23" s="380">
        <v>46800</v>
      </c>
      <c r="X23" s="380">
        <v>20397.7</v>
      </c>
      <c r="Y23" s="380">
        <v>46800</v>
      </c>
      <c r="Z23" s="380">
        <v>20159.02</v>
      </c>
      <c r="AA23" s="376" t="s">
        <v>190</v>
      </c>
      <c r="AB23" s="376" t="s">
        <v>191</v>
      </c>
      <c r="AC23" s="376" t="s">
        <v>192</v>
      </c>
      <c r="AD23" s="376" t="s">
        <v>193</v>
      </c>
      <c r="AE23" s="376" t="s">
        <v>168</v>
      </c>
      <c r="AF23" s="376" t="s">
        <v>176</v>
      </c>
      <c r="AG23" s="376" t="s">
        <v>177</v>
      </c>
      <c r="AH23" s="379">
        <v>25</v>
      </c>
      <c r="AI23" s="381">
        <v>6486.5</v>
      </c>
      <c r="AJ23" s="376" t="s">
        <v>178</v>
      </c>
      <c r="AK23" s="376" t="s">
        <v>179</v>
      </c>
      <c r="AL23" s="376" t="s">
        <v>180</v>
      </c>
      <c r="AM23" s="376" t="s">
        <v>181</v>
      </c>
      <c r="AN23" s="376" t="s">
        <v>68</v>
      </c>
      <c r="AO23" s="379">
        <v>80</v>
      </c>
      <c r="AP23" s="460">
        <v>1</v>
      </c>
      <c r="AQ23" s="460">
        <v>0.9</v>
      </c>
      <c r="AR23" s="458" t="s">
        <v>182</v>
      </c>
      <c r="AS23" s="462">
        <f t="shared" si="0"/>
        <v>0.9</v>
      </c>
      <c r="AT23">
        <f t="shared" si="1"/>
        <v>1</v>
      </c>
      <c r="AU23" s="462">
        <f>IF(AT23=0,"",IF(AND(AT23=1,M23="F",SUMIF(C2:C25,C23,AS2:AS25)&lt;=1),SUMIF(C2:C25,C23,AS2:AS25),IF(AND(AT23=1,M23="F",SUMIF(C2:C25,C23,AS2:AS25)&gt;1),1,"")))</f>
        <v>1</v>
      </c>
      <c r="AV23" s="462" t="str">
        <f>IF(AT23=0,"",IF(AND(AT23=3,M23="F",SUMIF(C2:C25,C23,AS2:AS25)&lt;=1),SUMIF(C2:C25,C23,AS2:AS25),IF(AND(AT23=3,M23="F",SUMIF(C2:C25,C23,AS2:AS25)&gt;1),1,"")))</f>
        <v/>
      </c>
      <c r="AW23" s="462">
        <f>SUMIF(C2:C25,C23,O2:O25)</f>
        <v>3</v>
      </c>
      <c r="AX23" s="462">
        <f>IF(AND(M23="F",AS23&lt;&gt;0),SUMIF(C2:C25,C23,W2:W25),0)</f>
        <v>52000</v>
      </c>
      <c r="AY23" s="462">
        <f t="shared" si="2"/>
        <v>46800</v>
      </c>
      <c r="AZ23" s="462" t="str">
        <f t="shared" si="3"/>
        <v/>
      </c>
      <c r="BA23" s="462">
        <f t="shared" si="4"/>
        <v>0</v>
      </c>
      <c r="BB23" s="462">
        <f>IF(AND(AT23=1,AK23="E",AU23&gt;=0.75,AW23=1),Health,IF(AND(AT23=1,AK23="E",AU23&gt;=0.75),Health*P23,IF(AND(AT23=1,AK23="E",AU23&gt;=0.5,AW23=1),PTHealth,IF(AND(AT23=1,AK23="E",AU23&gt;=0.5),PTHealth*P23,0))))</f>
        <v>10485</v>
      </c>
      <c r="BC23" s="462">
        <f>IF(AND(AT23=3,AK23="E",AV23&gt;=0.75,AW23=1),Health,IF(AND(AT23=3,AK23="E",AV23&gt;=0.75),Health*P23,IF(AND(AT23=3,AK23="E",AV23&gt;=0.5,AW23=1),PTHealth,IF(AND(AT23=3,AK23="E",AV23&gt;=0.5),PTHealth*P23,0))))</f>
        <v>0</v>
      </c>
      <c r="BD23" s="462">
        <f>IF(AND(AT23&lt;&gt;0,AX23&gt;=MAXSSDI),SSDI*MAXSSDI*P23,IF(AT23&lt;&gt;0,SSDI*W23,0))</f>
        <v>2901.6</v>
      </c>
      <c r="BE23" s="462">
        <f>IF(AT23&lt;&gt;0,SSHI*W23,0)</f>
        <v>678.6</v>
      </c>
      <c r="BF23" s="462">
        <f>IF(AND(AT23&lt;&gt;0,AN23&lt;&gt;"NE"),VLOOKUP(AN23,Retirement_Rates,3,FALSE)*W23,0)</f>
        <v>5587.92</v>
      </c>
      <c r="BG23" s="462">
        <f>IF(AND(AT23&lt;&gt;0,AJ23&lt;&gt;"PF"),Life*W23,0)</f>
        <v>337.428</v>
      </c>
      <c r="BH23" s="462">
        <f>IF(AND(AT23&lt;&gt;0,AM23="Y"),UI*W23,0)</f>
        <v>229.32</v>
      </c>
      <c r="BI23" s="462">
        <f>IF(AND(AT23&lt;&gt;0,N23&lt;&gt;"NR"),DHR*W23,0)</f>
        <v>0</v>
      </c>
      <c r="BJ23" s="462">
        <f>IF(AT23&lt;&gt;0,WC*W23,0)</f>
        <v>177.84</v>
      </c>
      <c r="BK23" s="462">
        <f>IF(OR(AND(AT23&lt;&gt;0,AJ23&lt;&gt;"PF",AN23&lt;&gt;"NE",AG23&lt;&gt;"A"),AND(AL23="E",OR(AT23=1,AT23=3))),Sick*W23,0)</f>
        <v>0</v>
      </c>
      <c r="BL23" s="462">
        <f t="shared" si="5"/>
        <v>9912.7079999999987</v>
      </c>
      <c r="BM23" s="462">
        <f t="shared" si="6"/>
        <v>0</v>
      </c>
      <c r="BN23" s="462">
        <f>IF(AND(AT23=1,AK23="E",AU23&gt;=0.75,AW23=1),HealthBY,IF(AND(AT23=1,AK23="E",AU23&gt;=0.75),HealthBY*P23,IF(AND(AT23=1,AK23="E",AU23&gt;=0.5,AW23=1),PTHealthBY,IF(AND(AT23=1,AK23="E",AU23&gt;=0.5),PTHealthBY*P23,0))))</f>
        <v>10485</v>
      </c>
      <c r="BO23" s="462">
        <f>IF(AND(AT23=3,AK23="E",AV23&gt;=0.75,AW23=1),HealthBY,IF(AND(AT23=3,AK23="E",AV23&gt;=0.75),HealthBY*P23,IF(AND(AT23=3,AK23="E",AV23&gt;=0.5,AW23=1),PTHealthBY,IF(AND(AT23=3,AK23="E",AV23&gt;=0.5),PTHealthBY*P23,0))))</f>
        <v>0</v>
      </c>
      <c r="BP23" s="462">
        <f>IF(AND(AT23&lt;&gt;0,(AX23+BA23)&gt;=MAXSSDIBY),SSDIBY*MAXSSDIBY*P23,IF(AT23&lt;&gt;0,SSDIBY*W23,0))</f>
        <v>2901.6</v>
      </c>
      <c r="BQ23" s="462">
        <f>IF(AT23&lt;&gt;0,SSHIBY*W23,0)</f>
        <v>678.6</v>
      </c>
      <c r="BR23" s="462">
        <f>IF(AND(AT23&lt;&gt;0,AN23&lt;&gt;"NE"),VLOOKUP(AN23,Retirement_Rates,4,FALSE)*W23,0)</f>
        <v>5587.92</v>
      </c>
      <c r="BS23" s="462">
        <f>IF(AND(AT23&lt;&gt;0,AJ23&lt;&gt;"PF"),LifeBY*W23,0)</f>
        <v>337.428</v>
      </c>
      <c r="BT23" s="462">
        <f>IF(AND(AT23&lt;&gt;0,AM23="Y"),UIBY*W23,0)</f>
        <v>0</v>
      </c>
      <c r="BU23" s="462">
        <f>IF(AND(AT23&lt;&gt;0,N23&lt;&gt;"NR"),DHRBY*W23,0)</f>
        <v>0</v>
      </c>
      <c r="BV23" s="462">
        <f>IF(AT23&lt;&gt;0,WCBY*W23,0)</f>
        <v>168.48</v>
      </c>
      <c r="BW23" s="462">
        <f>IF(OR(AND(AT23&lt;&gt;0,AJ23&lt;&gt;"PF",AN23&lt;&gt;"NE",AG23&lt;&gt;"A"),AND(AL23="E",OR(AT23=1,AT23=3))),SickBY*W23,0)</f>
        <v>0</v>
      </c>
      <c r="BX23" s="462">
        <f t="shared" si="7"/>
        <v>9674.0279999999984</v>
      </c>
      <c r="BY23" s="462">
        <f t="shared" si="8"/>
        <v>0</v>
      </c>
      <c r="BZ23" s="462">
        <f t="shared" si="9"/>
        <v>0</v>
      </c>
      <c r="CA23" s="462">
        <f t="shared" si="10"/>
        <v>0</v>
      </c>
      <c r="CB23" s="462">
        <f t="shared" si="11"/>
        <v>0</v>
      </c>
      <c r="CC23" s="462">
        <f>IF(AT23&lt;&gt;0,SSHICHG*Y23,0)</f>
        <v>0</v>
      </c>
      <c r="CD23" s="462">
        <f>IF(AND(AT23&lt;&gt;0,AN23&lt;&gt;"NE"),VLOOKUP(AN23,Retirement_Rates,5,FALSE)*Y23,0)</f>
        <v>0</v>
      </c>
      <c r="CE23" s="462">
        <f>IF(AND(AT23&lt;&gt;0,AJ23&lt;&gt;"PF"),LifeCHG*Y23,0)</f>
        <v>0</v>
      </c>
      <c r="CF23" s="462">
        <f>IF(AND(AT23&lt;&gt;0,AM23="Y"),UICHG*Y23,0)</f>
        <v>-229.32</v>
      </c>
      <c r="CG23" s="462">
        <f>IF(AND(AT23&lt;&gt;0,N23&lt;&gt;"NR"),DHRCHG*Y23,0)</f>
        <v>0</v>
      </c>
      <c r="CH23" s="462">
        <f>IF(AT23&lt;&gt;0,WCCHG*Y23,0)</f>
        <v>-9.3600000000000048</v>
      </c>
      <c r="CI23" s="462">
        <f>IF(OR(AND(AT23&lt;&gt;0,AJ23&lt;&gt;"PF",AN23&lt;&gt;"NE",AG23&lt;&gt;"A"),AND(AL23="E",OR(AT23=1,AT23=3))),SickCHG*Y23,0)</f>
        <v>0</v>
      </c>
      <c r="CJ23" s="462">
        <f t="shared" si="12"/>
        <v>-238.68</v>
      </c>
      <c r="CK23" s="462" t="str">
        <f t="shared" si="13"/>
        <v/>
      </c>
      <c r="CL23" s="462" t="str">
        <f t="shared" si="14"/>
        <v/>
      </c>
      <c r="CM23" s="462" t="str">
        <f t="shared" si="15"/>
        <v/>
      </c>
      <c r="CN23" s="462" t="str">
        <f t="shared" si="16"/>
        <v>0199-00</v>
      </c>
    </row>
    <row r="24" spans="1:92" ht="15" thickBot="1" x14ac:dyDescent="0.35">
      <c r="A24" s="376" t="s">
        <v>161</v>
      </c>
      <c r="B24" s="376" t="s">
        <v>162</v>
      </c>
      <c r="C24" s="376" t="s">
        <v>194</v>
      </c>
      <c r="D24" s="376" t="s">
        <v>195</v>
      </c>
      <c r="E24" s="376" t="s">
        <v>231</v>
      </c>
      <c r="F24" s="377" t="s">
        <v>165</v>
      </c>
      <c r="G24" s="376" t="s">
        <v>232</v>
      </c>
      <c r="H24" s="378"/>
      <c r="I24" s="378"/>
      <c r="J24" s="376" t="s">
        <v>167</v>
      </c>
      <c r="K24" s="376" t="s">
        <v>196</v>
      </c>
      <c r="L24" s="376" t="s">
        <v>165</v>
      </c>
      <c r="M24" s="376" t="s">
        <v>170</v>
      </c>
      <c r="N24" s="376" t="s">
        <v>171</v>
      </c>
      <c r="O24" s="379">
        <v>1</v>
      </c>
      <c r="P24" s="460">
        <v>0.7</v>
      </c>
      <c r="Q24" s="460">
        <v>0.7</v>
      </c>
      <c r="R24" s="380">
        <v>80</v>
      </c>
      <c r="S24" s="460">
        <v>0.7</v>
      </c>
      <c r="T24" s="380">
        <v>64944</v>
      </c>
      <c r="U24" s="380">
        <v>0</v>
      </c>
      <c r="V24" s="380">
        <v>20876.72</v>
      </c>
      <c r="W24" s="380">
        <v>75216.960000000006</v>
      </c>
      <c r="X24" s="380">
        <v>23718.12</v>
      </c>
      <c r="Y24" s="380">
        <v>75216.960000000006</v>
      </c>
      <c r="Z24" s="380">
        <v>23703.08</v>
      </c>
      <c r="AA24" s="376" t="s">
        <v>197</v>
      </c>
      <c r="AB24" s="376" t="s">
        <v>198</v>
      </c>
      <c r="AC24" s="376" t="s">
        <v>199</v>
      </c>
      <c r="AD24" s="376" t="s">
        <v>200</v>
      </c>
      <c r="AE24" s="376" t="s">
        <v>196</v>
      </c>
      <c r="AF24" s="376" t="s">
        <v>176</v>
      </c>
      <c r="AG24" s="376" t="s">
        <v>177</v>
      </c>
      <c r="AH24" s="381">
        <v>51.66</v>
      </c>
      <c r="AI24" s="381">
        <v>54579.5</v>
      </c>
      <c r="AJ24" s="376" t="s">
        <v>178</v>
      </c>
      <c r="AK24" s="376" t="s">
        <v>179</v>
      </c>
      <c r="AL24" s="376" t="s">
        <v>180</v>
      </c>
      <c r="AM24" s="376" t="s">
        <v>180</v>
      </c>
      <c r="AN24" s="376" t="s">
        <v>68</v>
      </c>
      <c r="AO24" s="379">
        <v>80</v>
      </c>
      <c r="AP24" s="460">
        <v>1</v>
      </c>
      <c r="AQ24" s="460">
        <v>0.7</v>
      </c>
      <c r="AR24" s="458" t="s">
        <v>182</v>
      </c>
      <c r="AS24" s="462">
        <f t="shared" si="0"/>
        <v>0.7</v>
      </c>
      <c r="AT24">
        <f t="shared" si="1"/>
        <v>1</v>
      </c>
      <c r="AU24" s="462">
        <f>IF(AT24=0,"",IF(AND(AT24=1,M24="F",SUMIF(C2:C25,C24,AS2:AS25)&lt;=1),SUMIF(C2:C25,C24,AS2:AS25),IF(AND(AT24=1,M24="F",SUMIF(C2:C25,C24,AS2:AS25)&gt;1),1,"")))</f>
        <v>1</v>
      </c>
      <c r="AV24" s="462" t="str">
        <f>IF(AT24=0,"",IF(AND(AT24=3,M24="F",SUMIF(C2:C25,C24,AS2:AS25)&lt;=1),SUMIF(C2:C25,C24,AS2:AS25),IF(AND(AT24=3,M24="F",SUMIF(C2:C25,C24,AS2:AS25)&gt;1),1,"")))</f>
        <v/>
      </c>
      <c r="AW24" s="462">
        <f>SUMIF(C2:C25,C24,O2:O25)</f>
        <v>4</v>
      </c>
      <c r="AX24" s="462">
        <f>IF(AND(M24="F",AS24&lt;&gt;0),SUMIF(C2:C25,C24,W2:W25),0)</f>
        <v>107452.8</v>
      </c>
      <c r="AY24" s="462">
        <f t="shared" si="2"/>
        <v>75216.960000000006</v>
      </c>
      <c r="AZ24" s="462" t="str">
        <f t="shared" si="3"/>
        <v/>
      </c>
      <c r="BA24" s="462">
        <f t="shared" si="4"/>
        <v>0</v>
      </c>
      <c r="BB24" s="462">
        <f>IF(AND(AT24=1,AK24="E",AU24&gt;=0.75,AW24=1),Health,IF(AND(AT24=1,AK24="E",AU24&gt;=0.75),Health*P24,IF(AND(AT24=1,AK24="E",AU24&gt;=0.5,AW24=1),PTHealth,IF(AND(AT24=1,AK24="E",AU24&gt;=0.5),PTHealth*P24,0))))</f>
        <v>8154.9999999999991</v>
      </c>
      <c r="BC24" s="462">
        <f>IF(AND(AT24=3,AK24="E",AV24&gt;=0.75,AW24=1),Health,IF(AND(AT24=3,AK24="E",AV24&gt;=0.75),Health*P24,IF(AND(AT24=3,AK24="E",AV24&gt;=0.5,AW24=1),PTHealth,IF(AND(AT24=3,AK24="E",AV24&gt;=0.5),PTHealth*P24,0))))</f>
        <v>0</v>
      </c>
      <c r="BD24" s="462">
        <f>IF(AND(AT24&lt;&gt;0,AX24&gt;=MAXSSDI),SSDI*MAXSSDI*P24,IF(AT24&lt;&gt;0,SSDI*W24,0))</f>
        <v>4663.4515200000005</v>
      </c>
      <c r="BE24" s="462">
        <f>IF(AT24&lt;&gt;0,SSHI*W24,0)</f>
        <v>1090.6459200000002</v>
      </c>
      <c r="BF24" s="462">
        <f>IF(AND(AT24&lt;&gt;0,AN24&lt;&gt;"NE"),VLOOKUP(AN24,Retirement_Rates,3,FALSE)*W24,0)</f>
        <v>8980.9050240000015</v>
      </c>
      <c r="BG24" s="462">
        <f>IF(AND(AT24&lt;&gt;0,AJ24&lt;&gt;"PF"),Life*W24,0)</f>
        <v>542.31428160000007</v>
      </c>
      <c r="BH24" s="462">
        <f>IF(AND(AT24&lt;&gt;0,AM24="Y"),UI*W24,0)</f>
        <v>0</v>
      </c>
      <c r="BI24" s="462">
        <f>IF(AND(AT24&lt;&gt;0,N24&lt;&gt;"NR"),DHR*W24,0)</f>
        <v>0</v>
      </c>
      <c r="BJ24" s="462">
        <f>IF(AT24&lt;&gt;0,WC*W24,0)</f>
        <v>285.82444800000002</v>
      </c>
      <c r="BK24" s="462">
        <f>IF(OR(AND(AT24&lt;&gt;0,AJ24&lt;&gt;"PF",AN24&lt;&gt;"NE",AG24&lt;&gt;"A"),AND(AL24="E",OR(AT24=1,AT24=3))),Sick*W24,0)</f>
        <v>0</v>
      </c>
      <c r="BL24" s="462">
        <f t="shared" si="5"/>
        <v>15563.1411936</v>
      </c>
      <c r="BM24" s="462">
        <f t="shared" si="6"/>
        <v>0</v>
      </c>
      <c r="BN24" s="462">
        <f>IF(AND(AT24=1,AK24="E",AU24&gt;=0.75,AW24=1),HealthBY,IF(AND(AT24=1,AK24="E",AU24&gt;=0.75),HealthBY*P24,IF(AND(AT24=1,AK24="E",AU24&gt;=0.5,AW24=1),PTHealthBY,IF(AND(AT24=1,AK24="E",AU24&gt;=0.5),PTHealthBY*P24,0))))</f>
        <v>8154.9999999999991</v>
      </c>
      <c r="BO24" s="462">
        <f>IF(AND(AT24=3,AK24="E",AV24&gt;=0.75,AW24=1),HealthBY,IF(AND(AT24=3,AK24="E",AV24&gt;=0.75),HealthBY*P24,IF(AND(AT24=3,AK24="E",AV24&gt;=0.5,AW24=1),PTHealthBY,IF(AND(AT24=3,AK24="E",AV24&gt;=0.5),PTHealthBY*P24,0))))</f>
        <v>0</v>
      </c>
      <c r="BP24" s="462">
        <f>IF(AND(AT24&lt;&gt;0,(AX24+BA24)&gt;=MAXSSDIBY),SSDIBY*MAXSSDIBY*P24,IF(AT24&lt;&gt;0,SSDIBY*W24,0))</f>
        <v>4663.4515200000005</v>
      </c>
      <c r="BQ24" s="462">
        <f>IF(AT24&lt;&gt;0,SSHIBY*W24,0)</f>
        <v>1090.6459200000002</v>
      </c>
      <c r="BR24" s="462">
        <f>IF(AND(AT24&lt;&gt;0,AN24&lt;&gt;"NE"),VLOOKUP(AN24,Retirement_Rates,4,FALSE)*W24,0)</f>
        <v>8980.9050240000015</v>
      </c>
      <c r="BS24" s="462">
        <f>IF(AND(AT24&lt;&gt;0,AJ24&lt;&gt;"PF"),LifeBY*W24,0)</f>
        <v>542.31428160000007</v>
      </c>
      <c r="BT24" s="462">
        <f>IF(AND(AT24&lt;&gt;0,AM24="Y"),UIBY*W24,0)</f>
        <v>0</v>
      </c>
      <c r="BU24" s="462">
        <f>IF(AND(AT24&lt;&gt;0,N24&lt;&gt;"NR"),DHRBY*W24,0)</f>
        <v>0</v>
      </c>
      <c r="BV24" s="462">
        <f>IF(AT24&lt;&gt;0,WCBY*W24,0)</f>
        <v>270.78105600000004</v>
      </c>
      <c r="BW24" s="462">
        <f>IF(OR(AND(AT24&lt;&gt;0,AJ24&lt;&gt;"PF",AN24&lt;&gt;"NE",AG24&lt;&gt;"A"),AND(AL24="E",OR(AT24=1,AT24=3))),SickBY*W24,0)</f>
        <v>0</v>
      </c>
      <c r="BX24" s="462">
        <f t="shared" si="7"/>
        <v>15548.097801600001</v>
      </c>
      <c r="BY24" s="462">
        <f t="shared" si="8"/>
        <v>0</v>
      </c>
      <c r="BZ24" s="462">
        <f t="shared" si="9"/>
        <v>0</v>
      </c>
      <c r="CA24" s="462">
        <f t="shared" si="10"/>
        <v>0</v>
      </c>
      <c r="CB24" s="462">
        <f t="shared" si="11"/>
        <v>0</v>
      </c>
      <c r="CC24" s="462">
        <f>IF(AT24&lt;&gt;0,SSHICHG*Y24,0)</f>
        <v>0</v>
      </c>
      <c r="CD24" s="462">
        <f>IF(AND(AT24&lt;&gt;0,AN24&lt;&gt;"NE"),VLOOKUP(AN24,Retirement_Rates,5,FALSE)*Y24,0)</f>
        <v>0</v>
      </c>
      <c r="CE24" s="462">
        <f>IF(AND(AT24&lt;&gt;0,AJ24&lt;&gt;"PF"),LifeCHG*Y24,0)</f>
        <v>0</v>
      </c>
      <c r="CF24" s="462">
        <f>IF(AND(AT24&lt;&gt;0,AM24="Y"),UICHG*Y24,0)</f>
        <v>0</v>
      </c>
      <c r="CG24" s="462">
        <f>IF(AND(AT24&lt;&gt;0,N24&lt;&gt;"NR"),DHRCHG*Y24,0)</f>
        <v>0</v>
      </c>
      <c r="CH24" s="462">
        <f>IF(AT24&lt;&gt;0,WCCHG*Y24,0)</f>
        <v>-15.043392000000008</v>
      </c>
      <c r="CI24" s="462">
        <f>IF(OR(AND(AT24&lt;&gt;0,AJ24&lt;&gt;"PF",AN24&lt;&gt;"NE",AG24&lt;&gt;"A"),AND(AL24="E",OR(AT24=1,AT24=3))),SickCHG*Y24,0)</f>
        <v>0</v>
      </c>
      <c r="CJ24" s="462">
        <f t="shared" si="12"/>
        <v>-15.043392000000008</v>
      </c>
      <c r="CK24" s="462" t="str">
        <f t="shared" si="13"/>
        <v/>
      </c>
      <c r="CL24" s="462" t="str">
        <f t="shared" si="14"/>
        <v/>
      </c>
      <c r="CM24" s="462" t="str">
        <f t="shared" si="15"/>
        <v/>
      </c>
      <c r="CN24" s="462" t="str">
        <f t="shared" si="16"/>
        <v>0199-00</v>
      </c>
    </row>
    <row r="25" spans="1:92" ht="15" thickBot="1" x14ac:dyDescent="0.35">
      <c r="A25" s="376" t="s">
        <v>161</v>
      </c>
      <c r="B25" s="376" t="s">
        <v>162</v>
      </c>
      <c r="C25" s="376" t="s">
        <v>233</v>
      </c>
      <c r="D25" s="376" t="s">
        <v>234</v>
      </c>
      <c r="E25" s="376" t="s">
        <v>231</v>
      </c>
      <c r="F25" s="377" t="s">
        <v>165</v>
      </c>
      <c r="G25" s="376" t="s">
        <v>232</v>
      </c>
      <c r="H25" s="378"/>
      <c r="I25" s="378"/>
      <c r="J25" s="376" t="s">
        <v>235</v>
      </c>
      <c r="K25" s="376" t="s">
        <v>236</v>
      </c>
      <c r="L25" s="376" t="s">
        <v>169</v>
      </c>
      <c r="M25" s="376" t="s">
        <v>237</v>
      </c>
      <c r="N25" s="376" t="s">
        <v>238</v>
      </c>
      <c r="O25" s="379">
        <v>0</v>
      </c>
      <c r="P25" s="460">
        <v>1</v>
      </c>
      <c r="Q25" s="460">
        <v>0</v>
      </c>
      <c r="R25" s="380">
        <v>0</v>
      </c>
      <c r="S25" s="460">
        <v>0</v>
      </c>
      <c r="T25" s="380">
        <v>0</v>
      </c>
      <c r="U25" s="380">
        <v>0</v>
      </c>
      <c r="V25" s="380">
        <v>0</v>
      </c>
      <c r="W25" s="380">
        <v>0</v>
      </c>
      <c r="X25" s="380">
        <v>0</v>
      </c>
      <c r="Y25" s="380">
        <v>0</v>
      </c>
      <c r="Z25" s="380">
        <v>0</v>
      </c>
      <c r="AA25" s="378"/>
      <c r="AB25" s="376" t="s">
        <v>45</v>
      </c>
      <c r="AC25" s="376" t="s">
        <v>45</v>
      </c>
      <c r="AD25" s="378"/>
      <c r="AE25" s="378"/>
      <c r="AF25" s="378"/>
      <c r="AG25" s="378"/>
      <c r="AH25" s="379">
        <v>0</v>
      </c>
      <c r="AI25" s="379">
        <v>0</v>
      </c>
      <c r="AJ25" s="378"/>
      <c r="AK25" s="378"/>
      <c r="AL25" s="376" t="s">
        <v>180</v>
      </c>
      <c r="AM25" s="378"/>
      <c r="AN25" s="378"/>
      <c r="AO25" s="379">
        <v>0</v>
      </c>
      <c r="AP25" s="460">
        <v>0</v>
      </c>
      <c r="AQ25" s="460">
        <v>0</v>
      </c>
      <c r="AR25" s="459"/>
      <c r="AS25" s="462">
        <f t="shared" si="0"/>
        <v>0</v>
      </c>
      <c r="AT25">
        <f t="shared" si="1"/>
        <v>0</v>
      </c>
      <c r="AU25" s="462" t="str">
        <f>IF(AT25=0,"",IF(AND(AT25=1,M25="F",SUMIF(C2:C25,C25,AS2:AS25)&lt;=1),SUMIF(C2:C25,C25,AS2:AS25),IF(AND(AT25=1,M25="F",SUMIF(C2:C25,C25,AS2:AS25)&gt;1),1,"")))</f>
        <v/>
      </c>
      <c r="AV25" s="462" t="str">
        <f>IF(AT25=0,"",IF(AND(AT25=3,M25="F",SUMIF(C2:C25,C25,AS2:AS25)&lt;=1),SUMIF(C2:C25,C25,AS2:AS25),IF(AND(AT25=3,M25="F",SUMIF(C2:C25,C25,AS2:AS25)&gt;1),1,"")))</f>
        <v/>
      </c>
      <c r="AW25" s="462">
        <f>SUMIF(C2:C25,C25,O2:O25)</f>
        <v>0</v>
      </c>
      <c r="AX25" s="462">
        <f>IF(AND(M25="F",AS25&lt;&gt;0),SUMIF(C2:C25,C25,W2:W25),0)</f>
        <v>0</v>
      </c>
      <c r="AY25" s="462" t="str">
        <f t="shared" si="2"/>
        <v/>
      </c>
      <c r="AZ25" s="462" t="str">
        <f t="shared" si="3"/>
        <v/>
      </c>
      <c r="BA25" s="462">
        <f t="shared" si="4"/>
        <v>0</v>
      </c>
      <c r="BB25" s="462">
        <f>IF(AND(AT25=1,AK25="E",AU25&gt;=0.75,AW25=1),Health,IF(AND(AT25=1,AK25="E",AU25&gt;=0.75),Health*P25,IF(AND(AT25=1,AK25="E",AU25&gt;=0.5,AW25=1),PTHealth,IF(AND(AT25=1,AK25="E",AU25&gt;=0.5),PTHealth*P25,0))))</f>
        <v>0</v>
      </c>
      <c r="BC25" s="462">
        <f>IF(AND(AT25=3,AK25="E",AV25&gt;=0.75,AW25=1),Health,IF(AND(AT25=3,AK25="E",AV25&gt;=0.75),Health*P25,IF(AND(AT25=3,AK25="E",AV25&gt;=0.5,AW25=1),PTHealth,IF(AND(AT25=3,AK25="E",AV25&gt;=0.5),PTHealth*P25,0))))</f>
        <v>0</v>
      </c>
      <c r="BD25" s="462">
        <f>IF(AND(AT25&lt;&gt;0,AX25&gt;=MAXSSDI),SSDI*MAXSSDI*P25,IF(AT25&lt;&gt;0,SSDI*W25,0))</f>
        <v>0</v>
      </c>
      <c r="BE25" s="462">
        <f>IF(AT25&lt;&gt;0,SSHI*W25,0)</f>
        <v>0</v>
      </c>
      <c r="BF25" s="462">
        <f>IF(AND(AT25&lt;&gt;0,AN25&lt;&gt;"NE"),VLOOKUP(AN25,Retirement_Rates,3,FALSE)*W25,0)</f>
        <v>0</v>
      </c>
      <c r="BG25" s="462">
        <f>IF(AND(AT25&lt;&gt;0,AJ25&lt;&gt;"PF"),Life*W25,0)</f>
        <v>0</v>
      </c>
      <c r="BH25" s="462">
        <f>IF(AND(AT25&lt;&gt;0,AM25="Y"),UI*W25,0)</f>
        <v>0</v>
      </c>
      <c r="BI25" s="462">
        <f>IF(AND(AT25&lt;&gt;0,N25&lt;&gt;"NR"),DHR*W25,0)</f>
        <v>0</v>
      </c>
      <c r="BJ25" s="462">
        <f>IF(AT25&lt;&gt;0,WC*W25,0)</f>
        <v>0</v>
      </c>
      <c r="BK25" s="462">
        <f>IF(OR(AND(AT25&lt;&gt;0,AJ25&lt;&gt;"PF",AN25&lt;&gt;"NE",AG25&lt;&gt;"A"),AND(AL25="E",OR(AT25=1,AT25=3))),Sick*W25,0)</f>
        <v>0</v>
      </c>
      <c r="BL25" s="462">
        <f t="shared" si="5"/>
        <v>0</v>
      </c>
      <c r="BM25" s="462">
        <f t="shared" si="6"/>
        <v>0</v>
      </c>
      <c r="BN25" s="462">
        <f>IF(AND(AT25=1,AK25="E",AU25&gt;=0.75,AW25=1),HealthBY,IF(AND(AT25=1,AK25="E",AU25&gt;=0.75),HealthBY*P25,IF(AND(AT25=1,AK25="E",AU25&gt;=0.5,AW25=1),PTHealthBY,IF(AND(AT25=1,AK25="E",AU25&gt;=0.5),PTHealthBY*P25,0))))</f>
        <v>0</v>
      </c>
      <c r="BO25" s="462">
        <f>IF(AND(AT25=3,AK25="E",AV25&gt;=0.75,AW25=1),HealthBY,IF(AND(AT25=3,AK25="E",AV25&gt;=0.75),HealthBY*P25,IF(AND(AT25=3,AK25="E",AV25&gt;=0.5,AW25=1),PTHealthBY,IF(AND(AT25=3,AK25="E",AV25&gt;=0.5),PTHealthBY*P25,0))))</f>
        <v>0</v>
      </c>
      <c r="BP25" s="462">
        <f>IF(AND(AT25&lt;&gt;0,(AX25+BA25)&gt;=MAXSSDIBY),SSDIBY*MAXSSDIBY*P25,IF(AT25&lt;&gt;0,SSDIBY*W25,0))</f>
        <v>0</v>
      </c>
      <c r="BQ25" s="462">
        <f>IF(AT25&lt;&gt;0,SSHIBY*W25,0)</f>
        <v>0</v>
      </c>
      <c r="BR25" s="462">
        <f>IF(AND(AT25&lt;&gt;0,AN25&lt;&gt;"NE"),VLOOKUP(AN25,Retirement_Rates,4,FALSE)*W25,0)</f>
        <v>0</v>
      </c>
      <c r="BS25" s="462">
        <f>IF(AND(AT25&lt;&gt;0,AJ25&lt;&gt;"PF"),LifeBY*W25,0)</f>
        <v>0</v>
      </c>
      <c r="BT25" s="462">
        <f>IF(AND(AT25&lt;&gt;0,AM25="Y"),UIBY*W25,0)</f>
        <v>0</v>
      </c>
      <c r="BU25" s="462">
        <f>IF(AND(AT25&lt;&gt;0,N25&lt;&gt;"NR"),DHRBY*W25,0)</f>
        <v>0</v>
      </c>
      <c r="BV25" s="462">
        <f>IF(AT25&lt;&gt;0,WCBY*W25,0)</f>
        <v>0</v>
      </c>
      <c r="BW25" s="462">
        <f>IF(OR(AND(AT25&lt;&gt;0,AJ25&lt;&gt;"PF",AN25&lt;&gt;"NE",AG25&lt;&gt;"A"),AND(AL25="E",OR(AT25=1,AT25=3))),SickBY*W25,0)</f>
        <v>0</v>
      </c>
      <c r="BX25" s="462">
        <f t="shared" si="7"/>
        <v>0</v>
      </c>
      <c r="BY25" s="462">
        <f t="shared" si="8"/>
        <v>0</v>
      </c>
      <c r="BZ25" s="462">
        <f t="shared" si="9"/>
        <v>0</v>
      </c>
      <c r="CA25" s="462">
        <f t="shared" si="10"/>
        <v>0</v>
      </c>
      <c r="CB25" s="462">
        <f t="shared" si="11"/>
        <v>0</v>
      </c>
      <c r="CC25" s="462">
        <f>IF(AT25&lt;&gt;0,SSHICHG*Y25,0)</f>
        <v>0</v>
      </c>
      <c r="CD25" s="462">
        <f>IF(AND(AT25&lt;&gt;0,AN25&lt;&gt;"NE"),VLOOKUP(AN25,Retirement_Rates,5,FALSE)*Y25,0)</f>
        <v>0</v>
      </c>
      <c r="CE25" s="462">
        <f>IF(AND(AT25&lt;&gt;0,AJ25&lt;&gt;"PF"),LifeCHG*Y25,0)</f>
        <v>0</v>
      </c>
      <c r="CF25" s="462">
        <f>IF(AND(AT25&lt;&gt;0,AM25="Y"),UICHG*Y25,0)</f>
        <v>0</v>
      </c>
      <c r="CG25" s="462">
        <f>IF(AND(AT25&lt;&gt;0,N25&lt;&gt;"NR"),DHRCHG*Y25,0)</f>
        <v>0</v>
      </c>
      <c r="CH25" s="462">
        <f>IF(AT25&lt;&gt;0,WCCHG*Y25,0)</f>
        <v>0</v>
      </c>
      <c r="CI25" s="462">
        <f>IF(OR(AND(AT25&lt;&gt;0,AJ25&lt;&gt;"PF",AN25&lt;&gt;"NE",AG25&lt;&gt;"A"),AND(AL25="E",OR(AT25=1,AT25=3))),SickCHG*Y25,0)</f>
        <v>0</v>
      </c>
      <c r="CJ25" s="462">
        <f t="shared" si="12"/>
        <v>0</v>
      </c>
      <c r="CK25" s="462" t="str">
        <f t="shared" si="13"/>
        <v/>
      </c>
      <c r="CL25" s="462">
        <f t="shared" si="14"/>
        <v>0</v>
      </c>
      <c r="CM25" s="462">
        <f t="shared" si="15"/>
        <v>0</v>
      </c>
      <c r="CN25" s="462" t="str">
        <f t="shared" si="16"/>
        <v>0199-00</v>
      </c>
    </row>
    <row r="27" spans="1:92" ht="21" x14ac:dyDescent="0.4">
      <c r="AQ27" s="251" t="s">
        <v>320</v>
      </c>
    </row>
    <row r="28" spans="1:92" ht="15" thickBot="1" x14ac:dyDescent="0.35">
      <c r="AR28" t="s">
        <v>287</v>
      </c>
      <c r="AS28" s="462">
        <f>SUMIFS(AS2:AS25,G2:G25,"GVEA",E2:E25,"0125",F2:F25,"00",AT2:AT25,1)</f>
        <v>0.6</v>
      </c>
      <c r="AT28" s="462">
        <f>SUMIFS(AS2:AS25,G2:G25,"GVEA",E2:E25,"0125",F2:F25,"00",AT2:AT25,3)</f>
        <v>0</v>
      </c>
      <c r="AU28" s="462">
        <f>SUMIFS(AU2:AU25,G2:G25,"GVEA",E2:E25,"0125",F2:F25,"00")</f>
        <v>2</v>
      </c>
      <c r="AV28" s="462">
        <f>SUMIFS(AV2:AV25,G2:G25,"GVEA",E2:E25,"0125",F2:F25,"00")</f>
        <v>0</v>
      </c>
      <c r="AW28" s="462">
        <f>SUMIFS(AW2:AW25,G2:G25,"GVEA",E2:E25,"0125",F2:F25,"00")</f>
        <v>14</v>
      </c>
      <c r="AX28" s="462">
        <f>SUMIFS(AX2:AX25,G2:G25,"GVEA",E2:E25,"0125",F2:F25,"00")</f>
        <v>156707.20000000001</v>
      </c>
      <c r="AY28" s="462">
        <f>SUMIFS(AY2:AY25,G2:G25,"GVEA",E2:E25,"0125",F2:F25,"00")</f>
        <v>47012.160000000003</v>
      </c>
      <c r="AZ28" s="462">
        <f>SUMIFS(AZ2:AZ25,G2:G25,"GVEA",E2:E25,"0125",F2:F25,"00")</f>
        <v>0</v>
      </c>
      <c r="BA28" s="462">
        <f>SUMIFS(BA2:BA25,G2:G25,"GVEA",E2:E25,"0125",F2:F25,"00")</f>
        <v>0</v>
      </c>
      <c r="BB28" s="462">
        <f>SUMIFS(BB2:BB25,G2:G25,"GVEA",E2:E25,"0125",F2:F25,"00")</f>
        <v>6990</v>
      </c>
      <c r="BC28" s="462">
        <f>SUMIFS(BC2:BC25,G2:G25,"GVEA",E2:E25,"0125",F2:F25,"00")</f>
        <v>0</v>
      </c>
      <c r="BD28" s="462">
        <f>SUMIFS(BD2:BD25,G2:G25,"GVEA",E2:E25,"0125",F2:F25,"00")</f>
        <v>2914.7539200000001</v>
      </c>
      <c r="BE28" s="462">
        <f>SUMIFS(BE2:BE25,G2:G25,"GVEA",E2:E25,"0125",F2:F25,"00")</f>
        <v>681.67632000000003</v>
      </c>
      <c r="BF28" s="462">
        <f>SUMIFS(BF2:BF25,G2:G25,"GVEA",E2:E25,"0125",F2:F25,"00")</f>
        <v>5613.2519039999997</v>
      </c>
      <c r="BG28" s="462">
        <f>SUMIFS(BG2:BG25,G2:G25,"GVEA",E2:E25,"0125",F2:F25,"00")</f>
        <v>338.95767360000002</v>
      </c>
      <c r="BH28" s="462">
        <f>SUMIFS(BH2:BH25,G2:G25,"GVEA",E2:E25,"0125",F2:F25,"00")</f>
        <v>72.403967999999992</v>
      </c>
      <c r="BI28" s="462">
        <f>SUMIFS(BI2:BI25,G2:G25,"GVEA",E2:E25,"0125",F2:F25,"00")</f>
        <v>0</v>
      </c>
      <c r="BJ28" s="462">
        <f>SUMIFS(BJ2:BJ25,G2:G25,"GVEA",E2:E25,"0125",F2:F25,"00")</f>
        <v>178.646208</v>
      </c>
      <c r="BK28" s="462">
        <f>SUMIFS(BK2:BK25,G2:G25,"GVEA",E2:E25,"0125",F2:F25,"00")</f>
        <v>0</v>
      </c>
      <c r="BL28" s="462">
        <f>SUMIFS(BL2:BL25,G2:G25,"GVEA",E2:E25,"0125",F2:F25,"00")</f>
        <v>9799.6899935999991</v>
      </c>
      <c r="BM28" s="462">
        <f>SUMIFS(BM2:BM25,G2:G25,"GVEA",E2:E25,"0125",F2:F25,"00")</f>
        <v>0</v>
      </c>
      <c r="BN28" s="462">
        <f>SUMIFS(BN2:BN25,G2:G25,"GVEA",E2:E25,"0125",F2:F25,"00")</f>
        <v>6990</v>
      </c>
      <c r="BO28" s="462">
        <f>SUMIFS(BO2:BO25,G2:G25,"GVEA",E2:E25,"0125",F2:F25,"00")</f>
        <v>0</v>
      </c>
      <c r="BP28" s="462">
        <f>SUMIFS(BP2:BP25,G2:G25,"GVEA",E2:E25,"0125",F2:F25,"00")</f>
        <v>2914.7539200000001</v>
      </c>
      <c r="BQ28" s="462">
        <f>SUMIFS(BQ2:BQ25,G2:G25,"GVEA",E2:E25,"0125",F2:F25,"00")</f>
        <v>681.67632000000003</v>
      </c>
      <c r="BR28" s="462">
        <f>SUMIFS(BR2:BR25,G2:G25,"GVEA",E2:E25,"0125",F2:F25,"00")</f>
        <v>5613.2519039999997</v>
      </c>
      <c r="BS28" s="462">
        <f>SUMIFS(BS2:BS25,G2:G25,"GVEA",E2:E25,"0125",F2:F25,"00")</f>
        <v>338.95767360000002</v>
      </c>
      <c r="BT28" s="462">
        <f>SUMIFS(BT2:BT25,G2:G25,"GVEA",E2:E25,"0125",F2:F25,"00")</f>
        <v>0</v>
      </c>
      <c r="BU28" s="462">
        <f>SUMIFS(BU2:BU25,G2:G25,"GVEA",E2:E25,"0125",F2:F25,"00")</f>
        <v>0</v>
      </c>
      <c r="BV28" s="462">
        <f>SUMIFS(BV2:BV25,G2:G25,"GVEA",E2:E25,"0125",F2:F25,"00")</f>
        <v>169.243776</v>
      </c>
      <c r="BW28" s="462">
        <f>SUMIFS(BW2:BW25,G2:G25,"GVEA",E2:E25,"0125",F2:F25,"00")</f>
        <v>0</v>
      </c>
      <c r="BX28" s="462">
        <f>SUMIFS(BX2:BX25,G2:G25,"GVEA",E2:E25,"0125",F2:F25,"00")</f>
        <v>9717.8835935999996</v>
      </c>
      <c r="BY28" s="462">
        <f>SUMIFS(BY2:BY25,G2:G25,"GVEA",E2:E25,"0125",F2:F25,"00")</f>
        <v>0</v>
      </c>
      <c r="BZ28" s="462">
        <f>SUMIFS(BZ2:BZ25,G2:G25,"GVEA",E2:E25,"0125",F2:F25,"00")</f>
        <v>0</v>
      </c>
      <c r="CA28" s="462">
        <f>SUMIFS(CA2:CA25,G2:G25,"GVEA",E2:E25,"0125",F2:F25,"00")</f>
        <v>0</v>
      </c>
      <c r="CB28" s="462">
        <f>SUMIFS(CB2:CB25,G2:G25,"GVEA",E2:E25,"0125",F2:F25,"00")</f>
        <v>0</v>
      </c>
      <c r="CC28" s="462">
        <f>SUMIFS(CC2:CC25,G2:G25,"GVEA",E2:E25,"0125",F2:F25,"00")</f>
        <v>0</v>
      </c>
      <c r="CD28" s="462">
        <f>SUMIFS(CD2:CD25,G2:G25,"GVEA",E2:E25,"0125",F2:F25,"00")</f>
        <v>0</v>
      </c>
      <c r="CE28" s="462">
        <f>SUMIFS(CE2:CE25,G2:G25,"GVEA",E2:E25,"0125",F2:F25,"00")</f>
        <v>0</v>
      </c>
      <c r="CF28" s="462">
        <f>SUMIFS(CF2:CF25,G2:G25,"GVEA",E2:E25,"0125",F2:F25,"00")</f>
        <v>-72.403967999999992</v>
      </c>
      <c r="CG28" s="462">
        <f>SUMIFS(CG2:CG25,G2:G25,"GVEA",E2:E25,"0125",F2:F25,"00")</f>
        <v>0</v>
      </c>
      <c r="CH28" s="462">
        <f>SUMIFS(CH2:CH25,G2:G25,"GVEA",E2:E25,"0125",F2:F25,"00")</f>
        <v>-9.4024320000000046</v>
      </c>
      <c r="CI28" s="462">
        <f>SUMIFS(CI2:CI25,G2:G25,"GVEA",E2:E25,"0125",F2:F25,"00")</f>
        <v>0</v>
      </c>
      <c r="CJ28" s="462">
        <f>SUMIFS(CJ2:CJ25,G2:G25,"GVEA",E2:E25,"0125",F2:F25,"00")</f>
        <v>-81.806399999999996</v>
      </c>
      <c r="CK28" s="462">
        <f>SUMIFS(CK2:CK25,G2:G25,"GVEA",E2:E25,"0125",F2:F25,"00")</f>
        <v>0</v>
      </c>
      <c r="CL28" s="462">
        <f>SUMIFS(CL2:CL25,G2:G25,"GVEA",E2:E25,"0125",F2:F25,"00")</f>
        <v>0</v>
      </c>
      <c r="CM28" s="462">
        <f>SUMIFS(CM2:CM25,G2:G25,"GVEA",E2:E25,"0125",F2:F25,"00")</f>
        <v>0</v>
      </c>
    </row>
    <row r="29" spans="1:92" ht="18" x14ac:dyDescent="0.35">
      <c r="AQ29" s="468" t="s">
        <v>288</v>
      </c>
      <c r="AS29" s="469">
        <f>SUM(AS28:AS28)</f>
        <v>0.6</v>
      </c>
      <c r="AT29" s="469">
        <f>SUM(AT28:AT28)</f>
        <v>0</v>
      </c>
      <c r="AU29" s="469">
        <f>SUM(AU28:AU28)</f>
        <v>2</v>
      </c>
      <c r="AV29" s="469">
        <f>SUM(AV28:AV28)</f>
        <v>0</v>
      </c>
      <c r="AW29" s="469">
        <f>SUM(AW28:AW28)</f>
        <v>14</v>
      </c>
      <c r="AX29" s="469">
        <f>SUM(AX28:AX28)</f>
        <v>156707.20000000001</v>
      </c>
      <c r="AY29" s="469">
        <f>SUM(AY28:AY28)</f>
        <v>47012.160000000003</v>
      </c>
      <c r="AZ29" s="469">
        <f>SUM(AZ28:AZ28)</f>
        <v>0</v>
      </c>
      <c r="BA29" s="469">
        <f>SUM(BA28:BA28)</f>
        <v>0</v>
      </c>
      <c r="BB29" s="469">
        <f>SUM(BB28:BB28)</f>
        <v>6990</v>
      </c>
      <c r="BC29" s="469">
        <f>SUM(BC28:BC28)</f>
        <v>0</v>
      </c>
      <c r="BD29" s="469">
        <f>SUM(BD28:BD28)</f>
        <v>2914.7539200000001</v>
      </c>
      <c r="BE29" s="469">
        <f>SUM(BE28:BE28)</f>
        <v>681.67632000000003</v>
      </c>
      <c r="BF29" s="469">
        <f>SUM(BF28:BF28)</f>
        <v>5613.2519039999997</v>
      </c>
      <c r="BG29" s="469">
        <f>SUM(BG28:BG28)</f>
        <v>338.95767360000002</v>
      </c>
      <c r="BH29" s="469">
        <f>SUM(BH28:BH28)</f>
        <v>72.403967999999992</v>
      </c>
      <c r="BI29" s="469">
        <f>SUM(BI28:BI28)</f>
        <v>0</v>
      </c>
      <c r="BJ29" s="469">
        <f>SUM(BJ28:BJ28)</f>
        <v>178.646208</v>
      </c>
      <c r="BK29" s="469">
        <f>SUM(BK28:BK28)</f>
        <v>0</v>
      </c>
      <c r="BL29" s="469">
        <f>SUM(BL28:BL28)</f>
        <v>9799.6899935999991</v>
      </c>
      <c r="BM29" s="469">
        <f>SUM(BM28:BM28)</f>
        <v>0</v>
      </c>
      <c r="BN29" s="469">
        <f>SUM(BN28:BN28)</f>
        <v>6990</v>
      </c>
      <c r="BO29" s="469">
        <f>SUM(BO28:BO28)</f>
        <v>0</v>
      </c>
      <c r="BP29" s="469">
        <f>SUM(BP28:BP28)</f>
        <v>2914.7539200000001</v>
      </c>
      <c r="BQ29" s="469">
        <f>SUM(BQ28:BQ28)</f>
        <v>681.67632000000003</v>
      </c>
      <c r="BR29" s="469">
        <f>SUM(BR28:BR28)</f>
        <v>5613.2519039999997</v>
      </c>
      <c r="BS29" s="469">
        <f>SUM(BS28:BS28)</f>
        <v>338.95767360000002</v>
      </c>
      <c r="BT29" s="469">
        <f>SUM(BT28:BT28)</f>
        <v>0</v>
      </c>
      <c r="BU29" s="469">
        <f>SUM(BU28:BU28)</f>
        <v>0</v>
      </c>
      <c r="BV29" s="469">
        <f>SUM(BV28:BV28)</f>
        <v>169.243776</v>
      </c>
      <c r="BW29" s="469">
        <f>SUM(BW28:BW28)</f>
        <v>0</v>
      </c>
      <c r="BX29" s="469">
        <f>SUM(BX28:BX28)</f>
        <v>9717.8835935999996</v>
      </c>
      <c r="BY29" s="469">
        <f>SUM(BY28:BY28)</f>
        <v>0</v>
      </c>
      <c r="BZ29" s="469">
        <f>SUM(BZ28:BZ28)</f>
        <v>0</v>
      </c>
      <c r="CA29" s="469">
        <f>SUM(CA28:CA28)</f>
        <v>0</v>
      </c>
      <c r="CB29" s="469">
        <f>SUM(CB28:CB28)</f>
        <v>0</v>
      </c>
      <c r="CC29" s="469">
        <f>SUM(CC28:CC28)</f>
        <v>0</v>
      </c>
      <c r="CD29" s="469">
        <f>SUM(CD28:CD28)</f>
        <v>0</v>
      </c>
      <c r="CE29" s="469">
        <f>SUM(CE28:CE28)</f>
        <v>0</v>
      </c>
      <c r="CF29" s="469">
        <f>SUM(CF28:CF28)</f>
        <v>-72.403967999999992</v>
      </c>
      <c r="CG29" s="469">
        <f>SUM(CG28:CG28)</f>
        <v>0</v>
      </c>
      <c r="CH29" s="469">
        <f>SUM(CH28:CH28)</f>
        <v>-9.4024320000000046</v>
      </c>
      <c r="CI29" s="469">
        <f>SUM(CI28:CI28)</f>
        <v>0</v>
      </c>
      <c r="CJ29" s="469">
        <f>SUM(CJ28:CJ28)</f>
        <v>-81.806399999999996</v>
      </c>
      <c r="CK29" s="469">
        <f>SUM(CK28:CK28)</f>
        <v>0</v>
      </c>
      <c r="CL29" s="469">
        <f>SUM(CL28:CL28)</f>
        <v>0</v>
      </c>
      <c r="CM29" s="469">
        <f>SUM(CM28:CM28)</f>
        <v>0</v>
      </c>
    </row>
    <row r="30" spans="1:92" ht="15" thickBot="1" x14ac:dyDescent="0.35">
      <c r="AR30" t="s">
        <v>295</v>
      </c>
      <c r="AS30" s="462">
        <f>SUMIFS(AS2:AS25,G2:G25,"GVEA",E2:E25,"0348",F2:F25,"00",AT2:AT25,1)</f>
        <v>4.9000000000000004</v>
      </c>
      <c r="AT30" s="462">
        <f>SUMIFS(AS2:AS25,G2:G25,"GVEA",E2:E25,"0348",F2:F25,"00",AT2:AT25,3)</f>
        <v>0</v>
      </c>
      <c r="AU30" s="462">
        <f>SUMIFS(AU2:AU25,G2:G25,"GVEA",E2:E25,"0348",F2:F25,"00")</f>
        <v>7</v>
      </c>
      <c r="AV30" s="462">
        <f>SUMIFS(AV2:AV25,G2:G25,"GVEA",E2:E25,"0348",F2:F25,"00")</f>
        <v>0</v>
      </c>
      <c r="AW30" s="462">
        <f>SUMIFS(AW2:AW25,G2:G25,"GVEA",E2:E25,"0348",F2:F25,"00")</f>
        <v>23</v>
      </c>
      <c r="AX30" s="462">
        <f>SUMIFS(AX2:AX25,G2:G25,"GVEA",E2:E25,"0348",F2:F25,"00")</f>
        <v>389022.4</v>
      </c>
      <c r="AY30" s="462">
        <f>SUMIFS(AY2:AY25,G2:G25,"GVEA",E2:E25,"0348",F2:F25,"00")</f>
        <v>263063.84000000003</v>
      </c>
      <c r="AZ30" s="462">
        <f>SUMIFS(AZ2:AZ25,G2:G25,"GVEA",E2:E25,"0348",F2:F25,"00")</f>
        <v>0</v>
      </c>
      <c r="BA30" s="462">
        <f>SUMIFS(BA2:BA25,G2:G25,"GVEA",E2:E25,"0348",F2:F25,"00")</f>
        <v>0</v>
      </c>
      <c r="BB30" s="462">
        <f>SUMIFS(BB2:BB25,G2:G25,"GVEA",E2:E25,"0348",F2:F25,"00")</f>
        <v>57085</v>
      </c>
      <c r="BC30" s="462">
        <f>SUMIFS(BC2:BC25,G2:G25,"GVEA",E2:E25,"0348",F2:F25,"00")</f>
        <v>0</v>
      </c>
      <c r="BD30" s="462">
        <f>SUMIFS(BD2:BD25,G2:G25,"GVEA",E2:E25,"0348",F2:F25,"00")</f>
        <v>16309.95808</v>
      </c>
      <c r="BE30" s="462">
        <f>SUMIFS(BE2:BE25,G2:G25,"GVEA",E2:E25,"0348",F2:F25,"00")</f>
        <v>3814.4256800000003</v>
      </c>
      <c r="BF30" s="462">
        <f>SUMIFS(BF2:BF25,G2:G25,"GVEA",E2:E25,"0348",F2:F25,"00")</f>
        <v>31409.822496000004</v>
      </c>
      <c r="BG30" s="462">
        <f>SUMIFS(BG2:BG25,G2:G25,"GVEA",E2:E25,"0348",F2:F25,"00")</f>
        <v>1896.6902864000003</v>
      </c>
      <c r="BH30" s="462">
        <f>SUMIFS(BH2:BH25,G2:G25,"GVEA",E2:E25,"0348",F2:F25,"00")</f>
        <v>1289.0128159999999</v>
      </c>
      <c r="BI30" s="462">
        <f>SUMIFS(BI2:BI25,G2:G25,"GVEA",E2:E25,"0348",F2:F25,"00")</f>
        <v>0</v>
      </c>
      <c r="BJ30" s="462">
        <f>SUMIFS(BJ2:BJ25,G2:G25,"GVEA",E2:E25,"0348",F2:F25,"00")</f>
        <v>999.64259199999992</v>
      </c>
      <c r="BK30" s="462">
        <f>SUMIFS(BK2:BK25,G2:G25,"GVEA",E2:E25,"0348",F2:F25,"00")</f>
        <v>0</v>
      </c>
      <c r="BL30" s="462">
        <f>SUMIFS(BL2:BL25,G2:G25,"GVEA",E2:E25,"0348",F2:F25,"00")</f>
        <v>55719.551950399997</v>
      </c>
      <c r="BM30" s="462">
        <f>SUMIFS(BM2:BM25,G2:G25,"GVEA",E2:E25,"0348",F2:F25,"00")</f>
        <v>0</v>
      </c>
      <c r="BN30" s="462">
        <f>SUMIFS(BN2:BN25,G2:G25,"GVEA",E2:E25,"0348",F2:F25,"00")</f>
        <v>57085</v>
      </c>
      <c r="BO30" s="462">
        <f>SUMIFS(BO2:BO25,G2:G25,"GVEA",E2:E25,"0348",F2:F25,"00")</f>
        <v>0</v>
      </c>
      <c r="BP30" s="462">
        <f>SUMIFS(BP2:BP25,G2:G25,"GVEA",E2:E25,"0348",F2:F25,"00")</f>
        <v>16309.95808</v>
      </c>
      <c r="BQ30" s="462">
        <f>SUMIFS(BQ2:BQ25,G2:G25,"GVEA",E2:E25,"0348",F2:F25,"00")</f>
        <v>3814.4256800000003</v>
      </c>
      <c r="BR30" s="462">
        <f>SUMIFS(BR2:BR25,G2:G25,"GVEA",E2:E25,"0348",F2:F25,"00")</f>
        <v>31409.822496000004</v>
      </c>
      <c r="BS30" s="462">
        <f>SUMIFS(BS2:BS25,G2:G25,"GVEA",E2:E25,"0348",F2:F25,"00")</f>
        <v>1896.6902864000003</v>
      </c>
      <c r="BT30" s="462">
        <f>SUMIFS(BT2:BT25,G2:G25,"GVEA",E2:E25,"0348",F2:F25,"00")</f>
        <v>0</v>
      </c>
      <c r="BU30" s="462">
        <f>SUMIFS(BU2:BU25,G2:G25,"GVEA",E2:E25,"0348",F2:F25,"00")</f>
        <v>0</v>
      </c>
      <c r="BV30" s="462">
        <f>SUMIFS(BV2:BV25,G2:G25,"GVEA",E2:E25,"0348",F2:F25,"00")</f>
        <v>947.02982400000008</v>
      </c>
      <c r="BW30" s="462">
        <f>SUMIFS(BW2:BW25,G2:G25,"GVEA",E2:E25,"0348",F2:F25,"00")</f>
        <v>0</v>
      </c>
      <c r="BX30" s="462">
        <f>SUMIFS(BX2:BX25,G2:G25,"GVEA",E2:E25,"0348",F2:F25,"00")</f>
        <v>54377.926366400003</v>
      </c>
      <c r="BY30" s="462">
        <f>SUMIFS(BY2:BY25,G2:G25,"GVEA",E2:E25,"0348",F2:F25,"00")</f>
        <v>0</v>
      </c>
      <c r="BZ30" s="462">
        <f>SUMIFS(BZ2:BZ25,G2:G25,"GVEA",E2:E25,"0348",F2:F25,"00")</f>
        <v>0</v>
      </c>
      <c r="CA30" s="462">
        <f>SUMIFS(CA2:CA25,G2:G25,"GVEA",E2:E25,"0348",F2:F25,"00")</f>
        <v>0</v>
      </c>
      <c r="CB30" s="462">
        <f>SUMIFS(CB2:CB25,G2:G25,"GVEA",E2:E25,"0348",F2:F25,"00")</f>
        <v>0</v>
      </c>
      <c r="CC30" s="462">
        <f>SUMIFS(CC2:CC25,G2:G25,"GVEA",E2:E25,"0348",F2:F25,"00")</f>
        <v>0</v>
      </c>
      <c r="CD30" s="462">
        <f>SUMIFS(CD2:CD25,G2:G25,"GVEA",E2:E25,"0348",F2:F25,"00")</f>
        <v>0</v>
      </c>
      <c r="CE30" s="462">
        <f>SUMIFS(CE2:CE25,G2:G25,"GVEA",E2:E25,"0348",F2:F25,"00")</f>
        <v>0</v>
      </c>
      <c r="CF30" s="462">
        <f>SUMIFS(CF2:CF25,G2:G25,"GVEA",E2:E25,"0348",F2:F25,"00")</f>
        <v>-1289.0128159999999</v>
      </c>
      <c r="CG30" s="462">
        <f>SUMIFS(CG2:CG25,G2:G25,"GVEA",E2:E25,"0348",F2:F25,"00")</f>
        <v>0</v>
      </c>
      <c r="CH30" s="462">
        <f>SUMIFS(CH2:CH25,G2:G25,"GVEA",E2:E25,"0348",F2:F25,"00")</f>
        <v>-52.612768000000031</v>
      </c>
      <c r="CI30" s="462">
        <f>SUMIFS(CI2:CI25,G2:G25,"GVEA",E2:E25,"0348",F2:F25,"00")</f>
        <v>0</v>
      </c>
      <c r="CJ30" s="462">
        <f>SUMIFS(CJ2:CJ25,G2:G25,"GVEA",E2:E25,"0348",F2:F25,"00")</f>
        <v>-1341.6255840000001</v>
      </c>
      <c r="CK30" s="462">
        <f>SUMIFS(CK2:CK25,G2:G25,"GVEA",E2:E25,"0348",F2:F25,"00")</f>
        <v>0</v>
      </c>
      <c r="CL30" s="462">
        <f>SUMIFS(CL2:CL25,G2:G25,"GVEA",E2:E25,"0348",F2:F25,"00")</f>
        <v>0</v>
      </c>
      <c r="CM30" s="462">
        <f>SUMIFS(CM2:CM25,G2:G25,"GVEA",E2:E25,"0348",F2:F25,"00")</f>
        <v>0</v>
      </c>
    </row>
    <row r="31" spans="1:92" ht="18" x14ac:dyDescent="0.35">
      <c r="AQ31" s="468" t="s">
        <v>296</v>
      </c>
      <c r="AS31" s="469">
        <f>SUM(AS30:AS30)</f>
        <v>4.9000000000000004</v>
      </c>
      <c r="AT31" s="469">
        <f>SUM(AT30:AT30)</f>
        <v>0</v>
      </c>
      <c r="AU31" s="469">
        <f>SUM(AU30:AU30)</f>
        <v>7</v>
      </c>
      <c r="AV31" s="469">
        <f>SUM(AV30:AV30)</f>
        <v>0</v>
      </c>
      <c r="AW31" s="469">
        <f>SUM(AW30:AW30)</f>
        <v>23</v>
      </c>
      <c r="AX31" s="469">
        <f>SUM(AX30:AX30)</f>
        <v>389022.4</v>
      </c>
      <c r="AY31" s="469">
        <f>SUM(AY30:AY30)</f>
        <v>263063.84000000003</v>
      </c>
      <c r="AZ31" s="469">
        <f>SUM(AZ30:AZ30)</f>
        <v>0</v>
      </c>
      <c r="BA31" s="469">
        <f>SUM(BA30:BA30)</f>
        <v>0</v>
      </c>
      <c r="BB31" s="469">
        <f>SUM(BB30:BB30)</f>
        <v>57085</v>
      </c>
      <c r="BC31" s="469">
        <f>SUM(BC30:BC30)</f>
        <v>0</v>
      </c>
      <c r="BD31" s="469">
        <f>SUM(BD30:BD30)</f>
        <v>16309.95808</v>
      </c>
      <c r="BE31" s="469">
        <f>SUM(BE30:BE30)</f>
        <v>3814.4256800000003</v>
      </c>
      <c r="BF31" s="469">
        <f>SUM(BF30:BF30)</f>
        <v>31409.822496000004</v>
      </c>
      <c r="BG31" s="469">
        <f>SUM(BG30:BG30)</f>
        <v>1896.6902864000003</v>
      </c>
      <c r="BH31" s="469">
        <f>SUM(BH30:BH30)</f>
        <v>1289.0128159999999</v>
      </c>
      <c r="BI31" s="469">
        <f>SUM(BI30:BI30)</f>
        <v>0</v>
      </c>
      <c r="BJ31" s="469">
        <f>SUM(BJ30:BJ30)</f>
        <v>999.64259199999992</v>
      </c>
      <c r="BK31" s="469">
        <f>SUM(BK30:BK30)</f>
        <v>0</v>
      </c>
      <c r="BL31" s="469">
        <f>SUM(BL30:BL30)</f>
        <v>55719.551950399997</v>
      </c>
      <c r="BM31" s="469">
        <f>SUM(BM30:BM30)</f>
        <v>0</v>
      </c>
      <c r="BN31" s="469">
        <f>SUM(BN30:BN30)</f>
        <v>57085</v>
      </c>
      <c r="BO31" s="469">
        <f>SUM(BO30:BO30)</f>
        <v>0</v>
      </c>
      <c r="BP31" s="469">
        <f>SUM(BP30:BP30)</f>
        <v>16309.95808</v>
      </c>
      <c r="BQ31" s="469">
        <f>SUM(BQ30:BQ30)</f>
        <v>3814.4256800000003</v>
      </c>
      <c r="BR31" s="469">
        <f>SUM(BR30:BR30)</f>
        <v>31409.822496000004</v>
      </c>
      <c r="BS31" s="469">
        <f>SUM(BS30:BS30)</f>
        <v>1896.6902864000003</v>
      </c>
      <c r="BT31" s="469">
        <f>SUM(BT30:BT30)</f>
        <v>0</v>
      </c>
      <c r="BU31" s="469">
        <f>SUM(BU30:BU30)</f>
        <v>0</v>
      </c>
      <c r="BV31" s="469">
        <f>SUM(BV30:BV30)</f>
        <v>947.02982400000008</v>
      </c>
      <c r="BW31" s="469">
        <f>SUM(BW30:BW30)</f>
        <v>0</v>
      </c>
      <c r="BX31" s="469">
        <f>SUM(BX30:BX30)</f>
        <v>54377.926366400003</v>
      </c>
      <c r="BY31" s="469">
        <f>SUM(BY30:BY30)</f>
        <v>0</v>
      </c>
      <c r="BZ31" s="469">
        <f>SUM(BZ30:BZ30)</f>
        <v>0</v>
      </c>
      <c r="CA31" s="469">
        <f>SUM(CA30:CA30)</f>
        <v>0</v>
      </c>
      <c r="CB31" s="469">
        <f>SUM(CB30:CB30)</f>
        <v>0</v>
      </c>
      <c r="CC31" s="469">
        <f>SUM(CC30:CC30)</f>
        <v>0</v>
      </c>
      <c r="CD31" s="469">
        <f>SUM(CD30:CD30)</f>
        <v>0</v>
      </c>
      <c r="CE31" s="469">
        <f>SUM(CE30:CE30)</f>
        <v>0</v>
      </c>
      <c r="CF31" s="469">
        <f>SUM(CF30:CF30)</f>
        <v>-1289.0128159999999</v>
      </c>
      <c r="CG31" s="469">
        <f>SUM(CG30:CG30)</f>
        <v>0</v>
      </c>
      <c r="CH31" s="469">
        <f>SUM(CH30:CH30)</f>
        <v>-52.612768000000031</v>
      </c>
      <c r="CI31" s="469">
        <f>SUM(CI30:CI30)</f>
        <v>0</v>
      </c>
      <c r="CJ31" s="469">
        <f>SUM(CJ30:CJ30)</f>
        <v>-1341.6255840000001</v>
      </c>
      <c r="CK31" s="469">
        <f>SUM(CK30:CK30)</f>
        <v>0</v>
      </c>
      <c r="CL31" s="469">
        <f>SUM(CL30:CL30)</f>
        <v>0</v>
      </c>
      <c r="CM31" s="469">
        <f>SUM(CM30:CM30)</f>
        <v>0</v>
      </c>
    </row>
    <row r="32" spans="1:92" ht="15" thickBot="1" x14ac:dyDescent="0.35">
      <c r="AR32" t="s">
        <v>301</v>
      </c>
      <c r="AS32" s="462">
        <f>SUMIFS(AS2:AS25,G2:G25,"GVEA",E2:E25,"0349",F2:F25,"00",AT2:AT25,1)</f>
        <v>0</v>
      </c>
      <c r="AT32" s="462">
        <f>SUMIFS(AS2:AS25,G2:G25,"GVEA",E2:E25,"0349",F2:F25,"00",AT2:AT25,3)</f>
        <v>0</v>
      </c>
      <c r="AU32" s="462">
        <f>SUMIFS(AU2:AU25,G2:G25,"GVEA",E2:E25,"0349",F2:F25,"00")</f>
        <v>0</v>
      </c>
      <c r="AV32" s="462">
        <f>SUMIFS(AV2:AV25,G2:G25,"GVEA",E2:E25,"0349",F2:F25,"00")</f>
        <v>0</v>
      </c>
      <c r="AW32" s="462">
        <f>SUMIFS(AW2:AW25,G2:G25,"GVEA",E2:E25,"0349",F2:F25,"00")</f>
        <v>0</v>
      </c>
      <c r="AX32" s="462">
        <f>SUMIFS(AX2:AX25,G2:G25,"GVEA",E2:E25,"0349",F2:F25,"00")</f>
        <v>0</v>
      </c>
      <c r="AY32" s="462">
        <f>SUMIFS(AY2:AY25,G2:G25,"GVEA",E2:E25,"0349",F2:F25,"00")</f>
        <v>0</v>
      </c>
      <c r="AZ32" s="462">
        <f>SUMIFS(AZ2:AZ25,G2:G25,"GVEA",E2:E25,"0349",F2:F25,"00")</f>
        <v>0</v>
      </c>
      <c r="BA32" s="462">
        <f>SUMIFS(BA2:BA25,G2:G25,"GVEA",E2:E25,"0349",F2:F25,"00")</f>
        <v>0</v>
      </c>
      <c r="BB32" s="462">
        <f>SUMIFS(BB2:BB25,G2:G25,"GVEA",E2:E25,"0349",F2:F25,"00")</f>
        <v>0</v>
      </c>
      <c r="BC32" s="462">
        <f>SUMIFS(BC2:BC25,G2:G25,"GVEA",E2:E25,"0349",F2:F25,"00")</f>
        <v>0</v>
      </c>
      <c r="BD32" s="462">
        <f>SUMIFS(BD2:BD25,G2:G25,"GVEA",E2:E25,"0349",F2:F25,"00")</f>
        <v>0</v>
      </c>
      <c r="BE32" s="462">
        <f>SUMIFS(BE2:BE25,G2:G25,"GVEA",E2:E25,"0349",F2:F25,"00")</f>
        <v>0</v>
      </c>
      <c r="BF32" s="462">
        <f>SUMIFS(BF2:BF25,G2:G25,"GVEA",E2:E25,"0349",F2:F25,"00")</f>
        <v>0</v>
      </c>
      <c r="BG32" s="462">
        <f>SUMIFS(BG2:BG25,G2:G25,"GVEA",E2:E25,"0349",F2:F25,"00")</f>
        <v>0</v>
      </c>
      <c r="BH32" s="462">
        <f>SUMIFS(BH2:BH25,G2:G25,"GVEA",E2:E25,"0349",F2:F25,"00")</f>
        <v>0</v>
      </c>
      <c r="BI32" s="462">
        <f>SUMIFS(BI2:BI25,G2:G25,"GVEA",E2:E25,"0349",F2:F25,"00")</f>
        <v>0</v>
      </c>
      <c r="BJ32" s="462">
        <f>SUMIFS(BJ2:BJ25,G2:G25,"GVEA",E2:E25,"0349",F2:F25,"00")</f>
        <v>0</v>
      </c>
      <c r="BK32" s="462">
        <f>SUMIFS(BK2:BK25,G2:G25,"GVEA",E2:E25,"0349",F2:F25,"00")</f>
        <v>0</v>
      </c>
      <c r="BL32" s="462">
        <f>SUMIFS(BL2:BL25,G2:G25,"GVEA",E2:E25,"0349",F2:F25,"00")</f>
        <v>0</v>
      </c>
      <c r="BM32" s="462">
        <f>SUMIFS(BM2:BM25,G2:G25,"GVEA",E2:E25,"0349",F2:F25,"00")</f>
        <v>0</v>
      </c>
      <c r="BN32" s="462">
        <f>SUMIFS(BN2:BN25,G2:G25,"GVEA",E2:E25,"0349",F2:F25,"00")</f>
        <v>0</v>
      </c>
      <c r="BO32" s="462">
        <f>SUMIFS(BO2:BO25,G2:G25,"GVEA",E2:E25,"0349",F2:F25,"00")</f>
        <v>0</v>
      </c>
      <c r="BP32" s="462">
        <f>SUMIFS(BP2:BP25,G2:G25,"GVEA",E2:E25,"0349",F2:F25,"00")</f>
        <v>0</v>
      </c>
      <c r="BQ32" s="462">
        <f>SUMIFS(BQ2:BQ25,G2:G25,"GVEA",E2:E25,"0349",F2:F25,"00")</f>
        <v>0</v>
      </c>
      <c r="BR32" s="462">
        <f>SUMIFS(BR2:BR25,G2:G25,"GVEA",E2:E25,"0349",F2:F25,"00")</f>
        <v>0</v>
      </c>
      <c r="BS32" s="462">
        <f>SUMIFS(BS2:BS25,G2:G25,"GVEA",E2:E25,"0349",F2:F25,"00")</f>
        <v>0</v>
      </c>
      <c r="BT32" s="462">
        <f>SUMIFS(BT2:BT25,G2:G25,"GVEA",E2:E25,"0349",F2:F25,"00")</f>
        <v>0</v>
      </c>
      <c r="BU32" s="462">
        <f>SUMIFS(BU2:BU25,G2:G25,"GVEA",E2:E25,"0349",F2:F25,"00")</f>
        <v>0</v>
      </c>
      <c r="BV32" s="462">
        <f>SUMIFS(BV2:BV25,G2:G25,"GVEA",E2:E25,"0349",F2:F25,"00")</f>
        <v>0</v>
      </c>
      <c r="BW32" s="462">
        <f>SUMIFS(BW2:BW25,G2:G25,"GVEA",E2:E25,"0349",F2:F25,"00")</f>
        <v>0</v>
      </c>
      <c r="BX32" s="462">
        <f>SUMIFS(BX2:BX25,G2:G25,"GVEA",E2:E25,"0349",F2:F25,"00")</f>
        <v>0</v>
      </c>
      <c r="BY32" s="462">
        <f>SUMIFS(BY2:BY25,G2:G25,"GVEA",E2:E25,"0349",F2:F25,"00")</f>
        <v>0</v>
      </c>
      <c r="BZ32" s="462">
        <f>SUMIFS(BZ2:BZ25,G2:G25,"GVEA",E2:E25,"0349",F2:F25,"00")</f>
        <v>0</v>
      </c>
      <c r="CA32" s="462">
        <f>SUMIFS(CA2:CA25,G2:G25,"GVEA",E2:E25,"0349",F2:F25,"00")</f>
        <v>0</v>
      </c>
      <c r="CB32" s="462">
        <f>SUMIFS(CB2:CB25,G2:G25,"GVEA",E2:E25,"0349",F2:F25,"00")</f>
        <v>0</v>
      </c>
      <c r="CC32" s="462">
        <f>SUMIFS(CC2:CC25,G2:G25,"GVEA",E2:E25,"0349",F2:F25,"00")</f>
        <v>0</v>
      </c>
      <c r="CD32" s="462">
        <f>SUMIFS(CD2:CD25,G2:G25,"GVEA",E2:E25,"0349",F2:F25,"00")</f>
        <v>0</v>
      </c>
      <c r="CE32" s="462">
        <f>SUMIFS(CE2:CE25,G2:G25,"GVEA",E2:E25,"0349",F2:F25,"00")</f>
        <v>0</v>
      </c>
      <c r="CF32" s="462">
        <f>SUMIFS(CF2:CF25,G2:G25,"GVEA",E2:E25,"0349",F2:F25,"00")</f>
        <v>0</v>
      </c>
      <c r="CG32" s="462">
        <f>SUMIFS(CG2:CG25,G2:G25,"GVEA",E2:E25,"0349",F2:F25,"00")</f>
        <v>0</v>
      </c>
      <c r="CH32" s="462">
        <f>SUMIFS(CH2:CH25,G2:G25,"GVEA",E2:E25,"0349",F2:F25,"00")</f>
        <v>0</v>
      </c>
      <c r="CI32" s="462">
        <f>SUMIFS(CI2:CI25,G2:G25,"GVEA",E2:E25,"0349",F2:F25,"00")</f>
        <v>0</v>
      </c>
      <c r="CJ32" s="462">
        <f>SUMIFS(CJ2:CJ25,G2:G25,"GVEA",E2:E25,"0349",F2:F25,"00")</f>
        <v>0</v>
      </c>
      <c r="CK32" s="462">
        <f>SUMIFS(CK2:CK25,G2:G25,"GVEA",E2:E25,"0349",F2:F25,"00")</f>
        <v>0</v>
      </c>
      <c r="CL32" s="462">
        <f>SUMIFS(CL2:CL25,G2:G25,"GVEA",E2:E25,"0349",F2:F25,"00")</f>
        <v>0</v>
      </c>
      <c r="CM32" s="462">
        <f>SUMIFS(CM2:CM25,G2:G25,"GVEA",E2:E25,"0349",F2:F25,"00")</f>
        <v>0</v>
      </c>
    </row>
    <row r="33" spans="41:91" ht="18" x14ac:dyDescent="0.35">
      <c r="AQ33" s="468" t="s">
        <v>302</v>
      </c>
      <c r="AS33" s="469">
        <f>SUM(AS32:AS32)</f>
        <v>0</v>
      </c>
      <c r="AT33" s="469">
        <f>SUM(AT32:AT32)</f>
        <v>0</v>
      </c>
      <c r="AU33" s="469">
        <f>SUM(AU32:AU32)</f>
        <v>0</v>
      </c>
      <c r="AV33" s="469">
        <f>SUM(AV32:AV32)</f>
        <v>0</v>
      </c>
      <c r="AW33" s="469">
        <f>SUM(AW32:AW32)</f>
        <v>0</v>
      </c>
      <c r="AX33" s="469">
        <f>SUM(AX32:AX32)</f>
        <v>0</v>
      </c>
      <c r="AY33" s="469">
        <f>SUM(AY32:AY32)</f>
        <v>0</v>
      </c>
      <c r="AZ33" s="469">
        <f>SUM(AZ32:AZ32)</f>
        <v>0</v>
      </c>
      <c r="BA33" s="469">
        <f>SUM(BA32:BA32)</f>
        <v>0</v>
      </c>
      <c r="BB33" s="469">
        <f>SUM(BB32:BB32)</f>
        <v>0</v>
      </c>
      <c r="BC33" s="469">
        <f>SUM(BC32:BC32)</f>
        <v>0</v>
      </c>
      <c r="BD33" s="469">
        <f>SUM(BD32:BD32)</f>
        <v>0</v>
      </c>
      <c r="BE33" s="469">
        <f>SUM(BE32:BE32)</f>
        <v>0</v>
      </c>
      <c r="BF33" s="469">
        <f>SUM(BF32:BF32)</f>
        <v>0</v>
      </c>
      <c r="BG33" s="469">
        <f>SUM(BG32:BG32)</f>
        <v>0</v>
      </c>
      <c r="BH33" s="469">
        <f>SUM(BH32:BH32)</f>
        <v>0</v>
      </c>
      <c r="BI33" s="469">
        <f>SUM(BI32:BI32)</f>
        <v>0</v>
      </c>
      <c r="BJ33" s="469">
        <f>SUM(BJ32:BJ32)</f>
        <v>0</v>
      </c>
      <c r="BK33" s="469">
        <f>SUM(BK32:BK32)</f>
        <v>0</v>
      </c>
      <c r="BL33" s="469">
        <f>SUM(BL32:BL32)</f>
        <v>0</v>
      </c>
      <c r="BM33" s="469">
        <f>SUM(BM32:BM32)</f>
        <v>0</v>
      </c>
      <c r="BN33" s="469">
        <f>SUM(BN32:BN32)</f>
        <v>0</v>
      </c>
      <c r="BO33" s="469">
        <f>SUM(BO32:BO32)</f>
        <v>0</v>
      </c>
      <c r="BP33" s="469">
        <f>SUM(BP32:BP32)</f>
        <v>0</v>
      </c>
      <c r="BQ33" s="469">
        <f>SUM(BQ32:BQ32)</f>
        <v>0</v>
      </c>
      <c r="BR33" s="469">
        <f>SUM(BR32:BR32)</f>
        <v>0</v>
      </c>
      <c r="BS33" s="469">
        <f>SUM(BS32:BS32)</f>
        <v>0</v>
      </c>
      <c r="BT33" s="469">
        <f>SUM(BT32:BT32)</f>
        <v>0</v>
      </c>
      <c r="BU33" s="469">
        <f>SUM(BU32:BU32)</f>
        <v>0</v>
      </c>
      <c r="BV33" s="469">
        <f>SUM(BV32:BV32)</f>
        <v>0</v>
      </c>
      <c r="BW33" s="469">
        <f>SUM(BW32:BW32)</f>
        <v>0</v>
      </c>
      <c r="BX33" s="469">
        <f>SUM(BX32:BX32)</f>
        <v>0</v>
      </c>
      <c r="BY33" s="469">
        <f>SUM(BY32:BY32)</f>
        <v>0</v>
      </c>
      <c r="BZ33" s="469">
        <f>SUM(BZ32:BZ32)</f>
        <v>0</v>
      </c>
      <c r="CA33" s="469">
        <f>SUM(CA32:CA32)</f>
        <v>0</v>
      </c>
      <c r="CB33" s="469">
        <f>SUM(CB32:CB32)</f>
        <v>0</v>
      </c>
      <c r="CC33" s="469">
        <f>SUM(CC32:CC32)</f>
        <v>0</v>
      </c>
      <c r="CD33" s="469">
        <f>SUM(CD32:CD32)</f>
        <v>0</v>
      </c>
      <c r="CE33" s="469">
        <f>SUM(CE32:CE32)</f>
        <v>0</v>
      </c>
      <c r="CF33" s="469">
        <f>SUM(CF32:CF32)</f>
        <v>0</v>
      </c>
      <c r="CG33" s="469">
        <f>SUM(CG32:CG32)</f>
        <v>0</v>
      </c>
      <c r="CH33" s="469">
        <f>SUM(CH32:CH32)</f>
        <v>0</v>
      </c>
      <c r="CI33" s="469">
        <f>SUM(CI32:CI32)</f>
        <v>0</v>
      </c>
      <c r="CJ33" s="469">
        <f>SUM(CJ32:CJ32)</f>
        <v>0</v>
      </c>
      <c r="CK33" s="469">
        <f>SUM(CK32:CK32)</f>
        <v>0</v>
      </c>
      <c r="CL33" s="469">
        <f>SUM(CL32:CL32)</f>
        <v>0</v>
      </c>
      <c r="CM33" s="469">
        <f>SUM(CM32:CM32)</f>
        <v>0</v>
      </c>
    </row>
    <row r="34" spans="41:91" x14ac:dyDescent="0.3">
      <c r="AR34" t="s">
        <v>307</v>
      </c>
      <c r="AS34" s="462">
        <f>SUMIFS(AS2:AS25,G2:G25,"GVEA",E2:E25,"0494",F2:F25,"00",AT2:AT25,1)</f>
        <v>0</v>
      </c>
      <c r="AT34" s="462">
        <f>SUMIFS(AS2:AS25,G2:G25,"GVEA",E2:E25,"0494",F2:F25,"00",AT2:AT25,3)</f>
        <v>0</v>
      </c>
      <c r="AU34" s="462">
        <f>SUMIFS(AU2:AU25,G2:G25,"GVEA",E2:E25,"0494",F2:F25,"00")</f>
        <v>0</v>
      </c>
      <c r="AV34" s="462">
        <f>SUMIFS(AV2:AV25,G2:G25,"GVEA",E2:E25,"0494",F2:F25,"00")</f>
        <v>0</v>
      </c>
      <c r="AW34" s="462">
        <f>SUMIFS(AW2:AW25,G2:G25,"GVEA",E2:E25,"0494",F2:F25,"00")</f>
        <v>0</v>
      </c>
      <c r="AX34" s="462">
        <f>SUMIFS(AX2:AX25,G2:G25,"GVEA",E2:E25,"0494",F2:F25,"00")</f>
        <v>0</v>
      </c>
      <c r="AY34" s="462">
        <f>SUMIFS(AY2:AY25,G2:G25,"GVEA",E2:E25,"0494",F2:F25,"00")</f>
        <v>0</v>
      </c>
      <c r="AZ34" s="462">
        <f>SUMIFS(AZ2:AZ25,G2:G25,"GVEA",E2:E25,"0494",F2:F25,"00")</f>
        <v>0</v>
      </c>
      <c r="BA34" s="462">
        <f>SUMIFS(BA2:BA25,G2:G25,"GVEA",E2:E25,"0494",F2:F25,"00")</f>
        <v>0</v>
      </c>
      <c r="BB34" s="462">
        <f>SUMIFS(BB2:BB25,G2:G25,"GVEA",E2:E25,"0494",F2:F25,"00")</f>
        <v>0</v>
      </c>
      <c r="BC34" s="462">
        <f>SUMIFS(BC2:BC25,G2:G25,"GVEA",E2:E25,"0494",F2:F25,"00")</f>
        <v>0</v>
      </c>
      <c r="BD34" s="462">
        <f>SUMIFS(BD2:BD25,G2:G25,"GVEA",E2:E25,"0494",F2:F25,"00")</f>
        <v>0</v>
      </c>
      <c r="BE34" s="462">
        <f>SUMIFS(BE2:BE25,G2:G25,"GVEA",E2:E25,"0494",F2:F25,"00")</f>
        <v>0</v>
      </c>
      <c r="BF34" s="462">
        <f>SUMIFS(BF2:BF25,G2:G25,"GVEA",E2:E25,"0494",F2:F25,"00")</f>
        <v>0</v>
      </c>
      <c r="BG34" s="462">
        <f>SUMIFS(BG2:BG25,G2:G25,"GVEA",E2:E25,"0494",F2:F25,"00")</f>
        <v>0</v>
      </c>
      <c r="BH34" s="462">
        <f>SUMIFS(BH2:BH25,G2:G25,"GVEA",E2:E25,"0494",F2:F25,"00")</f>
        <v>0</v>
      </c>
      <c r="BI34" s="462">
        <f>SUMIFS(BI2:BI25,G2:G25,"GVEA",E2:E25,"0494",F2:F25,"00")</f>
        <v>0</v>
      </c>
      <c r="BJ34" s="462">
        <f>SUMIFS(BJ2:BJ25,G2:G25,"GVEA",E2:E25,"0494",F2:F25,"00")</f>
        <v>0</v>
      </c>
      <c r="BK34" s="462">
        <f>SUMIFS(BK2:BK25,G2:G25,"GVEA",E2:E25,"0494",F2:F25,"00")</f>
        <v>0</v>
      </c>
      <c r="BL34" s="462">
        <f>SUMIFS(BL2:BL25,G2:G25,"GVEA",E2:E25,"0494",F2:F25,"00")</f>
        <v>0</v>
      </c>
      <c r="BM34" s="462">
        <f>SUMIFS(BM2:BM25,G2:G25,"GVEA",E2:E25,"0494",F2:F25,"00")</f>
        <v>0</v>
      </c>
      <c r="BN34" s="462">
        <f>SUMIFS(BN2:BN25,G2:G25,"GVEA",E2:E25,"0494",F2:F25,"00")</f>
        <v>0</v>
      </c>
      <c r="BO34" s="462">
        <f>SUMIFS(BO2:BO25,G2:G25,"GVEA",E2:E25,"0494",F2:F25,"00")</f>
        <v>0</v>
      </c>
      <c r="BP34" s="462">
        <f>SUMIFS(BP2:BP25,G2:G25,"GVEA",E2:E25,"0494",F2:F25,"00")</f>
        <v>0</v>
      </c>
      <c r="BQ34" s="462">
        <f>SUMIFS(BQ2:BQ25,G2:G25,"GVEA",E2:E25,"0494",F2:F25,"00")</f>
        <v>0</v>
      </c>
      <c r="BR34" s="462">
        <f>SUMIFS(BR2:BR25,G2:G25,"GVEA",E2:E25,"0494",F2:F25,"00")</f>
        <v>0</v>
      </c>
      <c r="BS34" s="462">
        <f>SUMIFS(BS2:BS25,G2:G25,"GVEA",E2:E25,"0494",F2:F25,"00")</f>
        <v>0</v>
      </c>
      <c r="BT34" s="462">
        <f>SUMIFS(BT2:BT25,G2:G25,"GVEA",E2:E25,"0494",F2:F25,"00")</f>
        <v>0</v>
      </c>
      <c r="BU34" s="462">
        <f>SUMIFS(BU2:BU25,G2:G25,"GVEA",E2:E25,"0494",F2:F25,"00")</f>
        <v>0</v>
      </c>
      <c r="BV34" s="462">
        <f>SUMIFS(BV2:BV25,G2:G25,"GVEA",E2:E25,"0494",F2:F25,"00")</f>
        <v>0</v>
      </c>
      <c r="BW34" s="462">
        <f>SUMIFS(BW2:BW25,G2:G25,"GVEA",E2:E25,"0494",F2:F25,"00")</f>
        <v>0</v>
      </c>
      <c r="BX34" s="462">
        <f>SUMIFS(BX2:BX25,G2:G25,"GVEA",E2:E25,"0494",F2:F25,"00")</f>
        <v>0</v>
      </c>
      <c r="BY34" s="462">
        <f>SUMIFS(BY2:BY25,G2:G25,"GVEA",E2:E25,"0494",F2:F25,"00")</f>
        <v>0</v>
      </c>
      <c r="BZ34" s="462">
        <f>SUMIFS(BZ2:BZ25,G2:G25,"GVEA",E2:E25,"0494",F2:F25,"00")</f>
        <v>0</v>
      </c>
      <c r="CA34" s="462">
        <f>SUMIFS(CA2:CA25,G2:G25,"GVEA",E2:E25,"0494",F2:F25,"00")</f>
        <v>0</v>
      </c>
      <c r="CB34" s="462">
        <f>SUMIFS(CB2:CB25,G2:G25,"GVEA",E2:E25,"0494",F2:F25,"00")</f>
        <v>0</v>
      </c>
      <c r="CC34" s="462">
        <f>SUMIFS(CC2:CC25,G2:G25,"GVEA",E2:E25,"0494",F2:F25,"00")</f>
        <v>0</v>
      </c>
      <c r="CD34" s="462">
        <f>SUMIFS(CD2:CD25,G2:G25,"GVEA",E2:E25,"0494",F2:F25,"00")</f>
        <v>0</v>
      </c>
      <c r="CE34" s="462">
        <f>SUMIFS(CE2:CE25,G2:G25,"GVEA",E2:E25,"0494",F2:F25,"00")</f>
        <v>0</v>
      </c>
      <c r="CF34" s="462">
        <f>SUMIFS(CF2:CF25,G2:G25,"GVEA",E2:E25,"0494",F2:F25,"00")</f>
        <v>0</v>
      </c>
      <c r="CG34" s="462">
        <f>SUMIFS(CG2:CG25,G2:G25,"GVEA",E2:E25,"0494",F2:F25,"00")</f>
        <v>0</v>
      </c>
      <c r="CH34" s="462">
        <f>SUMIFS(CH2:CH25,G2:G25,"GVEA",E2:E25,"0494",F2:F25,"00")</f>
        <v>0</v>
      </c>
      <c r="CI34" s="462">
        <f>SUMIFS(CI2:CI25,G2:G25,"GVEA",E2:E25,"0494",F2:F25,"00")</f>
        <v>0</v>
      </c>
      <c r="CJ34" s="462">
        <f>SUMIFS(CJ2:CJ25,G2:G25,"GVEA",E2:E25,"0494",F2:F25,"00")</f>
        <v>0</v>
      </c>
      <c r="CK34" s="462">
        <f>SUMIFS(CK2:CK25,G2:G25,"GVEA",E2:E25,"0494",F2:F25,"00")</f>
        <v>0</v>
      </c>
      <c r="CL34" s="462">
        <f>SUMIFS(CL2:CL25,G2:G25,"GVEA",E2:E25,"0494",F2:F25,"00")</f>
        <v>0</v>
      </c>
      <c r="CM34" s="462">
        <f>SUMIFS(CM2:CM25,G2:G25,"GVEA",E2:E25,"0494",F2:F25,"00")</f>
        <v>0</v>
      </c>
    </row>
    <row r="35" spans="41:91" ht="15" thickBot="1" x14ac:dyDescent="0.35">
      <c r="AR35" t="s">
        <v>308</v>
      </c>
      <c r="AS35" s="462">
        <f>SUMIFS(AS2:AS25,G2:G25,"GVEA",E2:E25,"0494",F2:F25,"03",AT2:AT25,1)</f>
        <v>0.4</v>
      </c>
      <c r="AT35" s="462">
        <f>SUMIFS(AS2:AS25,G2:G25,"GVEA",E2:E25,"0494",F2:F25,"03",AT2:AT25,3)</f>
        <v>0</v>
      </c>
      <c r="AU35" s="462">
        <f>SUMIFS(AU2:AU25,G2:G25,"GVEA",E2:E25,"0494",F2:F25,"03")</f>
        <v>1</v>
      </c>
      <c r="AV35" s="462">
        <f>SUMIFS(AV2:AV25,G2:G25,"GVEA",E2:E25,"0494",F2:F25,"03")</f>
        <v>0</v>
      </c>
      <c r="AW35" s="462">
        <f>SUMIFS(AW2:AW25,G2:G25,"GVEA",E2:E25,"0494",F2:F25,"03")</f>
        <v>20</v>
      </c>
      <c r="AX35" s="462">
        <f>SUMIFS(AX2:AX25,G2:G25,"GVEA",E2:E25,"0494",F2:F25,"03")</f>
        <v>70865.600000000006</v>
      </c>
      <c r="AY35" s="462">
        <f>SUMIFS(AY2:AY25,G2:G25,"GVEA",E2:E25,"0494",F2:F25,"03")</f>
        <v>28346.240000000002</v>
      </c>
      <c r="AZ35" s="462">
        <f>SUMIFS(AZ2:AZ25,G2:G25,"GVEA",E2:E25,"0494",F2:F25,"03")</f>
        <v>0</v>
      </c>
      <c r="BA35" s="462">
        <f>SUMIFS(BA2:BA25,G2:G25,"GVEA",E2:E25,"0494",F2:F25,"03")</f>
        <v>0</v>
      </c>
      <c r="BB35" s="462">
        <f>SUMIFS(BB2:BB25,G2:G25,"GVEA",E2:E25,"0494",F2:F25,"03")</f>
        <v>4660</v>
      </c>
      <c r="BC35" s="462">
        <f>SUMIFS(BC2:BC25,G2:G25,"GVEA",E2:E25,"0494",F2:F25,"03")</f>
        <v>0</v>
      </c>
      <c r="BD35" s="462">
        <f>SUMIFS(BD2:BD25,G2:G25,"GVEA",E2:E25,"0494",F2:F25,"03")</f>
        <v>1757.4668800000002</v>
      </c>
      <c r="BE35" s="462">
        <f>SUMIFS(BE2:BE25,G2:G25,"GVEA",E2:E25,"0494",F2:F25,"03")</f>
        <v>411.02048000000002</v>
      </c>
      <c r="BF35" s="462">
        <f>SUMIFS(BF2:BF25,G2:G25,"GVEA",E2:E25,"0494",F2:F25,"03")</f>
        <v>3384.5410560000005</v>
      </c>
      <c r="BG35" s="462">
        <f>SUMIFS(BG2:BG25,G2:G25,"GVEA",E2:E25,"0494",F2:F25,"03")</f>
        <v>204.37639040000002</v>
      </c>
      <c r="BH35" s="462">
        <f>SUMIFS(BH2:BH25,G2:G25,"GVEA",E2:E25,"0494",F2:F25,"03")</f>
        <v>138.89657600000001</v>
      </c>
      <c r="BI35" s="462">
        <f>SUMIFS(BI2:BI25,G2:G25,"GVEA",E2:E25,"0494",F2:F25,"03")</f>
        <v>0</v>
      </c>
      <c r="BJ35" s="462">
        <f>SUMIFS(BJ2:BJ25,G2:G25,"GVEA",E2:E25,"0494",F2:F25,"03")</f>
        <v>107.71571200000001</v>
      </c>
      <c r="BK35" s="462">
        <f>SUMIFS(BK2:BK25,G2:G25,"GVEA",E2:E25,"0494",F2:F25,"03")</f>
        <v>0</v>
      </c>
      <c r="BL35" s="462">
        <f>SUMIFS(BL2:BL25,G2:G25,"GVEA",E2:E25,"0494",F2:F25,"03")</f>
        <v>6004.017094400001</v>
      </c>
      <c r="BM35" s="462">
        <f>SUMIFS(BM2:BM25,G2:G25,"GVEA",E2:E25,"0494",F2:F25,"03")</f>
        <v>0</v>
      </c>
      <c r="BN35" s="462">
        <f>SUMIFS(BN2:BN25,G2:G25,"GVEA",E2:E25,"0494",F2:F25,"03")</f>
        <v>4660</v>
      </c>
      <c r="BO35" s="462">
        <f>SUMIFS(BO2:BO25,G2:G25,"GVEA",E2:E25,"0494",F2:F25,"03")</f>
        <v>0</v>
      </c>
      <c r="BP35" s="462">
        <f>SUMIFS(BP2:BP25,G2:G25,"GVEA",E2:E25,"0494",F2:F25,"03")</f>
        <v>1757.4668800000002</v>
      </c>
      <c r="BQ35" s="462">
        <f>SUMIFS(BQ2:BQ25,G2:G25,"GVEA",E2:E25,"0494",F2:F25,"03")</f>
        <v>411.02048000000002</v>
      </c>
      <c r="BR35" s="462">
        <f>SUMIFS(BR2:BR25,G2:G25,"GVEA",E2:E25,"0494",F2:F25,"03")</f>
        <v>3384.5410560000005</v>
      </c>
      <c r="BS35" s="462">
        <f>SUMIFS(BS2:BS25,G2:G25,"GVEA",E2:E25,"0494",F2:F25,"03")</f>
        <v>204.37639040000002</v>
      </c>
      <c r="BT35" s="462">
        <f>SUMIFS(BT2:BT25,G2:G25,"GVEA",E2:E25,"0494",F2:F25,"03")</f>
        <v>0</v>
      </c>
      <c r="BU35" s="462">
        <f>SUMIFS(BU2:BU25,G2:G25,"GVEA",E2:E25,"0494",F2:F25,"03")</f>
        <v>0</v>
      </c>
      <c r="BV35" s="462">
        <f>SUMIFS(BV2:BV25,G2:G25,"GVEA",E2:E25,"0494",F2:F25,"03")</f>
        <v>102.046464</v>
      </c>
      <c r="BW35" s="462">
        <f>SUMIFS(BW2:BW25,G2:G25,"GVEA",E2:E25,"0494",F2:F25,"03")</f>
        <v>0</v>
      </c>
      <c r="BX35" s="462">
        <f>SUMIFS(BX2:BX25,G2:G25,"GVEA",E2:E25,"0494",F2:F25,"03")</f>
        <v>5859.4512704000008</v>
      </c>
      <c r="BY35" s="462">
        <f>SUMIFS(BY2:BY25,G2:G25,"GVEA",E2:E25,"0494",F2:F25,"03")</f>
        <v>0</v>
      </c>
      <c r="BZ35" s="462">
        <f>SUMIFS(BZ2:BZ25,G2:G25,"GVEA",E2:E25,"0494",F2:F25,"03")</f>
        <v>0</v>
      </c>
      <c r="CA35" s="462">
        <f>SUMIFS(CA2:CA25,G2:G25,"GVEA",E2:E25,"0494",F2:F25,"03")</f>
        <v>0</v>
      </c>
      <c r="CB35" s="462">
        <f>SUMIFS(CB2:CB25,G2:G25,"GVEA",E2:E25,"0494",F2:F25,"03")</f>
        <v>0</v>
      </c>
      <c r="CC35" s="462">
        <f>SUMIFS(CC2:CC25,G2:G25,"GVEA",E2:E25,"0494",F2:F25,"03")</f>
        <v>0</v>
      </c>
      <c r="CD35" s="462">
        <f>SUMIFS(CD2:CD25,G2:G25,"GVEA",E2:E25,"0494",F2:F25,"03")</f>
        <v>0</v>
      </c>
      <c r="CE35" s="462">
        <f>SUMIFS(CE2:CE25,G2:G25,"GVEA",E2:E25,"0494",F2:F25,"03")</f>
        <v>0</v>
      </c>
      <c r="CF35" s="462">
        <f>SUMIFS(CF2:CF25,G2:G25,"GVEA",E2:E25,"0494",F2:F25,"03")</f>
        <v>-138.89657600000001</v>
      </c>
      <c r="CG35" s="462">
        <f>SUMIFS(CG2:CG25,G2:G25,"GVEA",E2:E25,"0494",F2:F25,"03")</f>
        <v>0</v>
      </c>
      <c r="CH35" s="462">
        <f>SUMIFS(CH2:CH25,G2:G25,"GVEA",E2:E25,"0494",F2:F25,"03")</f>
        <v>-5.6692480000000032</v>
      </c>
      <c r="CI35" s="462">
        <f>SUMIFS(CI2:CI25,G2:G25,"GVEA",E2:E25,"0494",F2:F25,"03")</f>
        <v>0</v>
      </c>
      <c r="CJ35" s="462">
        <f>SUMIFS(CJ2:CJ25,G2:G25,"GVEA",E2:E25,"0494",F2:F25,"03")</f>
        <v>-144.56582400000002</v>
      </c>
      <c r="CK35" s="462">
        <f>SUMIFS(CK2:CK25,G2:G25,"GVEA",E2:E25,"0494",F2:F25,"03")</f>
        <v>0</v>
      </c>
      <c r="CL35" s="462">
        <f>SUMIFS(CL2:CL25,G2:G25,"GVEA",E2:E25,"0494",F2:F25,"03")</f>
        <v>0</v>
      </c>
      <c r="CM35" s="462">
        <f>SUMIFS(CM2:CM25,G2:G25,"GVEA",E2:E25,"0494",F2:F25,"03")</f>
        <v>0</v>
      </c>
    </row>
    <row r="36" spans="41:91" ht="18" x14ac:dyDescent="0.35">
      <c r="AQ36" s="468" t="s">
        <v>309</v>
      </c>
      <c r="AS36" s="469">
        <f>SUM(AS34:AS35)</f>
        <v>0.4</v>
      </c>
      <c r="AT36" s="469">
        <f>SUM(AT34:AT35)</f>
        <v>0</v>
      </c>
      <c r="AU36" s="469">
        <f>SUM(AU34:AU35)</f>
        <v>1</v>
      </c>
      <c r="AV36" s="469">
        <f>SUM(AV34:AV35)</f>
        <v>0</v>
      </c>
      <c r="AW36" s="469">
        <f>SUM(AW34:AW35)</f>
        <v>20</v>
      </c>
      <c r="AX36" s="469">
        <f>SUM(AX34:AX35)</f>
        <v>70865.600000000006</v>
      </c>
      <c r="AY36" s="469">
        <f>SUM(AY34:AY35)</f>
        <v>28346.240000000002</v>
      </c>
      <c r="AZ36" s="469">
        <f>SUM(AZ34:AZ35)</f>
        <v>0</v>
      </c>
      <c r="BA36" s="469">
        <f>SUM(BA34:BA35)</f>
        <v>0</v>
      </c>
      <c r="BB36" s="469">
        <f>SUM(BB34:BB35)</f>
        <v>4660</v>
      </c>
      <c r="BC36" s="469">
        <f>SUM(BC34:BC35)</f>
        <v>0</v>
      </c>
      <c r="BD36" s="469">
        <f>SUM(BD34:BD35)</f>
        <v>1757.4668800000002</v>
      </c>
      <c r="BE36" s="469">
        <f>SUM(BE34:BE35)</f>
        <v>411.02048000000002</v>
      </c>
      <c r="BF36" s="469">
        <f>SUM(BF34:BF35)</f>
        <v>3384.5410560000005</v>
      </c>
      <c r="BG36" s="469">
        <f>SUM(BG34:BG35)</f>
        <v>204.37639040000002</v>
      </c>
      <c r="BH36" s="469">
        <f>SUM(BH34:BH35)</f>
        <v>138.89657600000001</v>
      </c>
      <c r="BI36" s="469">
        <f>SUM(BI34:BI35)</f>
        <v>0</v>
      </c>
      <c r="BJ36" s="469">
        <f>SUM(BJ34:BJ35)</f>
        <v>107.71571200000001</v>
      </c>
      <c r="BK36" s="469">
        <f>SUM(BK34:BK35)</f>
        <v>0</v>
      </c>
      <c r="BL36" s="469">
        <f>SUM(BL34:BL35)</f>
        <v>6004.017094400001</v>
      </c>
      <c r="BM36" s="469">
        <f>SUM(BM34:BM35)</f>
        <v>0</v>
      </c>
      <c r="BN36" s="469">
        <f>SUM(BN34:BN35)</f>
        <v>4660</v>
      </c>
      <c r="BO36" s="469">
        <f>SUM(BO34:BO35)</f>
        <v>0</v>
      </c>
      <c r="BP36" s="469">
        <f>SUM(BP34:BP35)</f>
        <v>1757.4668800000002</v>
      </c>
      <c r="BQ36" s="469">
        <f>SUM(BQ34:BQ35)</f>
        <v>411.02048000000002</v>
      </c>
      <c r="BR36" s="469">
        <f>SUM(BR34:BR35)</f>
        <v>3384.5410560000005</v>
      </c>
      <c r="BS36" s="469">
        <f>SUM(BS34:BS35)</f>
        <v>204.37639040000002</v>
      </c>
      <c r="BT36" s="469">
        <f>SUM(BT34:BT35)</f>
        <v>0</v>
      </c>
      <c r="BU36" s="469">
        <f>SUM(BU34:BU35)</f>
        <v>0</v>
      </c>
      <c r="BV36" s="469">
        <f>SUM(BV34:BV35)</f>
        <v>102.046464</v>
      </c>
      <c r="BW36" s="469">
        <f>SUM(BW34:BW35)</f>
        <v>0</v>
      </c>
      <c r="BX36" s="469">
        <f>SUM(BX34:BX35)</f>
        <v>5859.4512704000008</v>
      </c>
      <c r="BY36" s="469">
        <f>SUM(BY34:BY35)</f>
        <v>0</v>
      </c>
      <c r="BZ36" s="469">
        <f>SUM(BZ34:BZ35)</f>
        <v>0</v>
      </c>
      <c r="CA36" s="469">
        <f>SUM(CA34:CA35)</f>
        <v>0</v>
      </c>
      <c r="CB36" s="469">
        <f>SUM(CB34:CB35)</f>
        <v>0</v>
      </c>
      <c r="CC36" s="469">
        <f>SUM(CC34:CC35)</f>
        <v>0</v>
      </c>
      <c r="CD36" s="469">
        <f>SUM(CD34:CD35)</f>
        <v>0</v>
      </c>
      <c r="CE36" s="469">
        <f>SUM(CE34:CE35)</f>
        <v>0</v>
      </c>
      <c r="CF36" s="469">
        <f>SUM(CF34:CF35)</f>
        <v>-138.89657600000001</v>
      </c>
      <c r="CG36" s="469">
        <f>SUM(CG34:CG35)</f>
        <v>0</v>
      </c>
      <c r="CH36" s="469">
        <f>SUM(CH34:CH35)</f>
        <v>-5.6692480000000032</v>
      </c>
      <c r="CI36" s="469">
        <f>SUM(CI34:CI35)</f>
        <v>0</v>
      </c>
      <c r="CJ36" s="469">
        <f>SUM(CJ34:CJ35)</f>
        <v>-144.56582400000002</v>
      </c>
      <c r="CK36" s="469">
        <f>SUM(CK34:CK35)</f>
        <v>0</v>
      </c>
      <c r="CL36" s="469">
        <f>SUM(CL34:CL35)</f>
        <v>0</v>
      </c>
      <c r="CM36" s="469">
        <f>SUM(CM34:CM35)</f>
        <v>0</v>
      </c>
    </row>
    <row r="37" spans="41:91" ht="15" thickBot="1" x14ac:dyDescent="0.35">
      <c r="AR37" t="s">
        <v>314</v>
      </c>
      <c r="AS37" s="462">
        <f>SUMIFS(AS2:AS25,G2:G25,"GVEB",E2:E25,"0199",F2:F25,"00",AT2:AT25,1)</f>
        <v>2.0999999999999996</v>
      </c>
      <c r="AT37" s="462">
        <f>SUMIFS(AS2:AS25,G2:G25,"GVEB",E2:E25,"0199",F2:F25,"00",AT2:AT25,3)</f>
        <v>0</v>
      </c>
      <c r="AU37" s="462">
        <f>SUMIFS(AU2:AU25,G2:G25,"GVEB",E2:E25,"0199",F2:F25,"00")</f>
        <v>3</v>
      </c>
      <c r="AV37" s="462">
        <f>SUMIFS(AV2:AV25,G2:G25,"GVEB",E2:E25,"0199",F2:F25,"00")</f>
        <v>0</v>
      </c>
      <c r="AW37" s="462">
        <f>SUMIFS(AW2:AW25,G2:G25,"GVEB",E2:E25,"0199",F2:F25,"00")</f>
        <v>14</v>
      </c>
      <c r="AX37" s="462">
        <f>SUMIFS(AX2:AX25,G2:G25,"GVEB",E2:E25,"0199",F2:F25,"00")</f>
        <v>231524.8</v>
      </c>
      <c r="AY37" s="462">
        <f>SUMIFS(AY2:AY25,G2:G25,"GVEB",E2:E25,"0199",F2:F25,"00")</f>
        <v>158052.96000000002</v>
      </c>
      <c r="AZ37" s="462">
        <f>SUMIFS(AZ2:AZ25,G2:G25,"GVEB",E2:E25,"0199",F2:F25,"00")</f>
        <v>0</v>
      </c>
      <c r="BA37" s="462">
        <f>SUMIFS(BA2:BA25,G2:G25,"GVEB",E2:E25,"0199",F2:F25,"00")</f>
        <v>0</v>
      </c>
      <c r="BB37" s="462">
        <f>SUMIFS(BB2:BB25,G2:G25,"GVEB",E2:E25,"0199",F2:F25,"00")</f>
        <v>24465</v>
      </c>
      <c r="BC37" s="462">
        <f>SUMIFS(BC2:BC25,G2:G25,"GVEB",E2:E25,"0199",F2:F25,"00")</f>
        <v>0</v>
      </c>
      <c r="BD37" s="462">
        <f>SUMIFS(BD2:BD25,G2:G25,"GVEB",E2:E25,"0199",F2:F25,"00")</f>
        <v>9799.2835200000009</v>
      </c>
      <c r="BE37" s="462">
        <f>SUMIFS(BE2:BE25,G2:G25,"GVEB",E2:E25,"0199",F2:F25,"00")</f>
        <v>2291.7679200000002</v>
      </c>
      <c r="BF37" s="462">
        <f>SUMIFS(BF2:BF25,G2:G25,"GVEB",E2:E25,"0199",F2:F25,"00")</f>
        <v>18871.523423999999</v>
      </c>
      <c r="BG37" s="462">
        <f>SUMIFS(BG2:BG25,G2:G25,"GVEB",E2:E25,"0199",F2:F25,"00")</f>
        <v>1139.5618416000002</v>
      </c>
      <c r="BH37" s="462">
        <f>SUMIFS(BH2:BH25,G2:G25,"GVEB",E2:E25,"0199",F2:F25,"00")</f>
        <v>405.89639999999997</v>
      </c>
      <c r="BI37" s="462">
        <f>SUMIFS(BI2:BI25,G2:G25,"GVEB",E2:E25,"0199",F2:F25,"00")</f>
        <v>0</v>
      </c>
      <c r="BJ37" s="462">
        <f>SUMIFS(BJ2:BJ25,G2:G25,"GVEB",E2:E25,"0199",F2:F25,"00")</f>
        <v>600.60124799999994</v>
      </c>
      <c r="BK37" s="462">
        <f>SUMIFS(BK2:BK25,G2:G25,"GVEB",E2:E25,"0199",F2:F25,"00")</f>
        <v>0</v>
      </c>
      <c r="BL37" s="462">
        <f>SUMIFS(BL2:BL25,G2:G25,"GVEB",E2:E25,"0199",F2:F25,"00")</f>
        <v>33108.634353599999</v>
      </c>
      <c r="BM37" s="462">
        <f>SUMIFS(BM2:BM25,G2:G25,"GVEB",E2:E25,"0199",F2:F25,"00")</f>
        <v>0</v>
      </c>
      <c r="BN37" s="462">
        <f>SUMIFS(BN2:BN25,G2:G25,"GVEB",E2:E25,"0199",F2:F25,"00")</f>
        <v>24465</v>
      </c>
      <c r="BO37" s="462">
        <f>SUMIFS(BO2:BO25,G2:G25,"GVEB",E2:E25,"0199",F2:F25,"00")</f>
        <v>0</v>
      </c>
      <c r="BP37" s="462">
        <f>SUMIFS(BP2:BP25,G2:G25,"GVEB",E2:E25,"0199",F2:F25,"00")</f>
        <v>9799.2835200000009</v>
      </c>
      <c r="BQ37" s="462">
        <f>SUMIFS(BQ2:BQ25,G2:G25,"GVEB",E2:E25,"0199",F2:F25,"00")</f>
        <v>2291.7679200000002</v>
      </c>
      <c r="BR37" s="462">
        <f>SUMIFS(BR2:BR25,G2:G25,"GVEB",E2:E25,"0199",F2:F25,"00")</f>
        <v>18871.523423999999</v>
      </c>
      <c r="BS37" s="462">
        <f>SUMIFS(BS2:BS25,G2:G25,"GVEB",E2:E25,"0199",F2:F25,"00")</f>
        <v>1139.5618416000002</v>
      </c>
      <c r="BT37" s="462">
        <f>SUMIFS(BT2:BT25,G2:G25,"GVEB",E2:E25,"0199",F2:F25,"00")</f>
        <v>0</v>
      </c>
      <c r="BU37" s="462">
        <f>SUMIFS(BU2:BU25,G2:G25,"GVEB",E2:E25,"0199",F2:F25,"00")</f>
        <v>0</v>
      </c>
      <c r="BV37" s="462">
        <f>SUMIFS(BV2:BV25,G2:G25,"GVEB",E2:E25,"0199",F2:F25,"00")</f>
        <v>568.99065600000006</v>
      </c>
      <c r="BW37" s="462">
        <f>SUMIFS(BW2:BW25,G2:G25,"GVEB",E2:E25,"0199",F2:F25,"00")</f>
        <v>0</v>
      </c>
      <c r="BX37" s="462">
        <f>SUMIFS(BX2:BX25,G2:G25,"GVEB",E2:E25,"0199",F2:F25,"00")</f>
        <v>32671.1273616</v>
      </c>
      <c r="BY37" s="462">
        <f>SUMIFS(BY2:BY25,G2:G25,"GVEB",E2:E25,"0199",F2:F25,"00")</f>
        <v>0</v>
      </c>
      <c r="BZ37" s="462">
        <f>SUMIFS(BZ2:BZ25,G2:G25,"GVEB",E2:E25,"0199",F2:F25,"00")</f>
        <v>0</v>
      </c>
      <c r="CA37" s="462">
        <f>SUMIFS(CA2:CA25,G2:G25,"GVEB",E2:E25,"0199",F2:F25,"00")</f>
        <v>0</v>
      </c>
      <c r="CB37" s="462">
        <f>SUMIFS(CB2:CB25,G2:G25,"GVEB",E2:E25,"0199",F2:F25,"00")</f>
        <v>0</v>
      </c>
      <c r="CC37" s="462">
        <f>SUMIFS(CC2:CC25,G2:G25,"GVEB",E2:E25,"0199",F2:F25,"00")</f>
        <v>0</v>
      </c>
      <c r="CD37" s="462">
        <f>SUMIFS(CD2:CD25,G2:G25,"GVEB",E2:E25,"0199",F2:F25,"00")</f>
        <v>0</v>
      </c>
      <c r="CE37" s="462">
        <f>SUMIFS(CE2:CE25,G2:G25,"GVEB",E2:E25,"0199",F2:F25,"00")</f>
        <v>0</v>
      </c>
      <c r="CF37" s="462">
        <f>SUMIFS(CF2:CF25,G2:G25,"GVEB",E2:E25,"0199",F2:F25,"00")</f>
        <v>-405.89639999999997</v>
      </c>
      <c r="CG37" s="462">
        <f>SUMIFS(CG2:CG25,G2:G25,"GVEB",E2:E25,"0199",F2:F25,"00")</f>
        <v>0</v>
      </c>
      <c r="CH37" s="462">
        <f>SUMIFS(CH2:CH25,G2:G25,"GVEB",E2:E25,"0199",F2:F25,"00")</f>
        <v>-31.610592000000015</v>
      </c>
      <c r="CI37" s="462">
        <f>SUMIFS(CI2:CI25,G2:G25,"GVEB",E2:E25,"0199",F2:F25,"00")</f>
        <v>0</v>
      </c>
      <c r="CJ37" s="462">
        <f>SUMIFS(CJ2:CJ25,G2:G25,"GVEB",E2:E25,"0199",F2:F25,"00")</f>
        <v>-437.50699200000003</v>
      </c>
      <c r="CK37" s="462">
        <f>SUMIFS(CK2:CK25,G2:G25,"GVEB",E2:E25,"0199",F2:F25,"00")</f>
        <v>0</v>
      </c>
      <c r="CL37" s="462">
        <f>SUMIFS(CL2:CL25,G2:G25,"GVEB",E2:E25,"0199",F2:F25,"00")</f>
        <v>0</v>
      </c>
      <c r="CM37" s="462">
        <f>SUMIFS(CM2:CM25,G2:G25,"GVEB",E2:E25,"0199",F2:F25,"00")</f>
        <v>0</v>
      </c>
    </row>
    <row r="38" spans="41:91" ht="18" x14ac:dyDescent="0.35">
      <c r="AQ38" s="468" t="s">
        <v>315</v>
      </c>
      <c r="AS38" s="469">
        <f>SUM(AS37:AS37)</f>
        <v>2.0999999999999996</v>
      </c>
      <c r="AT38" s="469">
        <f>SUM(AT37:AT37)</f>
        <v>0</v>
      </c>
      <c r="AU38" s="469">
        <f>SUM(AU37:AU37)</f>
        <v>3</v>
      </c>
      <c r="AV38" s="469">
        <f>SUM(AV37:AV37)</f>
        <v>0</v>
      </c>
      <c r="AW38" s="469">
        <f>SUM(AW37:AW37)</f>
        <v>14</v>
      </c>
      <c r="AX38" s="469">
        <f>SUM(AX37:AX37)</f>
        <v>231524.8</v>
      </c>
      <c r="AY38" s="469">
        <f>SUM(AY37:AY37)</f>
        <v>158052.96000000002</v>
      </c>
      <c r="AZ38" s="469">
        <f>SUM(AZ37:AZ37)</f>
        <v>0</v>
      </c>
      <c r="BA38" s="469">
        <f>SUM(BA37:BA37)</f>
        <v>0</v>
      </c>
      <c r="BB38" s="469">
        <f>SUM(BB37:BB37)</f>
        <v>24465</v>
      </c>
      <c r="BC38" s="469">
        <f>SUM(BC37:BC37)</f>
        <v>0</v>
      </c>
      <c r="BD38" s="469">
        <f>SUM(BD37:BD37)</f>
        <v>9799.2835200000009</v>
      </c>
      <c r="BE38" s="469">
        <f>SUM(BE37:BE37)</f>
        <v>2291.7679200000002</v>
      </c>
      <c r="BF38" s="469">
        <f>SUM(BF37:BF37)</f>
        <v>18871.523423999999</v>
      </c>
      <c r="BG38" s="469">
        <f>SUM(BG37:BG37)</f>
        <v>1139.5618416000002</v>
      </c>
      <c r="BH38" s="469">
        <f>SUM(BH37:BH37)</f>
        <v>405.89639999999997</v>
      </c>
      <c r="BI38" s="469">
        <f>SUM(BI37:BI37)</f>
        <v>0</v>
      </c>
      <c r="BJ38" s="469">
        <f>SUM(BJ37:BJ37)</f>
        <v>600.60124799999994</v>
      </c>
      <c r="BK38" s="469">
        <f>SUM(BK37:BK37)</f>
        <v>0</v>
      </c>
      <c r="BL38" s="469">
        <f>SUM(BL37:BL37)</f>
        <v>33108.634353599999</v>
      </c>
      <c r="BM38" s="469">
        <f>SUM(BM37:BM37)</f>
        <v>0</v>
      </c>
      <c r="BN38" s="469">
        <f>SUM(BN37:BN37)</f>
        <v>24465</v>
      </c>
      <c r="BO38" s="469">
        <f>SUM(BO37:BO37)</f>
        <v>0</v>
      </c>
      <c r="BP38" s="469">
        <f>SUM(BP37:BP37)</f>
        <v>9799.2835200000009</v>
      </c>
      <c r="BQ38" s="469">
        <f>SUM(BQ37:BQ37)</f>
        <v>2291.7679200000002</v>
      </c>
      <c r="BR38" s="469">
        <f>SUM(BR37:BR37)</f>
        <v>18871.523423999999</v>
      </c>
      <c r="BS38" s="469">
        <f>SUM(BS37:BS37)</f>
        <v>1139.5618416000002</v>
      </c>
      <c r="BT38" s="469">
        <f>SUM(BT37:BT37)</f>
        <v>0</v>
      </c>
      <c r="BU38" s="469">
        <f>SUM(BU37:BU37)</f>
        <v>0</v>
      </c>
      <c r="BV38" s="469">
        <f>SUM(BV37:BV37)</f>
        <v>568.99065600000006</v>
      </c>
      <c r="BW38" s="469">
        <f>SUM(BW37:BW37)</f>
        <v>0</v>
      </c>
      <c r="BX38" s="469">
        <f>SUM(BX37:BX37)</f>
        <v>32671.1273616</v>
      </c>
      <c r="BY38" s="469">
        <f>SUM(BY37:BY37)</f>
        <v>0</v>
      </c>
      <c r="BZ38" s="469">
        <f>SUM(BZ37:BZ37)</f>
        <v>0</v>
      </c>
      <c r="CA38" s="469">
        <f>SUM(CA37:CA37)</f>
        <v>0</v>
      </c>
      <c r="CB38" s="469">
        <f>SUM(CB37:CB37)</f>
        <v>0</v>
      </c>
      <c r="CC38" s="469">
        <f>SUM(CC37:CC37)</f>
        <v>0</v>
      </c>
      <c r="CD38" s="469">
        <f>SUM(CD37:CD37)</f>
        <v>0</v>
      </c>
      <c r="CE38" s="469">
        <f>SUM(CE37:CE37)</f>
        <v>0</v>
      </c>
      <c r="CF38" s="469">
        <f>SUM(CF37:CF37)</f>
        <v>-405.89639999999997</v>
      </c>
      <c r="CG38" s="469">
        <f>SUM(CG37:CG37)</f>
        <v>0</v>
      </c>
      <c r="CH38" s="469">
        <f>SUM(CH37:CH37)</f>
        <v>-31.610592000000015</v>
      </c>
      <c r="CI38" s="469">
        <f>SUM(CI37:CI37)</f>
        <v>0</v>
      </c>
      <c r="CJ38" s="469">
        <f>SUM(CJ37:CJ37)</f>
        <v>-437.50699200000003</v>
      </c>
      <c r="CK38" s="469">
        <f>SUM(CK37:CK37)</f>
        <v>0</v>
      </c>
      <c r="CL38" s="469">
        <f>SUM(CL37:CL37)</f>
        <v>0</v>
      </c>
      <c r="CM38" s="469">
        <f>SUM(CM37:CM37)</f>
        <v>0</v>
      </c>
    </row>
    <row r="40" spans="41:91" ht="21" x14ac:dyDescent="0.4">
      <c r="AO40" s="251" t="s">
        <v>97</v>
      </c>
      <c r="AP40" s="251"/>
      <c r="AQ40" s="251"/>
    </row>
    <row r="42" spans="41:91" ht="21" x14ac:dyDescent="0.4">
      <c r="AO42" s="252"/>
      <c r="AP42" s="252"/>
      <c r="AQ42" s="252"/>
    </row>
    <row r="43" spans="41:91" ht="15.6" x14ac:dyDescent="0.3">
      <c r="AS43" s="373" t="s">
        <v>83</v>
      </c>
      <c r="AT43" s="455" t="s">
        <v>323</v>
      </c>
      <c r="AU43" s="455"/>
      <c r="AV43" s="456" t="s">
        <v>321</v>
      </c>
      <c r="AW43" s="455" t="s">
        <v>324</v>
      </c>
      <c r="AX43" s="455"/>
      <c r="AY43" s="456" t="s">
        <v>322</v>
      </c>
      <c r="AZ43" s="455" t="s">
        <v>325</v>
      </c>
      <c r="BA43" s="455"/>
    </row>
    <row r="44" spans="41:91" ht="15.6" x14ac:dyDescent="0.3">
      <c r="AS44" s="249"/>
      <c r="AT44" s="373" t="s">
        <v>94</v>
      </c>
      <c r="AU44" s="372" t="s">
        <v>96</v>
      </c>
      <c r="AV44" s="457"/>
      <c r="AW44" s="373" t="s">
        <v>98</v>
      </c>
      <c r="AX44" s="372" t="s">
        <v>95</v>
      </c>
      <c r="AY44" s="457"/>
      <c r="AZ44" s="373" t="s">
        <v>98</v>
      </c>
      <c r="BA44" s="372" t="s">
        <v>95</v>
      </c>
    </row>
    <row r="45" spans="41:91" x14ac:dyDescent="0.3">
      <c r="AO45" s="467" t="s">
        <v>326</v>
      </c>
    </row>
    <row r="46" spans="41:91" x14ac:dyDescent="0.3">
      <c r="AQ46" t="s">
        <v>292</v>
      </c>
      <c r="AS46" s="462">
        <f>SUM(SUMIFS(AS2:AS25,CN2:CN25,AQ46,E2:E25,"0125",F2:F25,"00",AT2:AT25,{1,3}))</f>
        <v>0.6</v>
      </c>
      <c r="AT46" s="462">
        <f>SUMPRODUCT(--(CN2:CN25=AQ46),--(N2:N25&lt;&gt;"NG"),--(AG2:AG25&lt;&gt;"D"),--(AR2:AR25&lt;&gt;6),--(AR2:AR25&lt;&gt;36),--(AR2:AR25&lt;&gt;56),T2:T25)+SUMPRODUCT(--(CN2:CN25=AQ46),--(N2:N25&lt;&gt;"NG"),--(AG2:AG25&lt;&gt;"D"),--(AR2:AR25&lt;&gt;6),--(AR2:AR25&lt;&gt;36),--(AR2:AR25&lt;&gt;56),U2:U25)</f>
        <v>67767.3</v>
      </c>
      <c r="AU46" s="462">
        <f>SUMPRODUCT(--(CN2:CN25=AQ46),--(N2:N25&lt;&gt;"NG"),--(AG2:AG25&lt;&gt;"D"),--(AR2:AR25&lt;&gt;6),--(AR2:AR25&lt;&gt;36),--(AR2:AR25&lt;&gt;56),V2:V25)</f>
        <v>23956.400000000001</v>
      </c>
      <c r="AV46" s="462">
        <f>SUMPRODUCT(--(CN2:CN25=AQ46),AY2:AY25)+SUMPRODUCT(--(CN2:CN25=AQ46),AZ2:AZ25)</f>
        <v>47012.160000000003</v>
      </c>
      <c r="AW46" s="462">
        <f>SUMPRODUCT(--(CN2:CN25=AQ46),BB2:BB25)+SUMPRODUCT(--(CN2:CN25=AQ46),BC2:BC25)</f>
        <v>6990</v>
      </c>
      <c r="AX46" s="462">
        <f>SUMPRODUCT(--(CN2:CN25=AQ46),BL2:BL25)+SUMPRODUCT(--(CN2:CN25=AQ46),BM2:BM25)</f>
        <v>9799.6899935999991</v>
      </c>
      <c r="AY46" s="462">
        <f>SUMPRODUCT(--(CN2:CN25=AQ46),AY2:AY25)+SUMPRODUCT(--(CN2:CN25=AQ46),AZ2:AZ25)+SUMPRODUCT(--(CN2:CN25=AQ46),BA2:BA25)</f>
        <v>47012.160000000003</v>
      </c>
      <c r="AZ46" s="462">
        <f>SUMPRODUCT(--(CN2:CN25=AQ46),BN2:BN25)+SUMPRODUCT(--(CN2:CN25=AQ46),BO2:BO25)</f>
        <v>6990</v>
      </c>
      <c r="BA46" s="462">
        <f>SUMPRODUCT(--(CN2:CN25=AQ46),BX2:BX25)+SUMPRODUCT(--(CN2:CN25=AQ46),BY2:BY25)</f>
        <v>9717.8835935999996</v>
      </c>
    </row>
    <row r="47" spans="41:91" x14ac:dyDescent="0.3">
      <c r="AP47" t="s">
        <v>327</v>
      </c>
      <c r="AS47" s="473">
        <f>SUM(AS46:AS46)</f>
        <v>0.6</v>
      </c>
      <c r="AT47" s="473">
        <f>SUM(AT46:AT46)</f>
        <v>67767.3</v>
      </c>
      <c r="AU47" s="473">
        <f>SUM(AU46:AU46)</f>
        <v>23956.400000000001</v>
      </c>
      <c r="AV47" s="473">
        <f>SUM(AV46:AV46)</f>
        <v>47012.160000000003</v>
      </c>
      <c r="AW47" s="473">
        <f>SUM(AW46:AW46)</f>
        <v>6990</v>
      </c>
      <c r="AX47" s="473">
        <f>SUM(AX46:AX46)</f>
        <v>9799.6899935999991</v>
      </c>
      <c r="AY47" s="473">
        <f>SUM(AY46:AY46)</f>
        <v>47012.160000000003</v>
      </c>
      <c r="AZ47" s="473">
        <f>SUM(AZ46:AZ46)</f>
        <v>6990</v>
      </c>
      <c r="BA47" s="473">
        <f>SUM(BA46:BA46)</f>
        <v>9717.8835935999996</v>
      </c>
    </row>
    <row r="48" spans="41:91" x14ac:dyDescent="0.3">
      <c r="AQ48" t="s">
        <v>317</v>
      </c>
      <c r="AS48" s="462">
        <f>SUM(SUMIFS(AS2:AS25,CN2:CN25,AQ48,E2:E25,"0199",F2:F25,"00",AT2:AT25,{1,3}))</f>
        <v>2.0999999999999996</v>
      </c>
      <c r="AT48" s="462">
        <f>SUMPRODUCT(--(CN2:CN25=AQ48),--(N2:N25&lt;&gt;"NG"),--(AG2:AG25&lt;&gt;"D"),--(AR2:AR25&lt;&gt;6),--(AR2:AR25&lt;&gt;36),--(AR2:AR25&lt;&gt;56),T2:T25)+SUMPRODUCT(--(CN2:CN25=AQ48),--(N2:N25&lt;&gt;"NG"),--(AG2:AG25&lt;&gt;"D"),--(AR2:AR25&lt;&gt;6),--(AR2:AR25&lt;&gt;36),--(AR2:AR25&lt;&gt;56),U2:U25)</f>
        <v>130457.07</v>
      </c>
      <c r="AU48" s="462">
        <f>SUMPRODUCT(--(CN2:CN25=AQ48),--(N2:N25&lt;&gt;"NG"),--(AG2:AG25&lt;&gt;"D"),--(AR2:AR25&lt;&gt;6),--(AR2:AR25&lt;&gt;36),--(AR2:AR25&lt;&gt;56),V2:V25)</f>
        <v>46362.740000000005</v>
      </c>
      <c r="AV48" s="462">
        <f>SUMPRODUCT(--(CN2:CN25=AQ48),AY2:AY25)+SUMPRODUCT(--(CN2:CN25=AQ48),AZ2:AZ25)</f>
        <v>158052.96000000002</v>
      </c>
      <c r="AW48" s="462">
        <f>SUMPRODUCT(--(CN2:CN25=AQ48),BB2:BB25)+SUMPRODUCT(--(CN2:CN25=AQ48),BC2:BC25)</f>
        <v>24465</v>
      </c>
      <c r="AX48" s="462">
        <f>SUMPRODUCT(--(CN2:CN25=AQ48),BL2:BL25)+SUMPRODUCT(--(CN2:CN25=AQ48),BM2:BM25)</f>
        <v>33108.634353599999</v>
      </c>
      <c r="AY48" s="462">
        <f>SUMPRODUCT(--(CN2:CN25=AQ48),AY2:AY25)+SUMPRODUCT(--(CN2:CN25=AQ48),AZ2:AZ25)+SUMPRODUCT(--(CN2:CN25=AQ48),BA2:BA25)</f>
        <v>158052.96000000002</v>
      </c>
      <c r="AZ48" s="462">
        <f>SUMPRODUCT(--(CN2:CN25=AQ48),BN2:BN25)+SUMPRODUCT(--(CN2:CN25=AQ48),BO2:BO25)</f>
        <v>24465</v>
      </c>
      <c r="BA48" s="462">
        <f>SUMPRODUCT(--(CN2:CN25=AQ48),BX2:BX25)+SUMPRODUCT(--(CN2:CN25=AQ48),BY2:BY25)</f>
        <v>32671.1273616</v>
      </c>
    </row>
    <row r="49" spans="41:100" x14ac:dyDescent="0.3">
      <c r="AP49" t="s">
        <v>328</v>
      </c>
      <c r="AS49" s="473">
        <f>SUM(AS48:AS48)</f>
        <v>2.0999999999999996</v>
      </c>
      <c r="AT49" s="473">
        <f>SUM(AT48:AT48)</f>
        <v>130457.07</v>
      </c>
      <c r="AU49" s="473">
        <f>SUM(AU48:AU48)</f>
        <v>46362.740000000005</v>
      </c>
      <c r="AV49" s="473">
        <f>SUM(AV48:AV48)</f>
        <v>158052.96000000002</v>
      </c>
      <c r="AW49" s="473">
        <f>SUM(AW48:AW48)</f>
        <v>24465</v>
      </c>
      <c r="AX49" s="473">
        <f>SUM(AX48:AX48)</f>
        <v>33108.634353599999</v>
      </c>
      <c r="AY49" s="473">
        <f>SUM(AY48:AY48)</f>
        <v>158052.96000000002</v>
      </c>
      <c r="AZ49" s="473">
        <f>SUM(AZ48:AZ48)</f>
        <v>24465</v>
      </c>
      <c r="BA49" s="473">
        <f>SUM(BA48:BA48)</f>
        <v>32671.1273616</v>
      </c>
    </row>
    <row r="50" spans="41:100" x14ac:dyDescent="0.3">
      <c r="AQ50" t="s">
        <v>298</v>
      </c>
      <c r="AS50" s="462">
        <f>SUM(SUMIFS(AS2:AS25,CN2:CN25,AQ50,E2:E25,"0348",F2:F25,"00",AT2:AT25,{1,3}))</f>
        <v>4.9000000000000004</v>
      </c>
      <c r="AT50" s="462">
        <f>SUMPRODUCT(--(CN2:CN25=AQ50),--(N2:N25&lt;&gt;"NG"),--(AG2:AG25&lt;&gt;"D"),--(AR2:AR25&lt;&gt;6),--(AR2:AR25&lt;&gt;36),--(AR2:AR25&lt;&gt;56),T2:T25)+SUMPRODUCT(--(CN2:CN25=AQ50),--(N2:N25&lt;&gt;"NG"),--(AG2:AG25&lt;&gt;"D"),--(AR2:AR25&lt;&gt;6),--(AR2:AR25&lt;&gt;36),--(AR2:AR25&lt;&gt;56),U2:U25)</f>
        <v>241973.90999999997</v>
      </c>
      <c r="AU50" s="462">
        <f>SUMPRODUCT(--(CN2:CN25=AQ50),--(N2:N25&lt;&gt;"NG"),--(AG2:AG25&lt;&gt;"D"),--(AR2:AR25&lt;&gt;6),--(AR2:AR25&lt;&gt;36),--(AR2:AR25&lt;&gt;56),V2:V25)</f>
        <v>102418.88999999998</v>
      </c>
      <c r="AV50" s="462">
        <f>SUMPRODUCT(--(CN2:CN25=AQ50),AY2:AY25)+SUMPRODUCT(--(CN2:CN25=AQ50),AZ2:AZ25)</f>
        <v>263063.84000000003</v>
      </c>
      <c r="AW50" s="462">
        <f>SUMPRODUCT(--(CN2:CN25=AQ50),BB2:BB25)+SUMPRODUCT(--(CN2:CN25=AQ50),BC2:BC25)</f>
        <v>57085</v>
      </c>
      <c r="AX50" s="462">
        <f>SUMPRODUCT(--(CN2:CN25=AQ50),BL2:BL25)+SUMPRODUCT(--(CN2:CN25=AQ50),BM2:BM25)</f>
        <v>55719.551950399997</v>
      </c>
      <c r="AY50" s="462">
        <f>SUMPRODUCT(--(CN2:CN25=AQ50),AY2:AY25)+SUMPRODUCT(--(CN2:CN25=AQ50),AZ2:AZ25)+SUMPRODUCT(--(CN2:CN25=AQ50),BA2:BA25)</f>
        <v>263063.84000000003</v>
      </c>
      <c r="AZ50" s="462">
        <f>SUMPRODUCT(--(CN2:CN25=AQ50),BN2:BN25)+SUMPRODUCT(--(CN2:CN25=AQ50),BO2:BO25)</f>
        <v>57085</v>
      </c>
      <c r="BA50" s="462">
        <f>SUMPRODUCT(--(CN2:CN25=AQ50),BX2:BX25)+SUMPRODUCT(--(CN2:CN25=AQ50),BY2:BY25)</f>
        <v>54377.926366400003</v>
      </c>
    </row>
    <row r="51" spans="41:100" x14ac:dyDescent="0.3">
      <c r="AP51" t="s">
        <v>329</v>
      </c>
      <c r="AS51" s="473">
        <f>SUM(AS50:AS50)</f>
        <v>4.9000000000000004</v>
      </c>
      <c r="AT51" s="473">
        <f>SUM(AT50:AT50)</f>
        <v>241973.90999999997</v>
      </c>
      <c r="AU51" s="473">
        <f>SUM(AU50:AU50)</f>
        <v>102418.88999999998</v>
      </c>
      <c r="AV51" s="473">
        <f>SUM(AV50:AV50)</f>
        <v>263063.84000000003</v>
      </c>
      <c r="AW51" s="473">
        <f>SUM(AW50:AW50)</f>
        <v>57085</v>
      </c>
      <c r="AX51" s="473">
        <f>SUM(AX50:AX50)</f>
        <v>55719.551950399997</v>
      </c>
      <c r="AY51" s="473">
        <f>SUM(AY50:AY50)</f>
        <v>263063.84000000003</v>
      </c>
      <c r="AZ51" s="473">
        <f>SUM(AZ50:AZ50)</f>
        <v>57085</v>
      </c>
      <c r="BA51" s="473">
        <f>SUM(BA50:BA50)</f>
        <v>54377.926366400003</v>
      </c>
    </row>
    <row r="52" spans="41:100" x14ac:dyDescent="0.3">
      <c r="AQ52" t="s">
        <v>330</v>
      </c>
      <c r="AS52" s="462">
        <f>SUM(SUMIFS(AS2:AS25,CN2:CN25,AQ52,E2:E25,"0494",F2:F25,"03",AT2:AT25,{1,3}))</f>
        <v>0.4</v>
      </c>
      <c r="AT52" s="462">
        <f>SUMPRODUCT(--(CN2:CN25=AQ52),--(N2:N25&lt;&gt;"NG"),--(AG2:AG25&lt;&gt;"D"),--(AR2:AR25&lt;&gt;6),--(AR2:AR25&lt;&gt;36),--(AR2:AR25&lt;&gt;56),T2:T25)+SUMPRODUCT(--(CN2:CN25=AQ52),--(N2:N25&lt;&gt;"NG"),--(AG2:AG25&lt;&gt;"D"),--(AR2:AR25&lt;&gt;6),--(AR2:AR25&lt;&gt;36),--(AR2:AR25&lt;&gt;56),U2:U25)</f>
        <v>16266.31</v>
      </c>
      <c r="AU52" s="462">
        <f>SUMPRODUCT(--(CN2:CN25=AQ52),--(N2:N25&lt;&gt;"NG"),--(AG2:AG25&lt;&gt;"D"),--(AR2:AR25&lt;&gt;6),--(AR2:AR25&lt;&gt;36),--(AR2:AR25&lt;&gt;56),V2:V25)</f>
        <v>7699.579999999999</v>
      </c>
      <c r="AV52" s="462">
        <f>SUMPRODUCT(--(CN2:CN25=AQ52),AY2:AY25)+SUMPRODUCT(--(CN2:CN25=AQ52),AZ2:AZ25)</f>
        <v>28346.240000000002</v>
      </c>
      <c r="AW52" s="462">
        <f>SUMPRODUCT(--(CN2:CN25=AQ52),BB2:BB25)+SUMPRODUCT(--(CN2:CN25=AQ52),BC2:BC25)</f>
        <v>4660</v>
      </c>
      <c r="AX52" s="462">
        <f>SUMPRODUCT(--(CN2:CN25=AQ52),BL2:BL25)+SUMPRODUCT(--(CN2:CN25=AQ52),BM2:BM25)</f>
        <v>6004.017094400001</v>
      </c>
      <c r="AY52" s="462">
        <f>SUMPRODUCT(--(CN2:CN25=AQ52),AY2:AY25)+SUMPRODUCT(--(CN2:CN25=AQ52),AZ2:AZ25)+SUMPRODUCT(--(CN2:CN25=AQ52),BA2:BA25)</f>
        <v>28346.240000000002</v>
      </c>
      <c r="AZ52" s="462">
        <f>SUMPRODUCT(--(CN2:CN25=AQ52),BN2:BN25)+SUMPRODUCT(--(CN2:CN25=AQ52),BO2:BO25)</f>
        <v>4660</v>
      </c>
      <c r="BA52" s="462">
        <f>SUMPRODUCT(--(CN2:CN25=AQ52),BX2:BX25)+SUMPRODUCT(--(CN2:CN25=AQ52),BY2:BY25)</f>
        <v>5859.4512704000008</v>
      </c>
    </row>
    <row r="53" spans="41:100" x14ac:dyDescent="0.3">
      <c r="AP53" t="s">
        <v>331</v>
      </c>
      <c r="AS53" s="473">
        <f>SUM(AS52:AS52)</f>
        <v>0.4</v>
      </c>
      <c r="AT53" s="473">
        <f>SUM(AT52:AT52)</f>
        <v>16266.31</v>
      </c>
      <c r="AU53" s="473">
        <f>SUM(AU52:AU52)</f>
        <v>7699.579999999999</v>
      </c>
      <c r="AV53" s="473">
        <f>SUM(AV52:AV52)</f>
        <v>28346.240000000002</v>
      </c>
      <c r="AW53" s="473">
        <f>SUM(AW52:AW52)</f>
        <v>4660</v>
      </c>
      <c r="AX53" s="473">
        <f>SUM(AX52:AX52)</f>
        <v>6004.017094400001</v>
      </c>
      <c r="AY53" s="473">
        <f>SUM(AY52:AY52)</f>
        <v>28346.240000000002</v>
      </c>
      <c r="AZ53" s="473">
        <f>SUM(AZ52:AZ52)</f>
        <v>4660</v>
      </c>
      <c r="BA53" s="473">
        <f>SUM(BA52:BA52)</f>
        <v>5859.4512704000008</v>
      </c>
    </row>
    <row r="54" spans="41:100" x14ac:dyDescent="0.3">
      <c r="AS54" s="462"/>
      <c r="AT54" s="462"/>
      <c r="AU54" s="462"/>
      <c r="AV54" s="462"/>
      <c r="AW54" s="462"/>
      <c r="AX54" s="462"/>
      <c r="AY54" s="462"/>
      <c r="AZ54" s="462"/>
      <c r="BA54" s="462"/>
    </row>
    <row r="55" spans="41:100" x14ac:dyDescent="0.3">
      <c r="AO55" s="471" t="s">
        <v>332</v>
      </c>
      <c r="AS55" s="474">
        <f>SUM(AS47,AS49,AS51,AS53)</f>
        <v>8</v>
      </c>
      <c r="AT55" s="474">
        <f>SUM(AT47,AT49,AT51,AT53)</f>
        <v>456464.58999999997</v>
      </c>
      <c r="AU55" s="474">
        <f>SUM(AU47,AU49,AU51,AU53)</f>
        <v>180437.61</v>
      </c>
      <c r="AV55" s="474">
        <f>SUM(AV47,AV49,AV51,AV53)</f>
        <v>496475.20000000007</v>
      </c>
      <c r="AW55" s="474">
        <f>SUM(AW47,AW49,AW51,AW53)</f>
        <v>93200</v>
      </c>
      <c r="AX55" s="474">
        <f>SUM(AX47,AX49,AX51,AX53)</f>
        <v>104631.89339199998</v>
      </c>
      <c r="AY55" s="474">
        <f>SUM(AY47,AY49,AY51,AY53)</f>
        <v>496475.20000000007</v>
      </c>
      <c r="AZ55" s="474">
        <f>SUM(AZ47,AZ49,AZ51,AZ53)</f>
        <v>93200</v>
      </c>
      <c r="BA55" s="474">
        <f>SUM(BA47,BA49,BA51,BA53)</f>
        <v>102626.388592</v>
      </c>
    </row>
    <row r="56" spans="41:100" x14ac:dyDescent="0.3">
      <c r="AS56" s="462"/>
      <c r="AT56" s="462"/>
      <c r="AU56" s="462"/>
      <c r="AV56" s="462"/>
      <c r="AW56" s="462"/>
      <c r="AX56" s="462"/>
      <c r="AY56" s="462"/>
      <c r="AZ56" s="462"/>
      <c r="BA56" s="462"/>
    </row>
    <row r="57" spans="41:100" x14ac:dyDescent="0.3">
      <c r="AO57" s="467" t="s">
        <v>333</v>
      </c>
      <c r="AS57" s="462"/>
      <c r="AT57" s="462"/>
      <c r="AU57" s="462"/>
      <c r="AV57" s="462"/>
      <c r="AW57" s="462"/>
      <c r="AX57" s="462"/>
      <c r="AY57" s="462"/>
      <c r="AZ57" s="462"/>
      <c r="BA57" s="462"/>
    </row>
    <row r="58" spans="41:100" x14ac:dyDescent="0.3">
      <c r="AS58" s="462"/>
      <c r="AT58" s="462"/>
      <c r="AU58" s="462"/>
      <c r="AV58" s="462"/>
      <c r="AW58" s="462"/>
      <c r="AX58" s="462"/>
      <c r="AY58" s="462"/>
      <c r="AZ58" s="462"/>
      <c r="BA58" s="462"/>
    </row>
    <row r="59" spans="41:100" x14ac:dyDescent="0.3">
      <c r="AO59" s="471" t="s">
        <v>334</v>
      </c>
      <c r="AS59" s="462"/>
      <c r="AT59" s="462"/>
      <c r="AU59" s="462"/>
      <c r="AV59" s="462"/>
      <c r="AW59" s="462"/>
      <c r="AX59" s="462"/>
      <c r="AY59" s="462"/>
      <c r="AZ59" s="462"/>
      <c r="BA59" s="462"/>
      <c r="CV59" s="467"/>
    </row>
    <row r="60" spans="41:100" x14ac:dyDescent="0.3">
      <c r="AS60" s="462"/>
      <c r="AT60" s="462"/>
      <c r="AU60" s="462"/>
      <c r="AV60" s="462"/>
      <c r="AW60" s="462"/>
      <c r="AX60" s="462"/>
      <c r="AY60" s="462"/>
      <c r="AZ60" s="462"/>
      <c r="BA60" s="462"/>
    </row>
    <row r="61" spans="41:100" x14ac:dyDescent="0.3">
      <c r="AO61" s="472" t="s">
        <v>335</v>
      </c>
      <c r="AS61" s="475">
        <f>SUM(AS55)</f>
        <v>8</v>
      </c>
      <c r="AT61" s="476">
        <f>SUM(AT55)</f>
        <v>456464.58999999997</v>
      </c>
      <c r="AU61" s="476">
        <f>SUM(AU55)</f>
        <v>180437.61</v>
      </c>
      <c r="AV61" s="476">
        <f>SUM(AV55)</f>
        <v>496475.20000000007</v>
      </c>
      <c r="AW61" s="476">
        <f>SUM(AW55)</f>
        <v>93200</v>
      </c>
      <c r="AX61" s="476">
        <f>SUM(AX55)</f>
        <v>104631.89339199998</v>
      </c>
      <c r="AY61" s="476">
        <f>SUM(AY55)</f>
        <v>496475.20000000007</v>
      </c>
      <c r="AZ61" s="476">
        <f>SUM(AZ55)</f>
        <v>93200</v>
      </c>
      <c r="BA61" s="476">
        <f>SUM(BA55)</f>
        <v>102626.388592</v>
      </c>
    </row>
  </sheetData>
  <mergeCells count="5">
    <mergeCell ref="AT43:AU43"/>
    <mergeCell ref="AV43:AV44"/>
    <mergeCell ref="AW43:AX43"/>
    <mergeCell ref="AY43:AY44"/>
    <mergeCell ref="AZ43:BA43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opLeftCell="A19" zoomScaleNormal="100" workbookViewId="0">
      <selection activeCell="C39" sqref="C39"/>
    </sheetView>
  </sheetViews>
  <sheetFormatPr defaultColWidth="9.109375" defaultRowHeight="19.2" x14ac:dyDescent="0.35"/>
  <cols>
    <col min="1" max="1" width="4" style="1" customWidth="1"/>
    <col min="2" max="2" width="42" style="1" bestFit="1" customWidth="1"/>
    <col min="3" max="3" width="20.33203125" style="1" customWidth="1"/>
    <col min="4" max="4" width="21.44140625" style="1" bestFit="1" customWidth="1"/>
    <col min="5" max="5" width="20.5546875" style="1" customWidth="1"/>
    <col min="6" max="6" width="14.33203125" style="1" bestFit="1" customWidth="1"/>
    <col min="7" max="7" width="12" style="1" bestFit="1" customWidth="1"/>
    <col min="8" max="8" width="15" style="1" bestFit="1" customWidth="1"/>
    <col min="9" max="10" width="9.109375" style="1"/>
    <col min="11" max="11" width="9.88671875" style="1" bestFit="1" customWidth="1"/>
    <col min="12" max="12" width="16.44140625" style="1" bestFit="1" customWidth="1"/>
    <col min="13" max="14" width="15.88671875" style="1" bestFit="1" customWidth="1"/>
    <col min="15" max="15" width="16.44140625" style="1" bestFit="1" customWidth="1"/>
    <col min="16" max="16384" width="9.109375" style="1"/>
  </cols>
  <sheetData>
    <row r="1" spans="1:15" x14ac:dyDescent="0.35">
      <c r="A1" s="383"/>
      <c r="B1" s="383"/>
      <c r="C1" s="383"/>
      <c r="D1" s="383"/>
      <c r="E1" s="383"/>
    </row>
    <row r="2" spans="1:15" ht="28.5" customHeight="1" x14ac:dyDescent="0.35">
      <c r="A2" s="2" t="s">
        <v>10</v>
      </c>
      <c r="B2" s="2"/>
      <c r="C2" s="2"/>
      <c r="D2" s="2"/>
      <c r="E2" s="2"/>
    </row>
    <row r="3" spans="1:15" x14ac:dyDescent="0.35">
      <c r="A3" s="3"/>
      <c r="B3" s="3"/>
      <c r="C3" s="4" t="s">
        <v>0</v>
      </c>
      <c r="D3" s="4" t="s">
        <v>1</v>
      </c>
      <c r="E3" s="3"/>
    </row>
    <row r="4" spans="1:15" ht="37.799999999999997" x14ac:dyDescent="0.35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5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5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5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5">
      <c r="A8" s="3"/>
      <c r="B8" s="130" t="s">
        <v>5</v>
      </c>
      <c r="C8" s="235">
        <v>3.8E-3</v>
      </c>
      <c r="D8" s="234">
        <v>3.5999999999999999E-3</v>
      </c>
      <c r="E8" s="314">
        <f t="shared" si="0"/>
        <v>-2.0000000000000009E-4</v>
      </c>
    </row>
    <row r="9" spans="1:15" x14ac:dyDescent="0.35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5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5">
      <c r="A11" s="3"/>
      <c r="B11" s="130" t="s">
        <v>8</v>
      </c>
      <c r="C11" s="348">
        <v>5.5399999999999998E-3</v>
      </c>
      <c r="D11" s="348">
        <v>5.5399999999999998E-3</v>
      </c>
      <c r="E11" s="313">
        <f t="shared" si="0"/>
        <v>0</v>
      </c>
    </row>
    <row r="12" spans="1:15" x14ac:dyDescent="0.35">
      <c r="A12" s="3"/>
      <c r="B12" s="233" t="s">
        <v>11</v>
      </c>
      <c r="C12" s="234">
        <f>SUM(C5:C11)</f>
        <v>9.7949999999999995E-2</v>
      </c>
      <c r="D12" s="234">
        <f>SUM(D5:D11)</f>
        <v>9.2850000000000002E-2</v>
      </c>
      <c r="E12" s="315">
        <f>D12-C12</f>
        <v>-5.0999999999999934E-3</v>
      </c>
      <c r="M12" s="320"/>
    </row>
    <row r="13" spans="1:15" x14ac:dyDescent="0.35">
      <c r="A13" s="3"/>
      <c r="B13" s="231" t="s">
        <v>9</v>
      </c>
      <c r="C13" s="226">
        <f>SUM(C5:C8)</f>
        <v>8.5199999999999998E-2</v>
      </c>
      <c r="D13" s="226">
        <f>SUM(D5:D8)</f>
        <v>8.0100000000000005E-2</v>
      </c>
      <c r="E13" s="313">
        <f t="shared" si="0"/>
        <v>-5.0999999999999934E-3</v>
      </c>
      <c r="F13" s="8"/>
    </row>
    <row r="14" spans="1:15" x14ac:dyDescent="0.35">
      <c r="A14" s="230"/>
      <c r="B14" s="232" t="s">
        <v>102</v>
      </c>
      <c r="C14" s="226">
        <f>SUM(C5:C6,C8:C9)</f>
        <v>8.7509999999999991E-2</v>
      </c>
      <c r="D14" s="226">
        <f>SUM(D5:D6,D8:D9)</f>
        <v>8.7309999999999999E-2</v>
      </c>
      <c r="E14" s="313">
        <f>D14-C14</f>
        <v>-1.9999999999999185E-4</v>
      </c>
      <c r="M14" s="320"/>
    </row>
    <row r="15" spans="1:15" x14ac:dyDescent="0.35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5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5">
      <c r="B17" s="130"/>
      <c r="D17" s="1" t="s">
        <v>45</v>
      </c>
      <c r="K17" s="319"/>
    </row>
    <row r="18" spans="1:11" ht="12" customHeight="1" x14ac:dyDescent="0.35">
      <c r="C18" s="1" t="s">
        <v>45</v>
      </c>
    </row>
    <row r="19" spans="1:11" ht="37.799999999999997" x14ac:dyDescent="0.35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5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5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5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5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5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5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5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5">
      <c r="A28" s="384" t="s">
        <v>110</v>
      </c>
      <c r="B28" s="384"/>
      <c r="C28" s="384"/>
      <c r="D28" s="384"/>
      <c r="E28" s="384"/>
    </row>
    <row r="29" spans="1:11" x14ac:dyDescent="0.35">
      <c r="A29" s="384" t="s">
        <v>111</v>
      </c>
      <c r="B29" s="384"/>
      <c r="C29" s="384"/>
      <c r="D29" s="384"/>
      <c r="E29" s="384"/>
    </row>
    <row r="30" spans="1:11" ht="12.75" customHeight="1" x14ac:dyDescent="0.35">
      <c r="A30" s="247"/>
      <c r="B30" s="247"/>
      <c r="C30" s="247"/>
      <c r="D30" s="247"/>
      <c r="E30" s="247"/>
    </row>
    <row r="31" spans="1:11" x14ac:dyDescent="0.35">
      <c r="A31" s="316" t="s">
        <v>88</v>
      </c>
      <c r="B31" s="316"/>
      <c r="C31" s="247"/>
      <c r="D31" s="247"/>
      <c r="E31" s="247"/>
    </row>
    <row r="32" spans="1:11" x14ac:dyDescent="0.35">
      <c r="A32" s="316"/>
      <c r="B32" s="316" t="s">
        <v>89</v>
      </c>
      <c r="C32" s="247"/>
      <c r="D32" s="247"/>
      <c r="E32" s="247"/>
    </row>
    <row r="33" spans="1:5" x14ac:dyDescent="0.35">
      <c r="A33" s="316"/>
      <c r="B33" s="316" t="s">
        <v>90</v>
      </c>
      <c r="C33" s="247"/>
      <c r="D33" s="247"/>
      <c r="E33" s="247"/>
    </row>
    <row r="34" spans="1:5" x14ac:dyDescent="0.35">
      <c r="A34" s="316"/>
      <c r="B34" s="316" t="s">
        <v>91</v>
      </c>
      <c r="C34" s="247"/>
      <c r="D34" s="247"/>
      <c r="E34" s="247"/>
    </row>
    <row r="35" spans="1:5" x14ac:dyDescent="0.35">
      <c r="A35" s="316"/>
      <c r="B35" s="316" t="s">
        <v>92</v>
      </c>
      <c r="C35" s="247"/>
      <c r="D35" s="247"/>
      <c r="E35" s="247"/>
    </row>
    <row r="36" spans="1:5" x14ac:dyDescent="0.35">
      <c r="A36" s="316"/>
      <c r="B36" s="316" t="s">
        <v>93</v>
      </c>
      <c r="C36" s="247"/>
      <c r="D36" s="247"/>
      <c r="E36" s="247"/>
    </row>
    <row r="38" spans="1:5" x14ac:dyDescent="0.35">
      <c r="B38" s="317" t="s">
        <v>103</v>
      </c>
      <c r="C38" s="318">
        <v>0.01</v>
      </c>
    </row>
    <row r="39" spans="1:5" x14ac:dyDescent="0.35">
      <c r="B39" s="341" t="s">
        <v>104</v>
      </c>
      <c r="C39" s="340">
        <v>0.01</v>
      </c>
    </row>
    <row r="40" spans="1:5" x14ac:dyDescent="0.35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09375" defaultRowHeight="15.6" x14ac:dyDescent="0.3"/>
  <cols>
    <col min="1" max="1" width="7.88671875" style="124" customWidth="1"/>
    <col min="2" max="2" width="7.6640625" style="125" customWidth="1"/>
    <col min="3" max="3" width="9" style="125" customWidth="1"/>
    <col min="4" max="4" width="39.33203125" style="53" customWidth="1"/>
    <col min="5" max="5" width="13" style="126" customWidth="1"/>
    <col min="6" max="6" width="12.33203125" style="127" customWidth="1"/>
    <col min="7" max="7" width="12.109375" style="127" bestFit="1" customWidth="1"/>
    <col min="8" max="8" width="14.5546875" style="127" customWidth="1"/>
    <col min="9" max="9" width="19.5546875" style="128" bestFit="1" customWidth="1"/>
    <col min="10" max="10" width="13.6640625" style="129" customWidth="1"/>
    <col min="11" max="11" width="13.6640625" style="129" hidden="1" customWidth="1"/>
    <col min="12" max="12" width="18.44140625" style="129" customWidth="1"/>
    <col min="13" max="13" width="16.44140625" style="129" customWidth="1"/>
    <col min="14" max="14" width="16.109375" style="128" customWidth="1"/>
    <col min="15" max="25" width="16.109375" customWidth="1"/>
    <col min="26" max="26" width="16.109375" style="344" customWidth="1"/>
    <col min="27" max="27" width="22.109375" style="334" bestFit="1" customWidth="1"/>
    <col min="28" max="28" width="31.109375" style="334" bestFit="1" customWidth="1"/>
    <col min="29" max="29" width="7.88671875" style="334" bestFit="1" customWidth="1"/>
    <col min="30" max="30" width="9.109375" style="110" customWidth="1"/>
    <col min="31" max="94" width="9.109375" style="17"/>
    <col min="95" max="16384" width="9.109375" style="18"/>
  </cols>
  <sheetData>
    <row r="1" spans="1:94" x14ac:dyDescent="0.3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0"/>
      <c r="N1" s="401"/>
      <c r="AA1" s="337"/>
      <c r="AB1" s="333"/>
      <c r="AC1" s="333"/>
      <c r="AD1" s="325"/>
    </row>
    <row r="2" spans="1:94" ht="21" x14ac:dyDescent="0.3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02"/>
      <c r="N2" s="403"/>
      <c r="AA2" s="333"/>
      <c r="AB2" s="333"/>
      <c r="AC2" s="333"/>
      <c r="AD2" s="325"/>
    </row>
    <row r="3" spans="1:94" x14ac:dyDescent="0.3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00"/>
      <c r="N3" s="401"/>
      <c r="AA3" s="337"/>
      <c r="AB3" s="333"/>
      <c r="AC3" s="333"/>
      <c r="AD3" s="325"/>
    </row>
    <row r="4" spans="1:94" x14ac:dyDescent="0.3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0">
        <v>2023</v>
      </c>
      <c r="N4" s="401"/>
      <c r="AA4" s="337"/>
      <c r="AB4" s="333"/>
      <c r="AC4" s="333"/>
      <c r="AD4" s="325"/>
    </row>
    <row r="5" spans="1:94" s="34" customFormat="1" ht="18" customHeight="1" x14ac:dyDescent="0.3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02"/>
      <c r="J5" s="404"/>
      <c r="K5" s="404"/>
      <c r="L5" s="403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3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">
      <c r="A8" s="48" t="s">
        <v>20</v>
      </c>
      <c r="B8" s="256" t="s">
        <v>21</v>
      </c>
      <c r="C8" s="387" t="s">
        <v>22</v>
      </c>
      <c r="D8" s="388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38" t="s">
        <v>105</v>
      </c>
      <c r="AB8" s="438"/>
      <c r="AC8" s="438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">
      <c r="A9" s="139"/>
      <c r="B9" s="140"/>
      <c r="C9" s="389" t="s">
        <v>26</v>
      </c>
      <c r="D9" s="390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">
      <c r="A10" s="139"/>
      <c r="B10" s="139"/>
      <c r="C10" s="385" t="s">
        <v>27</v>
      </c>
      <c r="D10" s="391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">
      <c r="A11" s="139"/>
      <c r="B11" s="139"/>
      <c r="C11" s="385" t="s">
        <v>28</v>
      </c>
      <c r="D11" s="391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">
      <c r="A12" s="139"/>
      <c r="B12" s="139"/>
      <c r="C12" s="385" t="s">
        <v>29</v>
      </c>
      <c r="D12" s="386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">
      <c r="A13" s="139"/>
      <c r="B13" s="139"/>
      <c r="C13" s="385" t="s">
        <v>30</v>
      </c>
      <c r="D13" s="391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">
      <c r="A16" s="139"/>
      <c r="B16" s="139"/>
      <c r="C16" s="392" t="s">
        <v>32</v>
      </c>
      <c r="D16" s="393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">
      <c r="A17" s="139"/>
      <c r="B17" s="139"/>
      <c r="C17" s="394" t="s">
        <v>34</v>
      </c>
      <c r="D17" s="395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">
      <c r="A18" s="139"/>
      <c r="B18" s="168"/>
      <c r="C18" s="396" t="s">
        <v>35</v>
      </c>
      <c r="D18" s="397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6.4" x14ac:dyDescent="0.3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4" x14ac:dyDescent="0.3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4" x14ac:dyDescent="0.3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4" x14ac:dyDescent="0.3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4" x14ac:dyDescent="0.3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4" x14ac:dyDescent="0.3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4" x14ac:dyDescent="0.3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4" x14ac:dyDescent="0.3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4" x14ac:dyDescent="0.3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4" x14ac:dyDescent="0.3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4" x14ac:dyDescent="0.3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4" x14ac:dyDescent="0.3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4" x14ac:dyDescent="0.3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4" x14ac:dyDescent="0.3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4" x14ac:dyDescent="0.3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4" x14ac:dyDescent="0.3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4" x14ac:dyDescent="0.3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4" x14ac:dyDescent="0.3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">
      <c r="A37" s="139"/>
      <c r="B37" s="188"/>
      <c r="C37" s="398" t="s">
        <v>37</v>
      </c>
      <c r="D37" s="399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9" t="s">
        <v>107</v>
      </c>
      <c r="AB37" s="440"/>
      <c r="AC37" s="440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4" x14ac:dyDescent="0.3">
      <c r="A38" s="139"/>
      <c r="B38" s="188"/>
      <c r="C38" s="385" t="str">
        <f>perm_name</f>
        <v>Permanent Positions</v>
      </c>
      <c r="D38" s="386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4" x14ac:dyDescent="0.3">
      <c r="A39" s="139"/>
      <c r="B39" s="188"/>
      <c r="C39" s="385" t="str">
        <f>Group_name</f>
        <v>Board &amp; Group Positions</v>
      </c>
      <c r="D39" s="38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4" x14ac:dyDescent="0.3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4" x14ac:dyDescent="0.3">
      <c r="A41" s="139"/>
      <c r="B41" s="188"/>
      <c r="C41" s="385" t="s">
        <v>38</v>
      </c>
      <c r="D41" s="386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">
      <c r="A42" s="139"/>
      <c r="B42" s="188"/>
      <c r="C42" s="447"/>
      <c r="D42" s="448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">
      <c r="A43" s="139"/>
      <c r="B43" s="202"/>
      <c r="C43" s="449" t="s">
        <v>39</v>
      </c>
      <c r="D43" s="450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13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14"/>
      <c r="M43" s="414"/>
      <c r="N43" s="415"/>
      <c r="O43"/>
      <c r="P43"/>
      <c r="Q43"/>
      <c r="R43"/>
      <c r="S43"/>
      <c r="T43"/>
      <c r="U43"/>
      <c r="V43"/>
      <c r="W43"/>
      <c r="X43"/>
      <c r="Y43"/>
      <c r="Z43" s="344"/>
      <c r="AA43" s="441" t="s">
        <v>108</v>
      </c>
      <c r="AB43" s="442"/>
      <c r="AC43" s="44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">
      <c r="A44" s="139"/>
      <c r="B44" s="202"/>
      <c r="C44" s="451"/>
      <c r="D44" s="452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13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14"/>
      <c r="M44" s="414"/>
      <c r="N44" s="415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13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14"/>
      <c r="M45" s="414"/>
      <c r="N45" s="415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">
      <c r="A46" s="139"/>
      <c r="B46" s="202"/>
      <c r="C46" s="215"/>
      <c r="D46" s="215"/>
      <c r="E46" s="422" t="s">
        <v>100</v>
      </c>
      <c r="F46" s="423"/>
      <c r="G46" s="423"/>
      <c r="H46" s="423"/>
      <c r="I46" s="423"/>
      <c r="J46" s="424"/>
      <c r="K46" s="416" t="str">
        <f>IF(OR(J45&lt;0,F45&lt;0),"You may not have sufficient funding or authorized FTP, and may need to make additional adjustments to finalize this form.  Please contact both your DFM and LSO analysts.","")</f>
        <v/>
      </c>
      <c r="L46" s="417"/>
      <c r="M46" s="417"/>
      <c r="N46" s="418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">
      <c r="A47" s="139"/>
      <c r="B47" s="202"/>
      <c r="C47" s="215"/>
      <c r="D47" s="215"/>
      <c r="E47" s="425"/>
      <c r="F47" s="426"/>
      <c r="G47" s="426"/>
      <c r="H47" s="426"/>
      <c r="I47" s="426"/>
      <c r="J47" s="427"/>
      <c r="K47" s="419"/>
      <c r="L47" s="420"/>
      <c r="M47" s="420"/>
      <c r="N47" s="421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4" x14ac:dyDescent="0.3">
      <c r="A53" s="85"/>
      <c r="B53" s="83"/>
      <c r="C53" s="445" t="s">
        <v>47</v>
      </c>
      <c r="D53" s="44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">
      <c r="A55" s="85">
        <v>4.3099999999999996</v>
      </c>
      <c r="B55" s="83"/>
      <c r="C55" s="411" t="s">
        <v>49</v>
      </c>
      <c r="D55" s="41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">
      <c r="A57" s="85"/>
      <c r="B57" s="83"/>
      <c r="C57" s="407" t="s">
        <v>51</v>
      </c>
      <c r="D57" s="408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">
      <c r="A59" s="85">
        <v>6.51</v>
      </c>
      <c r="B59" s="83"/>
      <c r="C59" s="411" t="s">
        <v>66</v>
      </c>
      <c r="D59" s="41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">
      <c r="A61" s="85"/>
      <c r="B61" s="83"/>
      <c r="C61" s="407" t="s">
        <v>54</v>
      </c>
      <c r="D61" s="408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5">
      <c r="A64" s="93">
        <v>8.51</v>
      </c>
      <c r="B64" s="93"/>
      <c r="C64" s="405" t="s">
        <v>56</v>
      </c>
      <c r="D64" s="406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">
      <c r="A65" s="94"/>
      <c r="B65" s="95"/>
      <c r="C65" s="443"/>
      <c r="D65" s="444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4" x14ac:dyDescent="0.3">
      <c r="A66" s="100"/>
      <c r="B66" s="101"/>
      <c r="C66" s="430"/>
      <c r="D66" s="431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4" x14ac:dyDescent="0.3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">
      <c r="A68" s="85">
        <v>10.11</v>
      </c>
      <c r="B68" s="83"/>
      <c r="C68" s="407" t="s">
        <v>58</v>
      </c>
      <c r="D68" s="432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4" x14ac:dyDescent="0.3">
      <c r="A69" s="85">
        <v>10.119999999999999</v>
      </c>
      <c r="B69" s="83"/>
      <c r="C69" s="407" t="s">
        <v>59</v>
      </c>
      <c r="D69" s="432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4" x14ac:dyDescent="0.3">
      <c r="A70" s="85"/>
      <c r="B70" s="83"/>
      <c r="C70" s="433"/>
      <c r="D70" s="434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">
      <c r="A72" s="85">
        <v>10.61</v>
      </c>
      <c r="B72" s="83"/>
      <c r="C72" s="409" t="s">
        <v>101</v>
      </c>
      <c r="D72" s="435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3">
      <c r="A73" s="85">
        <v>10.62</v>
      </c>
      <c r="B73" s="83"/>
      <c r="C73" s="409" t="s">
        <v>61</v>
      </c>
      <c r="D73" s="435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3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">
      <c r="A76" s="85"/>
      <c r="B76" s="83"/>
      <c r="C76" s="436" t="s">
        <v>64</v>
      </c>
      <c r="D76" s="437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4" x14ac:dyDescent="0.3">
      <c r="A77" s="116">
        <v>12.01</v>
      </c>
      <c r="B77" s="57"/>
      <c r="C77" s="428"/>
      <c r="D77" s="429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4" x14ac:dyDescent="0.3">
      <c r="A78" s="116">
        <v>12.02</v>
      </c>
      <c r="B78" s="57"/>
      <c r="C78" s="428"/>
      <c r="D78" s="429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4" x14ac:dyDescent="0.3">
      <c r="A79" s="116">
        <v>12.03</v>
      </c>
      <c r="B79" s="57" t="s">
        <v>45</v>
      </c>
      <c r="C79" s="428"/>
      <c r="D79" s="429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9" priority="5">
      <formula>$J$44&lt;0</formula>
    </cfRule>
  </conditionalFormatting>
  <conditionalFormatting sqref="K43">
    <cfRule type="expression" dxfId="8" priority="4">
      <formula>$J$43&lt;0</formula>
    </cfRule>
  </conditionalFormatting>
  <conditionalFormatting sqref="L16">
    <cfRule type="expression" dxfId="7" priority="3">
      <formula>$J$16&lt;0</formula>
    </cfRule>
  </conditionalFormatting>
  <conditionalFormatting sqref="K45">
    <cfRule type="expression" dxfId="6" priority="2">
      <formula>$J$44&lt;0</formula>
    </cfRule>
  </conditionalFormatting>
  <conditionalFormatting sqref="K43:N45">
    <cfRule type="containsText" dxfId="5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54"/>
  <sheetViews>
    <sheetView topLeftCell="A38" workbookViewId="0">
      <selection activeCell="A46" sqref="A46:L54"/>
    </sheetView>
  </sheetViews>
  <sheetFormatPr defaultRowHeight="14.4" x14ac:dyDescent="0.3"/>
  <cols>
    <col min="1" max="1" width="9" customWidth="1"/>
    <col min="2" max="2" width="39.33203125" customWidth="1"/>
    <col min="3" max="3" width="13" customWidth="1"/>
    <col min="4" max="4" width="12.33203125" customWidth="1"/>
    <col min="5" max="5" width="12.109375" customWidth="1"/>
    <col min="6" max="6" width="14.5546875" customWidth="1"/>
    <col min="7" max="7" width="19.5546875" customWidth="1"/>
    <col min="8" max="8" width="13.6640625" customWidth="1"/>
    <col min="9" max="9" width="0" hidden="1" customWidth="1"/>
    <col min="10" max="10" width="18.44140625" customWidth="1"/>
    <col min="11" max="11" width="16.44140625" customWidth="1"/>
    <col min="12" max="12" width="16.109375" customWidth="1"/>
  </cols>
  <sheetData>
    <row r="1" spans="1:12" x14ac:dyDescent="0.3">
      <c r="A1" s="470" t="s">
        <v>294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</row>
    <row r="2" spans="1:12" ht="66.599999999999994" x14ac:dyDescent="0.3">
      <c r="A2" s="387" t="s">
        <v>22</v>
      </c>
      <c r="B2" s="388"/>
      <c r="C2" s="370" t="s">
        <v>23</v>
      </c>
      <c r="D2" s="49" t="s">
        <v>24</v>
      </c>
      <c r="E2" s="50" t="str">
        <f>"FY "&amp;'GVEA|0125-00'!FiscalYear-1&amp;" SALARY"</f>
        <v>FY 2022 SALARY</v>
      </c>
      <c r="F2" s="50" t="str">
        <f>"FY "&amp;'GVEA|0125-00'!FiscalYear-1&amp;" HEALTH BENEFITS"</f>
        <v>FY 2022 HEALTH BENEFITS</v>
      </c>
      <c r="G2" s="50" t="str">
        <f>"FY "&amp;'GVEA|0125-00'!FiscalYear-1&amp;" VAR BENEFITS"</f>
        <v>FY 2022 VAR BENEFITS</v>
      </c>
      <c r="H2" s="50" t="str">
        <f>"FY "&amp;'GVEA|0125-00'!FiscalYear-1&amp;" TOTAL"</f>
        <v>FY 2022 TOTAL</v>
      </c>
      <c r="I2" s="50" t="str">
        <f>"FY "&amp;'GVEA|0125-00'!FiscalYear&amp;" SALARY CHANGE"</f>
        <v>FY 2023 SALARY CHANGE</v>
      </c>
      <c r="J2" s="50" t="str">
        <f>"FY "&amp;'GVEA|0125-00'!FiscalYear&amp;" CHG HEALTH BENEFITS"</f>
        <v>FY 2023 CHG HEALTH BENEFITS</v>
      </c>
      <c r="K2" s="50" t="str">
        <f>"FY "&amp;'GVEA|0125-00'!FiscalYear&amp;" CHG VAR BENEFITS"</f>
        <v>FY 2023 CHG VAR BENEFITS</v>
      </c>
      <c r="L2" s="50" t="s">
        <v>25</v>
      </c>
    </row>
    <row r="3" spans="1:12" x14ac:dyDescent="0.3">
      <c r="A3" s="389" t="s">
        <v>26</v>
      </c>
      <c r="B3" s="390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3">
      <c r="A4" s="385" t="s">
        <v>27</v>
      </c>
      <c r="B4" s="391"/>
      <c r="C4" s="217">
        <v>1</v>
      </c>
      <c r="D4" s="288">
        <f>[0]!GVEA012500col_INC_FTI</f>
        <v>0.6</v>
      </c>
      <c r="E4" s="218">
        <f>[0]!GVEA012500col_FTI_SALARY_PERM</f>
        <v>47012.160000000003</v>
      </c>
      <c r="F4" s="218">
        <f>[0]!GVEA012500col_HEALTH_PERM</f>
        <v>6990</v>
      </c>
      <c r="G4" s="218">
        <f>[0]!GVEA012500col_TOT_VB_PERM</f>
        <v>9799.6899935999991</v>
      </c>
      <c r="H4" s="219">
        <f>SUM(E4:G4)</f>
        <v>63801.849993600001</v>
      </c>
      <c r="I4" s="219">
        <f>[0]!GVEA012500col_1_27TH_PP</f>
        <v>0</v>
      </c>
      <c r="J4" s="218">
        <f>[0]!GVEA012500col_HEALTH_PERM_CHG</f>
        <v>0</v>
      </c>
      <c r="K4" s="218">
        <f>[0]!GVEA012500col_TOT_VB_PERM_CHG</f>
        <v>-81.806399999999996</v>
      </c>
      <c r="L4" s="218">
        <f>SUM(J4:K4)</f>
        <v>-81.806399999999996</v>
      </c>
    </row>
    <row r="5" spans="1:12" x14ac:dyDescent="0.3">
      <c r="A5" s="385" t="s">
        <v>28</v>
      </c>
      <c r="B5" s="391"/>
      <c r="C5" s="217">
        <v>2</v>
      </c>
      <c r="D5" s="288"/>
      <c r="E5" s="218">
        <f>[0]!GVEA012500col_Group_Salary</f>
        <v>0</v>
      </c>
      <c r="F5" s="218">
        <v>0</v>
      </c>
      <c r="G5" s="218">
        <f>[0]!GVEA012500col_Group_Ben</f>
        <v>0</v>
      </c>
      <c r="H5" s="219">
        <f>SUM(E5:G5)</f>
        <v>0</v>
      </c>
      <c r="I5" s="268"/>
      <c r="J5" s="218"/>
      <c r="K5" s="218"/>
      <c r="L5" s="218"/>
    </row>
    <row r="6" spans="1:12" x14ac:dyDescent="0.3">
      <c r="A6" s="385" t="s">
        <v>29</v>
      </c>
      <c r="B6" s="386"/>
      <c r="C6" s="217">
        <v>3</v>
      </c>
      <c r="D6" s="288">
        <f>[0]!GVEA012500col_TOTAL_ELECT_PCN_FTI</f>
        <v>0</v>
      </c>
      <c r="E6" s="218">
        <f>[0]!GVEA012500col_FTI_SALARY_ELECT</f>
        <v>0</v>
      </c>
      <c r="F6" s="218">
        <f>[0]!GVEA012500col_HEALTH_ELECT</f>
        <v>0</v>
      </c>
      <c r="G6" s="218">
        <f>[0]!GVEA012500col_TOT_VB_ELECT</f>
        <v>0</v>
      </c>
      <c r="H6" s="219">
        <f>SUM(E6:G6)</f>
        <v>0</v>
      </c>
      <c r="I6" s="268"/>
      <c r="J6" s="218">
        <f>[0]!GVEA012500col_HEALTH_ELECT_CHG</f>
        <v>0</v>
      </c>
      <c r="K6" s="218">
        <f>[0]!GVEA012500col_TOT_VB_ELECT_CHG</f>
        <v>0</v>
      </c>
      <c r="L6" s="219">
        <f>SUM(J6:K6)</f>
        <v>0</v>
      </c>
    </row>
    <row r="7" spans="1:12" x14ac:dyDescent="0.3">
      <c r="A7" s="385" t="s">
        <v>30</v>
      </c>
      <c r="B7" s="391"/>
      <c r="C7" s="217"/>
      <c r="D7" s="220">
        <f>SUM(D4:D6)</f>
        <v>0.6</v>
      </c>
      <c r="E7" s="221">
        <f>SUM(E4:E6)</f>
        <v>47012.160000000003</v>
      </c>
      <c r="F7" s="221">
        <f>SUM(F4:F6)</f>
        <v>6990</v>
      </c>
      <c r="G7" s="221">
        <f>SUM(G4:G6)</f>
        <v>9799.6899935999991</v>
      </c>
      <c r="H7" s="219">
        <f>SUM(E7:G7)</f>
        <v>63801.849993600001</v>
      </c>
      <c r="I7" s="268"/>
      <c r="J7" s="219">
        <f>SUM(J4:J6)</f>
        <v>0</v>
      </c>
      <c r="K7" s="219">
        <f>SUM(K4:K6)</f>
        <v>-81.806399999999996</v>
      </c>
      <c r="L7" s="219">
        <f>SUM(L4:L6)</f>
        <v>-81.806399999999996</v>
      </c>
    </row>
    <row r="8" spans="1:12" x14ac:dyDescent="0.3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3">
      <c r="A9" s="157" t="str">
        <f>"FY "&amp;'GVEA|0125-00'!FiscalYear-1</f>
        <v>FY 2022</v>
      </c>
      <c r="B9" s="158" t="s">
        <v>31</v>
      </c>
      <c r="C9" s="355">
        <v>153000</v>
      </c>
      <c r="D9" s="55">
        <v>1.05</v>
      </c>
      <c r="E9" s="223">
        <f>IF('GVEA|0125-00'!OrigApprop=0,0,(E7/H7)*'GVEA|0125-00'!OrigApprop)</f>
        <v>112737.49085209159</v>
      </c>
      <c r="F9" s="223">
        <f>IF('GVEA|0125-00'!OrigApprop=0,0,(F7/H7)*'GVEA|0125-00'!OrigApprop)</f>
        <v>16762.366610173205</v>
      </c>
      <c r="G9" s="223">
        <f>IF(E9=0,0,(G7/H7)*'GVEA|0125-00'!OrigApprop)</f>
        <v>23500.142537735202</v>
      </c>
      <c r="H9" s="223">
        <f>SUM(E9:G9)</f>
        <v>153000</v>
      </c>
      <c r="I9" s="268"/>
      <c r="J9" s="224"/>
      <c r="K9" s="224"/>
      <c r="L9" s="224"/>
    </row>
    <row r="10" spans="1:12" x14ac:dyDescent="0.3">
      <c r="A10" s="392" t="s">
        <v>32</v>
      </c>
      <c r="B10" s="393"/>
      <c r="C10" s="160" t="s">
        <v>33</v>
      </c>
      <c r="D10" s="161">
        <f>D9-D7</f>
        <v>0.45000000000000007</v>
      </c>
      <c r="E10" s="162">
        <f>E9-E7</f>
        <v>65725.330852091589</v>
      </c>
      <c r="F10" s="162">
        <f>F9-F7</f>
        <v>9772.3666101732051</v>
      </c>
      <c r="G10" s="162">
        <f>G9-G7</f>
        <v>13700.452544135203</v>
      </c>
      <c r="H10" s="162">
        <f>H9-H7</f>
        <v>89198.150006399999</v>
      </c>
      <c r="I10" s="269"/>
      <c r="J10" s="56" t="str">
        <f>IF('GVEA|0125-00'!OrigApprop=0,"ERROR! Enter Original Appropriation amount in DU 3.00!","Calculated "&amp;IF('GVEA|0125-00'!AdjustedTotal&gt;0,"overfunding ","underfunding ")&amp;"is "&amp;TEXT('GVEA|0125-00'!AdjustedTotal/'GVEA|0125-00'!AppropTotal,"#.0%;(#.0% );0% ;")&amp;" of Original Appropriation")</f>
        <v>Calculated overfunding is 58.3% of Original Appropriation</v>
      </c>
      <c r="K10" s="163"/>
      <c r="L10" s="164"/>
    </row>
    <row r="12" spans="1:12" x14ac:dyDescent="0.3">
      <c r="A12" s="470" t="s">
        <v>300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</row>
    <row r="13" spans="1:12" ht="40.200000000000003" x14ac:dyDescent="0.3">
      <c r="A13" s="387" t="s">
        <v>22</v>
      </c>
      <c r="B13" s="388"/>
      <c r="C13" s="370" t="s">
        <v>23</v>
      </c>
      <c r="D13" s="49" t="s">
        <v>24</v>
      </c>
      <c r="E13" s="50" t="str">
        <f>"FY "&amp;'GVEA|0348-00'!FiscalYear-1&amp;" SALARY"</f>
        <v>FY 2022 SALARY</v>
      </c>
      <c r="F13" s="50" t="str">
        <f>"FY "&amp;'GVEA|0348-00'!FiscalYear-1&amp;" HEALTH BENEFITS"</f>
        <v>FY 2022 HEALTH BENEFITS</v>
      </c>
      <c r="G13" s="50" t="str">
        <f>"FY "&amp;'GVEA|0348-00'!FiscalYear-1&amp;" VAR BENEFITS"</f>
        <v>FY 2022 VAR BENEFITS</v>
      </c>
      <c r="H13" s="50" t="str">
        <f>"FY "&amp;'GVEA|0348-00'!FiscalYear-1&amp;" TOTAL"</f>
        <v>FY 2022 TOTAL</v>
      </c>
      <c r="I13" s="50" t="str">
        <f>"FY "&amp;'GVEA|0348-00'!FiscalYear&amp;" SALARY CHANGE"</f>
        <v>FY 2023 SALARY CHANGE</v>
      </c>
      <c r="J13" s="50" t="str">
        <f>"FY "&amp;'GVEA|0348-00'!FiscalYear&amp;" CHG HEALTH BENEFITS"</f>
        <v>FY 2023 CHG HEALTH BENEFITS</v>
      </c>
      <c r="K13" s="50" t="str">
        <f>"FY "&amp;'GVEA|0348-00'!FiscalYear&amp;" CHG VAR BENEFITS"</f>
        <v>FY 2023 CHG VAR BENEFITS</v>
      </c>
      <c r="L13" s="50" t="s">
        <v>25</v>
      </c>
    </row>
    <row r="14" spans="1:12" x14ac:dyDescent="0.3">
      <c r="A14" s="389" t="s">
        <v>26</v>
      </c>
      <c r="B14" s="390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3">
      <c r="A15" s="385" t="s">
        <v>27</v>
      </c>
      <c r="B15" s="391"/>
      <c r="C15" s="217">
        <v>1</v>
      </c>
      <c r="D15" s="288">
        <f>[0]!GVEA034800col_INC_FTI</f>
        <v>4.9000000000000004</v>
      </c>
      <c r="E15" s="218">
        <f>[0]!GVEA034800col_FTI_SALARY_PERM</f>
        <v>263063.84000000003</v>
      </c>
      <c r="F15" s="218">
        <f>[0]!GVEA034800col_HEALTH_PERM</f>
        <v>57085</v>
      </c>
      <c r="G15" s="218">
        <f>[0]!GVEA034800col_TOT_VB_PERM</f>
        <v>55719.551950399997</v>
      </c>
      <c r="H15" s="219">
        <f>SUM(E15:G15)</f>
        <v>375868.39195040002</v>
      </c>
      <c r="I15" s="219">
        <f>[0]!GVEA034800col_1_27TH_PP</f>
        <v>0</v>
      </c>
      <c r="J15" s="218">
        <f>[0]!GVEA034800col_HEALTH_PERM_CHG</f>
        <v>0</v>
      </c>
      <c r="K15" s="218">
        <f>[0]!GVEA034800col_TOT_VB_PERM_CHG</f>
        <v>-1341.6255840000001</v>
      </c>
      <c r="L15" s="218">
        <f>SUM(J15:K15)</f>
        <v>-1341.6255840000001</v>
      </c>
    </row>
    <row r="16" spans="1:12" x14ac:dyDescent="0.3">
      <c r="A16" s="385" t="s">
        <v>28</v>
      </c>
      <c r="B16" s="391"/>
      <c r="C16" s="217">
        <v>2</v>
      </c>
      <c r="D16" s="288"/>
      <c r="E16" s="218">
        <f>[0]!GVEA034800col_Group_Salary</f>
        <v>0</v>
      </c>
      <c r="F16" s="218">
        <v>0</v>
      </c>
      <c r="G16" s="218">
        <f>[0]!GVEA034800col_Group_Ben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3">
      <c r="A17" s="385" t="s">
        <v>29</v>
      </c>
      <c r="B17" s="386"/>
      <c r="C17" s="217">
        <v>3</v>
      </c>
      <c r="D17" s="288">
        <f>[0]!GVEA034800col_TOTAL_ELECT_PCN_FTI</f>
        <v>0</v>
      </c>
      <c r="E17" s="218">
        <f>[0]!GVEA034800col_FTI_SALARY_ELECT</f>
        <v>0</v>
      </c>
      <c r="F17" s="218">
        <f>[0]!GVEA034800col_HEALTH_ELECT</f>
        <v>0</v>
      </c>
      <c r="G17" s="218">
        <f>[0]!GVEA034800col_TOT_VB_ELECT</f>
        <v>0</v>
      </c>
      <c r="H17" s="219">
        <f>SUM(E17:G17)</f>
        <v>0</v>
      </c>
      <c r="I17" s="268"/>
      <c r="J17" s="218">
        <f>[0]!GVEA034800col_HEALTH_ELECT_CHG</f>
        <v>0</v>
      </c>
      <c r="K17" s="218">
        <f>[0]!GVEA034800col_TOT_VB_ELECT_CHG</f>
        <v>0</v>
      </c>
      <c r="L17" s="219">
        <f>SUM(J17:K17)</f>
        <v>0</v>
      </c>
    </row>
    <row r="18" spans="1:12" x14ac:dyDescent="0.3">
      <c r="A18" s="385" t="s">
        <v>30</v>
      </c>
      <c r="B18" s="391"/>
      <c r="C18" s="217"/>
      <c r="D18" s="220">
        <f>SUM(D15:D17)</f>
        <v>4.9000000000000004</v>
      </c>
      <c r="E18" s="221">
        <f>SUM(E15:E17)</f>
        <v>263063.84000000003</v>
      </c>
      <c r="F18" s="221">
        <f>SUM(F15:F17)</f>
        <v>57085</v>
      </c>
      <c r="G18" s="221">
        <f>SUM(G15:G17)</f>
        <v>55719.551950399997</v>
      </c>
      <c r="H18" s="219">
        <f>SUM(E18:G18)</f>
        <v>375868.39195040002</v>
      </c>
      <c r="I18" s="268"/>
      <c r="J18" s="219">
        <f>SUM(J15:J17)</f>
        <v>0</v>
      </c>
      <c r="K18" s="219">
        <f>SUM(K15:K17)</f>
        <v>-1341.6255840000001</v>
      </c>
      <c r="L18" s="219">
        <f>SUM(L15:L17)</f>
        <v>-1341.6255840000001</v>
      </c>
    </row>
    <row r="19" spans="1:12" x14ac:dyDescent="0.3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3">
      <c r="A20" s="157" t="str">
        <f>"FY "&amp;'GVEA|0348-00'!FiscalYear-1</f>
        <v>FY 2022</v>
      </c>
      <c r="B20" s="158" t="s">
        <v>31</v>
      </c>
      <c r="C20" s="355">
        <v>371600</v>
      </c>
      <c r="D20" s="55">
        <v>4.4000000000000004</v>
      </c>
      <c r="E20" s="223">
        <f>IF('GVEA|0348-00'!OrigApprop=0,0,(E18/H18)*'GVEA|0348-00'!OrigApprop)</f>
        <v>260076.4656925443</v>
      </c>
      <c r="F20" s="223">
        <f>IF('GVEA|0348-00'!OrigApprop=0,0,(F18/H18)*'GVEA|0348-00'!OrigApprop)</f>
        <v>56436.738109117883</v>
      </c>
      <c r="G20" s="223">
        <f>IF(E20=0,0,(G18/H18)*'GVEA|0348-00'!OrigApprop)</f>
        <v>55086.796198337797</v>
      </c>
      <c r="H20" s="223">
        <f>SUM(E20:G20)</f>
        <v>371600</v>
      </c>
      <c r="I20" s="268"/>
      <c r="J20" s="224"/>
      <c r="K20" s="224"/>
      <c r="L20" s="224"/>
    </row>
    <row r="21" spans="1:12" x14ac:dyDescent="0.3">
      <c r="A21" s="392" t="s">
        <v>32</v>
      </c>
      <c r="B21" s="393"/>
      <c r="C21" s="160" t="s">
        <v>33</v>
      </c>
      <c r="D21" s="161">
        <f>D20-D18</f>
        <v>-0.5</v>
      </c>
      <c r="E21" s="162">
        <f>E20-E18</f>
        <v>-2987.3743074557278</v>
      </c>
      <c r="F21" s="162">
        <f>F20-F18</f>
        <v>-648.26189088211686</v>
      </c>
      <c r="G21" s="162">
        <f>G20-G18</f>
        <v>-632.75575206219946</v>
      </c>
      <c r="H21" s="162">
        <f>H20-H18</f>
        <v>-4268.3919504000223</v>
      </c>
      <c r="I21" s="269"/>
      <c r="J21" s="56" t="str">
        <f>IF('GVEA|0348-00'!OrigApprop=0,"ERROR! Enter Original Appropriation amount in DU 3.00!","Calculated "&amp;IF('GVEA|0348-00'!AdjustedTotal&gt;0,"overfunding ","underfunding ")&amp;"is "&amp;TEXT('GVEA|0348-00'!AdjustedTotal/'GVEA|0348-00'!AppropTotal,"#.0%;(#.0% );0% ;")&amp;" of Original Appropriation")</f>
        <v>Calculated underfunding is (1.1% ) of Original Appropriation</v>
      </c>
      <c r="K21" s="163"/>
      <c r="L21" s="164"/>
    </row>
    <row r="23" spans="1:12" x14ac:dyDescent="0.3">
      <c r="A23" s="470" t="s">
        <v>306</v>
      </c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</row>
    <row r="24" spans="1:12" ht="40.200000000000003" x14ac:dyDescent="0.3">
      <c r="A24" s="387" t="s">
        <v>22</v>
      </c>
      <c r="B24" s="388"/>
      <c r="C24" s="370" t="s">
        <v>23</v>
      </c>
      <c r="D24" s="49" t="s">
        <v>24</v>
      </c>
      <c r="E24" s="50" t="str">
        <f>"FY "&amp;'GVEA|0349-00'!FiscalYear-1&amp;" SALARY"</f>
        <v>FY 2022 SALARY</v>
      </c>
      <c r="F24" s="50" t="str">
        <f>"FY "&amp;'GVEA|0349-00'!FiscalYear-1&amp;" HEALTH BENEFITS"</f>
        <v>FY 2022 HEALTH BENEFITS</v>
      </c>
      <c r="G24" s="50" t="str">
        <f>"FY "&amp;'GVEA|0349-00'!FiscalYear-1&amp;" VAR BENEFITS"</f>
        <v>FY 2022 VAR BENEFITS</v>
      </c>
      <c r="H24" s="50" t="str">
        <f>"FY "&amp;'GVEA|0349-00'!FiscalYear-1&amp;" TOTAL"</f>
        <v>FY 2022 TOTAL</v>
      </c>
      <c r="I24" s="50" t="str">
        <f>"FY "&amp;'GVEA|0349-00'!FiscalYear&amp;" SALARY CHANGE"</f>
        <v>FY 2023 SALARY CHANGE</v>
      </c>
      <c r="J24" s="50" t="str">
        <f>"FY "&amp;'GVEA|0349-00'!FiscalYear&amp;" CHG HEALTH BENEFITS"</f>
        <v>FY 2023 CHG HEALTH BENEFITS</v>
      </c>
      <c r="K24" s="50" t="str">
        <f>"FY "&amp;'GVEA|0349-00'!FiscalYear&amp;" CHG VAR BENEFITS"</f>
        <v>FY 2023 CHG VAR BENEFITS</v>
      </c>
      <c r="L24" s="50" t="s">
        <v>25</v>
      </c>
    </row>
    <row r="25" spans="1:12" x14ac:dyDescent="0.3">
      <c r="A25" s="389" t="s">
        <v>26</v>
      </c>
      <c r="B25" s="390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3">
      <c r="A26" s="385" t="s">
        <v>27</v>
      </c>
      <c r="B26" s="391"/>
      <c r="C26" s="217">
        <v>1</v>
      </c>
      <c r="D26" s="288">
        <f>[0]!GVEA034900col_INC_FTI</f>
        <v>0</v>
      </c>
      <c r="E26" s="218">
        <f>[0]!GVEA034900col_FTI_SALARY_PERM</f>
        <v>0</v>
      </c>
      <c r="F26" s="218">
        <f>[0]!GVEA034900col_HEALTH_PERM</f>
        <v>0</v>
      </c>
      <c r="G26" s="218">
        <f>[0]!GVEA034900col_TOT_VB_PERM</f>
        <v>0</v>
      </c>
      <c r="H26" s="219">
        <f>SUM(E26:G26)</f>
        <v>0</v>
      </c>
      <c r="I26" s="219">
        <f>[0]!GVEA034900col_1_27TH_PP</f>
        <v>0</v>
      </c>
      <c r="J26" s="218">
        <f>[0]!GVEA034900col_HEALTH_PERM_CHG</f>
        <v>0</v>
      </c>
      <c r="K26" s="218">
        <f>[0]!GVEA034900col_TOT_VB_PERM_CHG</f>
        <v>0</v>
      </c>
      <c r="L26" s="218">
        <f>SUM(J26:K26)</f>
        <v>0</v>
      </c>
    </row>
    <row r="27" spans="1:12" x14ac:dyDescent="0.3">
      <c r="A27" s="385" t="s">
        <v>28</v>
      </c>
      <c r="B27" s="391"/>
      <c r="C27" s="217">
        <v>2</v>
      </c>
      <c r="D27" s="288"/>
      <c r="E27" s="218">
        <f>[0]!GVEA034900col_Group_Salary</f>
        <v>0</v>
      </c>
      <c r="F27" s="218">
        <v>0</v>
      </c>
      <c r="G27" s="218">
        <f>[0]!GVEA034900col_Group_Ben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3">
      <c r="A28" s="385" t="s">
        <v>29</v>
      </c>
      <c r="B28" s="386"/>
      <c r="C28" s="217">
        <v>3</v>
      </c>
      <c r="D28" s="288">
        <f>[0]!GVEA034900col_TOTAL_ELECT_PCN_FTI</f>
        <v>0</v>
      </c>
      <c r="E28" s="218">
        <f>[0]!GVEA034900col_FTI_SALARY_ELECT</f>
        <v>0</v>
      </c>
      <c r="F28" s="218">
        <f>[0]!GVEA034900col_HEALTH_ELECT</f>
        <v>0</v>
      </c>
      <c r="G28" s="218">
        <f>[0]!GVEA034900col_TOT_VB_ELECT</f>
        <v>0</v>
      </c>
      <c r="H28" s="219">
        <f>SUM(E28:G28)</f>
        <v>0</v>
      </c>
      <c r="I28" s="268"/>
      <c r="J28" s="218">
        <f>[0]!GVEA034900col_HEALTH_ELECT_CHG</f>
        <v>0</v>
      </c>
      <c r="K28" s="218">
        <f>[0]!GVEA034900col_TOT_VB_ELECT_CHG</f>
        <v>0</v>
      </c>
      <c r="L28" s="219">
        <f>SUM(J28:K28)</f>
        <v>0</v>
      </c>
    </row>
    <row r="29" spans="1:12" x14ac:dyDescent="0.3">
      <c r="A29" s="385" t="s">
        <v>30</v>
      </c>
      <c r="B29" s="391"/>
      <c r="C29" s="217"/>
      <c r="D29" s="220">
        <f>SUM(D26:D28)</f>
        <v>0</v>
      </c>
      <c r="E29" s="221">
        <f>SUM(E26:E28)</f>
        <v>0</v>
      </c>
      <c r="F29" s="221">
        <f>SUM(F26:F28)</f>
        <v>0</v>
      </c>
      <c r="G29" s="221">
        <f>SUM(G26:G28)</f>
        <v>0</v>
      </c>
      <c r="H29" s="219">
        <f>SUM(E29:G29)</f>
        <v>0</v>
      </c>
      <c r="I29" s="268"/>
      <c r="J29" s="219">
        <f>SUM(J26:J28)</f>
        <v>0</v>
      </c>
      <c r="K29" s="219">
        <f>SUM(K26:K28)</f>
        <v>0</v>
      </c>
      <c r="L29" s="219">
        <f>SUM(L26:L28)</f>
        <v>0</v>
      </c>
    </row>
    <row r="30" spans="1:12" x14ac:dyDescent="0.3">
      <c r="A30" s="365"/>
      <c r="B30" s="371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3">
      <c r="A31" s="157" t="str">
        <f>"FY "&amp;'GVEA|0349-00'!FiscalYear-1</f>
        <v>FY 2022</v>
      </c>
      <c r="B31" s="158" t="s">
        <v>31</v>
      </c>
      <c r="C31" s="355">
        <v>10100</v>
      </c>
      <c r="D31" s="55">
        <v>0</v>
      </c>
      <c r="E31" s="223" t="e">
        <f>IF('GVEA|0349-00'!OrigApprop=0,0,(E29/H29)*'GVEA|0349-00'!OrigApprop)</f>
        <v>#DIV/0!</v>
      </c>
      <c r="F31" s="223" t="e">
        <f>IF('GVEA|0349-00'!OrigApprop=0,0,(F29/H29)*'GVEA|0349-00'!OrigApprop)</f>
        <v>#DIV/0!</v>
      </c>
      <c r="G31" s="223" t="e">
        <f>IF(E31=0,0,(G29/H29)*'GVEA|0349-00'!OrigApprop)</f>
        <v>#DIV/0!</v>
      </c>
      <c r="H31" s="223" t="e">
        <f>SUM(E31:G31)</f>
        <v>#DIV/0!</v>
      </c>
      <c r="I31" s="268"/>
      <c r="J31" s="224"/>
      <c r="K31" s="224"/>
      <c r="L31" s="224"/>
    </row>
    <row r="32" spans="1:12" x14ac:dyDescent="0.3">
      <c r="A32" s="392" t="s">
        <v>32</v>
      </c>
      <c r="B32" s="393"/>
      <c r="C32" s="160" t="s">
        <v>33</v>
      </c>
      <c r="D32" s="161">
        <f>D31-D29</f>
        <v>0</v>
      </c>
      <c r="E32" s="162" t="e">
        <f>E31-E29</f>
        <v>#DIV/0!</v>
      </c>
      <c r="F32" s="162" t="e">
        <f>F31-F29</f>
        <v>#DIV/0!</v>
      </c>
      <c r="G32" s="162" t="e">
        <f>G31-G29</f>
        <v>#DIV/0!</v>
      </c>
      <c r="H32" s="162" t="e">
        <f>H31-H29</f>
        <v>#DIV/0!</v>
      </c>
      <c r="I32" s="269"/>
      <c r="J32" s="56" t="e">
        <f>IF('GVEA|0349-00'!OrigApprop=0,"ERROR! Enter Original Appropriation amount in DU 3.00!","Calculated "&amp;IF('GVEA|0349-00'!AdjustedTotal&gt;0,"overfunding ","underfunding ")&amp;"is "&amp;TEXT('GVEA|0349-00'!AdjustedTotal/'GVEA|0349-00'!AppropTotal,"#.0%;(#.0% );0% ;")&amp;" of Original Appropriation")</f>
        <v>#DIV/0!</v>
      </c>
      <c r="K32" s="163"/>
      <c r="L32" s="164"/>
    </row>
    <row r="34" spans="1:12" x14ac:dyDescent="0.3">
      <c r="A34" s="470" t="s">
        <v>313</v>
      </c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</row>
    <row r="35" spans="1:12" ht="40.200000000000003" x14ac:dyDescent="0.3">
      <c r="A35" s="387" t="s">
        <v>22</v>
      </c>
      <c r="B35" s="388"/>
      <c r="C35" s="370" t="s">
        <v>23</v>
      </c>
      <c r="D35" s="49" t="s">
        <v>24</v>
      </c>
      <c r="E35" s="50" t="str">
        <f>"FY "&amp;'GVEA|0494-00'!FiscalYear-1&amp;" SALARY"</f>
        <v>FY 2022 SALARY</v>
      </c>
      <c r="F35" s="50" t="str">
        <f>"FY "&amp;'GVEA|0494-00'!FiscalYear-1&amp;" HEALTH BENEFITS"</f>
        <v>FY 2022 HEALTH BENEFITS</v>
      </c>
      <c r="G35" s="50" t="str">
        <f>"FY "&amp;'GVEA|0494-00'!FiscalYear-1&amp;" VAR BENEFITS"</f>
        <v>FY 2022 VAR BENEFITS</v>
      </c>
      <c r="H35" s="50" t="str">
        <f>"FY "&amp;'GVEA|0494-00'!FiscalYear-1&amp;" TOTAL"</f>
        <v>FY 2022 TOTAL</v>
      </c>
      <c r="I35" s="50" t="str">
        <f>"FY "&amp;'GVEA|0494-00'!FiscalYear&amp;" SALARY CHANGE"</f>
        <v>FY 2023 SALARY CHANGE</v>
      </c>
      <c r="J35" s="50" t="str">
        <f>"FY "&amp;'GVEA|0494-00'!FiscalYear&amp;" CHG HEALTH BENEFITS"</f>
        <v>FY 2023 CHG HEALTH BENEFITS</v>
      </c>
      <c r="K35" s="50" t="str">
        <f>"FY "&amp;'GVEA|0494-00'!FiscalYear&amp;" CHG VAR BENEFITS"</f>
        <v>FY 2023 CHG VAR BENEFITS</v>
      </c>
      <c r="L35" s="50" t="s">
        <v>25</v>
      </c>
    </row>
    <row r="36" spans="1:12" x14ac:dyDescent="0.3">
      <c r="A36" s="389" t="s">
        <v>26</v>
      </c>
      <c r="B36" s="390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3">
      <c r="A37" s="385" t="s">
        <v>27</v>
      </c>
      <c r="B37" s="391"/>
      <c r="C37" s="217">
        <v>1</v>
      </c>
      <c r="D37" s="288">
        <f>[0]!GVEA049400col_INC_FTI</f>
        <v>0.4</v>
      </c>
      <c r="E37" s="218">
        <f>[0]!GVEA049400col_FTI_SALARY_PERM</f>
        <v>28346.240000000002</v>
      </c>
      <c r="F37" s="218">
        <f>[0]!GVEA049400col_HEALTH_PERM</f>
        <v>4660</v>
      </c>
      <c r="G37" s="218">
        <f>[0]!GVEA049400col_TOT_VB_PERM</f>
        <v>6004.017094400001</v>
      </c>
      <c r="H37" s="219">
        <f>SUM(E37:G37)</f>
        <v>39010.257094400004</v>
      </c>
      <c r="I37" s="219">
        <f>[0]!GVEA049400col_1_27TH_PP</f>
        <v>0</v>
      </c>
      <c r="J37" s="218">
        <f>[0]!GVEA049400col_HEALTH_PERM_CHG</f>
        <v>0</v>
      </c>
      <c r="K37" s="218">
        <f>[0]!GVEA049400col_TOT_VB_PERM_CHG</f>
        <v>-144.56582400000002</v>
      </c>
      <c r="L37" s="218">
        <f>SUM(J37:K37)</f>
        <v>-144.56582400000002</v>
      </c>
    </row>
    <row r="38" spans="1:12" x14ac:dyDescent="0.3">
      <c r="A38" s="385" t="s">
        <v>28</v>
      </c>
      <c r="B38" s="391"/>
      <c r="C38" s="217">
        <v>2</v>
      </c>
      <c r="D38" s="288"/>
      <c r="E38" s="218">
        <f>[0]!GVEA049400col_Group_Salary</f>
        <v>0</v>
      </c>
      <c r="F38" s="218">
        <v>0</v>
      </c>
      <c r="G38" s="218">
        <f>[0]!GVEA049400col_Group_Ben</f>
        <v>0</v>
      </c>
      <c r="H38" s="219">
        <f>SUM(E38:G38)</f>
        <v>0</v>
      </c>
      <c r="I38" s="268"/>
      <c r="J38" s="218"/>
      <c r="K38" s="218"/>
      <c r="L38" s="218"/>
    </row>
    <row r="39" spans="1:12" x14ac:dyDescent="0.3">
      <c r="A39" s="385" t="s">
        <v>29</v>
      </c>
      <c r="B39" s="386"/>
      <c r="C39" s="217">
        <v>3</v>
      </c>
      <c r="D39" s="288">
        <f>[0]!GVEA049400col_TOTAL_ELECT_PCN_FTI</f>
        <v>0</v>
      </c>
      <c r="E39" s="218">
        <f>[0]!GVEA049400col_FTI_SALARY_ELECT</f>
        <v>0</v>
      </c>
      <c r="F39" s="218">
        <f>[0]!GVEA049400col_HEALTH_ELECT</f>
        <v>0</v>
      </c>
      <c r="G39" s="218">
        <f>[0]!GVEA049400col_TOT_VB_ELECT</f>
        <v>0</v>
      </c>
      <c r="H39" s="219">
        <f>SUM(E39:G39)</f>
        <v>0</v>
      </c>
      <c r="I39" s="268"/>
      <c r="J39" s="218">
        <f>[0]!GVEA049400col_HEALTH_ELECT_CHG</f>
        <v>0</v>
      </c>
      <c r="K39" s="218">
        <f>[0]!GVEA049400col_TOT_VB_ELECT_CHG</f>
        <v>0</v>
      </c>
      <c r="L39" s="219">
        <f>SUM(J39:K39)</f>
        <v>0</v>
      </c>
    </row>
    <row r="40" spans="1:12" x14ac:dyDescent="0.3">
      <c r="A40" s="385" t="s">
        <v>30</v>
      </c>
      <c r="B40" s="391"/>
      <c r="C40" s="217"/>
      <c r="D40" s="220">
        <f>SUM(D37:D39)</f>
        <v>0.4</v>
      </c>
      <c r="E40" s="221">
        <f>SUM(E37:E39)</f>
        <v>28346.240000000002</v>
      </c>
      <c r="F40" s="221">
        <f>SUM(F37:F39)</f>
        <v>4660</v>
      </c>
      <c r="G40" s="221">
        <f>SUM(G37:G39)</f>
        <v>6004.017094400001</v>
      </c>
      <c r="H40" s="219">
        <f>SUM(E40:G40)</f>
        <v>39010.257094400004</v>
      </c>
      <c r="I40" s="268"/>
      <c r="J40" s="219">
        <f>SUM(J37:J39)</f>
        <v>0</v>
      </c>
      <c r="K40" s="219">
        <f>SUM(K37:K39)</f>
        <v>-144.56582400000002</v>
      </c>
      <c r="L40" s="219">
        <f>SUM(L37:L39)</f>
        <v>-144.56582400000002</v>
      </c>
    </row>
    <row r="41" spans="1:12" x14ac:dyDescent="0.3">
      <c r="A41" s="365"/>
      <c r="B41" s="371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3">
      <c r="A42" s="157" t="str">
        <f>"FY "&amp;'GVEA|0494-00'!FiscalYear-1</f>
        <v>FY 2022</v>
      </c>
      <c r="B42" s="158" t="s">
        <v>31</v>
      </c>
      <c r="C42" s="355">
        <v>260900</v>
      </c>
      <c r="D42" s="55">
        <v>0.95</v>
      </c>
      <c r="E42" s="223">
        <f>IF('GVEA|0494-00'!OrigApprop=0,0,(E40/H40)*'GVEA|0494-00'!OrigApprop)</f>
        <v>189579.21754024131</v>
      </c>
      <c r="F42" s="223">
        <f>IF('GVEA|0494-00'!OrigApprop=0,0,(F40/H40)*'GVEA|0494-00'!OrigApprop)</f>
        <v>31166.008392560161</v>
      </c>
      <c r="G42" s="223">
        <f>IF(E42=0,0,(G40/H40)*'GVEA|0494-00'!OrigApprop)</f>
        <v>40154.774067198516</v>
      </c>
      <c r="H42" s="223">
        <f>SUM(E42:G42)</f>
        <v>260899.99999999997</v>
      </c>
      <c r="I42" s="268"/>
      <c r="J42" s="224"/>
      <c r="K42" s="224"/>
      <c r="L42" s="224"/>
    </row>
    <row r="43" spans="1:12" x14ac:dyDescent="0.3">
      <c r="A43" s="392" t="s">
        <v>32</v>
      </c>
      <c r="B43" s="393"/>
      <c r="C43" s="160" t="s">
        <v>33</v>
      </c>
      <c r="D43" s="161">
        <f>D42-D40</f>
        <v>0.54999999999999993</v>
      </c>
      <c r="E43" s="162">
        <f>E42-E40</f>
        <v>161232.97754024132</v>
      </c>
      <c r="F43" s="162">
        <f>F42-F40</f>
        <v>26506.008392560161</v>
      </c>
      <c r="G43" s="162">
        <f>G42-G40</f>
        <v>34150.756972798517</v>
      </c>
      <c r="H43" s="162">
        <f>H42-H40</f>
        <v>221889.74290559997</v>
      </c>
      <c r="I43" s="269"/>
      <c r="J43" s="56" t="str">
        <f>IF('GVEA|0494-00'!OrigApprop=0,"ERROR! Enter Original Appropriation amount in DU 3.00!","Calculated "&amp;IF('GVEA|0494-00'!AdjustedTotal&gt;0,"overfunding ","underfunding ")&amp;"is "&amp;TEXT('GVEA|0494-00'!AdjustedTotal/'GVEA|0494-00'!AppropTotal,"#.0%;(#.0% );0% ;")&amp;" of Original Appropriation")</f>
        <v>Calculated overfunding is 85.0% of Original Appropriation</v>
      </c>
      <c r="K43" s="163"/>
      <c r="L43" s="164"/>
    </row>
    <row r="45" spans="1:12" x14ac:dyDescent="0.3">
      <c r="A45" s="470" t="s">
        <v>319</v>
      </c>
      <c r="B45" s="470"/>
      <c r="C45" s="470"/>
      <c r="D45" s="470"/>
      <c r="E45" s="470"/>
      <c r="F45" s="470"/>
      <c r="G45" s="470"/>
      <c r="H45" s="470"/>
      <c r="I45" s="470"/>
      <c r="J45" s="470"/>
      <c r="K45" s="470"/>
      <c r="L45" s="470"/>
    </row>
    <row r="46" spans="1:12" ht="40.200000000000003" x14ac:dyDescent="0.3">
      <c r="A46" s="387" t="s">
        <v>22</v>
      </c>
      <c r="B46" s="388"/>
      <c r="C46" s="370" t="s">
        <v>23</v>
      </c>
      <c r="D46" s="49" t="s">
        <v>24</v>
      </c>
      <c r="E46" s="50" t="str">
        <f>"FY "&amp;'GVEB|0199-00'!FiscalYear-1&amp;" SALARY"</f>
        <v>FY 2022 SALARY</v>
      </c>
      <c r="F46" s="50" t="str">
        <f>"FY "&amp;'GVEB|0199-00'!FiscalYear-1&amp;" HEALTH BENEFITS"</f>
        <v>FY 2022 HEALTH BENEFITS</v>
      </c>
      <c r="G46" s="50" t="str">
        <f>"FY "&amp;'GVEB|0199-00'!FiscalYear-1&amp;" VAR BENEFITS"</f>
        <v>FY 2022 VAR BENEFITS</v>
      </c>
      <c r="H46" s="50" t="str">
        <f>"FY "&amp;'GVEB|0199-00'!FiscalYear-1&amp;" TOTAL"</f>
        <v>FY 2022 TOTAL</v>
      </c>
      <c r="I46" s="50" t="str">
        <f>"FY "&amp;'GVEB|0199-00'!FiscalYear&amp;" SALARY CHANGE"</f>
        <v>FY 2023 SALARY CHANGE</v>
      </c>
      <c r="J46" s="50" t="str">
        <f>"FY "&amp;'GVEB|0199-00'!FiscalYear&amp;" CHG HEALTH BENEFITS"</f>
        <v>FY 2023 CHG HEALTH BENEFITS</v>
      </c>
      <c r="K46" s="50" t="str">
        <f>"FY "&amp;'GVEB|0199-00'!FiscalYear&amp;" CHG VAR BENEFITS"</f>
        <v>FY 2023 CHG VAR BENEFITS</v>
      </c>
      <c r="L46" s="50" t="s">
        <v>25</v>
      </c>
    </row>
    <row r="47" spans="1:12" x14ac:dyDescent="0.3">
      <c r="A47" s="389" t="s">
        <v>26</v>
      </c>
      <c r="B47" s="390"/>
      <c r="C47" s="141"/>
      <c r="D47" s="142"/>
      <c r="E47" s="143"/>
      <c r="F47" s="143"/>
      <c r="G47" s="143"/>
      <c r="H47" s="144"/>
      <c r="I47" s="144"/>
      <c r="J47" s="145"/>
      <c r="K47" s="146"/>
      <c r="L47" s="144"/>
    </row>
    <row r="48" spans="1:12" x14ac:dyDescent="0.3">
      <c r="A48" s="385" t="s">
        <v>27</v>
      </c>
      <c r="B48" s="391"/>
      <c r="C48" s="217">
        <v>1</v>
      </c>
      <c r="D48" s="288">
        <f>[0]!GVEB019900col_INC_FTI</f>
        <v>2.0999999999999996</v>
      </c>
      <c r="E48" s="218">
        <f>[0]!GVEB019900col_FTI_SALARY_PERM</f>
        <v>158052.96000000002</v>
      </c>
      <c r="F48" s="218">
        <f>[0]!GVEB019900col_HEALTH_PERM</f>
        <v>24465</v>
      </c>
      <c r="G48" s="218">
        <f>[0]!GVEB019900col_TOT_VB_PERM</f>
        <v>33108.634353599999</v>
      </c>
      <c r="H48" s="219">
        <f>SUM(E48:G48)</f>
        <v>215626.59435360003</v>
      </c>
      <c r="I48" s="219">
        <f>[0]!GVEB019900col_1_27TH_PP</f>
        <v>0</v>
      </c>
      <c r="J48" s="218">
        <f>[0]!GVEB019900col_HEALTH_PERM_CHG</f>
        <v>0</v>
      </c>
      <c r="K48" s="218">
        <f>[0]!GVEB019900col_TOT_VB_PERM_CHG</f>
        <v>-437.50699200000003</v>
      </c>
      <c r="L48" s="218">
        <f>SUM(J48:K48)</f>
        <v>-437.50699200000003</v>
      </c>
    </row>
    <row r="49" spans="1:12" x14ac:dyDescent="0.3">
      <c r="A49" s="385" t="s">
        <v>28</v>
      </c>
      <c r="B49" s="391"/>
      <c r="C49" s="217">
        <v>2</v>
      </c>
      <c r="D49" s="288"/>
      <c r="E49" s="218">
        <f>[0]!GVEB019900col_Group_Salary</f>
        <v>0</v>
      </c>
      <c r="F49" s="218">
        <v>0</v>
      </c>
      <c r="G49" s="218">
        <f>[0]!GVEB019900col_Group_Ben</f>
        <v>0</v>
      </c>
      <c r="H49" s="219">
        <f>SUM(E49:G49)</f>
        <v>0</v>
      </c>
      <c r="I49" s="268"/>
      <c r="J49" s="218"/>
      <c r="K49" s="218"/>
      <c r="L49" s="218"/>
    </row>
    <row r="50" spans="1:12" x14ac:dyDescent="0.3">
      <c r="A50" s="385" t="s">
        <v>29</v>
      </c>
      <c r="B50" s="386"/>
      <c r="C50" s="217">
        <v>3</v>
      </c>
      <c r="D50" s="288">
        <f>[0]!GVEB019900col_TOTAL_ELECT_PCN_FTI</f>
        <v>0</v>
      </c>
      <c r="E50" s="218">
        <f>[0]!GVEB019900col_FTI_SALARY_ELECT</f>
        <v>0</v>
      </c>
      <c r="F50" s="218">
        <f>[0]!GVEB019900col_HEALTH_ELECT</f>
        <v>0</v>
      </c>
      <c r="G50" s="218">
        <f>[0]!GVEB019900col_TOT_VB_ELECT</f>
        <v>0</v>
      </c>
      <c r="H50" s="219">
        <f>SUM(E50:G50)</f>
        <v>0</v>
      </c>
      <c r="I50" s="268"/>
      <c r="J50" s="218">
        <f>[0]!GVEB019900col_HEALTH_ELECT_CHG</f>
        <v>0</v>
      </c>
      <c r="K50" s="218">
        <f>[0]!GVEB019900col_TOT_VB_ELECT_CHG</f>
        <v>0</v>
      </c>
      <c r="L50" s="219">
        <f>SUM(J50:K50)</f>
        <v>0</v>
      </c>
    </row>
    <row r="51" spans="1:12" x14ac:dyDescent="0.3">
      <c r="A51" s="385" t="s">
        <v>30</v>
      </c>
      <c r="B51" s="391"/>
      <c r="C51" s="217"/>
      <c r="D51" s="220">
        <f>SUM(D48:D50)</f>
        <v>2.0999999999999996</v>
      </c>
      <c r="E51" s="221">
        <f>SUM(E48:E50)</f>
        <v>158052.96000000002</v>
      </c>
      <c r="F51" s="221">
        <f>SUM(F48:F50)</f>
        <v>24465</v>
      </c>
      <c r="G51" s="221">
        <f>SUM(G48:G50)</f>
        <v>33108.634353599999</v>
      </c>
      <c r="H51" s="219">
        <f>SUM(E51:G51)</f>
        <v>215626.59435360003</v>
      </c>
      <c r="I51" s="268"/>
      <c r="J51" s="219">
        <f>SUM(J48:J50)</f>
        <v>0</v>
      </c>
      <c r="K51" s="219">
        <f>SUM(K48:K50)</f>
        <v>-437.50699200000003</v>
      </c>
      <c r="L51" s="219">
        <f>SUM(L48:L50)</f>
        <v>-437.50699200000003</v>
      </c>
    </row>
    <row r="52" spans="1:12" x14ac:dyDescent="0.3">
      <c r="A52" s="365"/>
      <c r="B52" s="371"/>
      <c r="C52" s="217"/>
      <c r="D52" s="220"/>
      <c r="E52" s="219"/>
      <c r="F52" s="219"/>
      <c r="G52" s="219"/>
      <c r="H52" s="219"/>
      <c r="I52" s="268"/>
      <c r="J52" s="219"/>
      <c r="K52" s="222"/>
      <c r="L52" s="222"/>
    </row>
    <row r="53" spans="1:12" x14ac:dyDescent="0.3">
      <c r="A53" s="157" t="str">
        <f>"FY "&amp;'GVEB|0199-00'!FiscalYear-1</f>
        <v>FY 2022</v>
      </c>
      <c r="B53" s="158" t="s">
        <v>31</v>
      </c>
      <c r="C53" s="355">
        <v>268300</v>
      </c>
      <c r="D53" s="55">
        <v>1.6</v>
      </c>
      <c r="E53" s="223">
        <f>IF('GVEB|0199-00'!OrigApprop=0,0,(E51/H51)*'GVEB|0199-00'!OrigApprop)</f>
        <v>196662.2405511828</v>
      </c>
      <c r="F53" s="223">
        <f>IF('GVEB|0199-00'!OrigApprop=0,0,(F51/H51)*'GVEB|0199-00'!OrigApprop)</f>
        <v>30441.326218026457</v>
      </c>
      <c r="G53" s="223">
        <f>IF(E53=0,0,(G51/H51)*'GVEB|0199-00'!OrigApprop)</f>
        <v>41196.433230790724</v>
      </c>
      <c r="H53" s="223">
        <f>SUM(E53:G53)</f>
        <v>268300</v>
      </c>
      <c r="I53" s="268"/>
      <c r="J53" s="224"/>
      <c r="K53" s="224"/>
      <c r="L53" s="224"/>
    </row>
    <row r="54" spans="1:12" x14ac:dyDescent="0.3">
      <c r="A54" s="392" t="s">
        <v>32</v>
      </c>
      <c r="B54" s="393"/>
      <c r="C54" s="160" t="s">
        <v>33</v>
      </c>
      <c r="D54" s="161">
        <f>D53-D51</f>
        <v>-0.49999999999999956</v>
      </c>
      <c r="E54" s="162">
        <f>E53-E51</f>
        <v>38609.280551182776</v>
      </c>
      <c r="F54" s="162">
        <f>F53-F51</f>
        <v>5976.3262180264574</v>
      </c>
      <c r="G54" s="162">
        <f>G53-G51</f>
        <v>8087.7988771907258</v>
      </c>
      <c r="H54" s="162">
        <f>H53-H51</f>
        <v>52673.405646399973</v>
      </c>
      <c r="I54" s="269"/>
      <c r="J54" s="56" t="str">
        <f>IF('GVEB|0199-00'!OrigApprop=0,"ERROR! Enter Original Appropriation amount in DU 3.00!","Calculated "&amp;IF('GVEB|0199-00'!AdjustedTotal&gt;0,"overfunding ","underfunding ")&amp;"is "&amp;TEXT('GVEB|0199-00'!AdjustedTotal/'GVEB|0199-00'!AppropTotal,"#.0%;(#.0% );0% ;")&amp;" of Original Appropriation")</f>
        <v>Calculated overfunding is 19.6% of Original Appropriation</v>
      </c>
      <c r="K54" s="163"/>
      <c r="L54" s="164"/>
    </row>
  </sheetData>
  <mergeCells count="35">
    <mergeCell ref="A48:B48"/>
    <mergeCell ref="A49:B49"/>
    <mergeCell ref="A50:B50"/>
    <mergeCell ref="A51:B51"/>
    <mergeCell ref="A54:B54"/>
    <mergeCell ref="A38:B38"/>
    <mergeCell ref="A39:B39"/>
    <mergeCell ref="A40:B40"/>
    <mergeCell ref="A43:B43"/>
    <mergeCell ref="A46:B46"/>
    <mergeCell ref="A47:B47"/>
    <mergeCell ref="A28:B28"/>
    <mergeCell ref="A29:B29"/>
    <mergeCell ref="A32:B32"/>
    <mergeCell ref="A35:B35"/>
    <mergeCell ref="A36:B36"/>
    <mergeCell ref="A37:B37"/>
    <mergeCell ref="A18:B18"/>
    <mergeCell ref="A21:B21"/>
    <mergeCell ref="A24:B24"/>
    <mergeCell ref="A25:B25"/>
    <mergeCell ref="A26:B26"/>
    <mergeCell ref="A27:B27"/>
    <mergeCell ref="A10:B10"/>
    <mergeCell ref="A13:B13"/>
    <mergeCell ref="A14:B14"/>
    <mergeCell ref="A15:B15"/>
    <mergeCell ref="A16:B16"/>
    <mergeCell ref="A17:B17"/>
    <mergeCell ref="A2:B2"/>
    <mergeCell ref="A3:B3"/>
    <mergeCell ref="A4:B4"/>
    <mergeCell ref="A5:B5"/>
    <mergeCell ref="A6:B6"/>
    <mergeCell ref="A7:B7"/>
  </mergeCells>
  <conditionalFormatting sqref="J10">
    <cfRule type="expression" dxfId="4" priority="5">
      <formula>$J$16&lt;0</formula>
    </cfRule>
  </conditionalFormatting>
  <conditionalFormatting sqref="J21">
    <cfRule type="expression" dxfId="3" priority="4">
      <formula>$J$16&lt;0</formula>
    </cfRule>
  </conditionalFormatting>
  <conditionalFormatting sqref="J32">
    <cfRule type="expression" dxfId="2" priority="3">
      <formula>$J$16&lt;0</formula>
    </cfRule>
  </conditionalFormatting>
  <conditionalFormatting sqref="J43">
    <cfRule type="expression" dxfId="1" priority="2">
      <formula>$J$16&lt;0</formula>
    </cfRule>
  </conditionalFormatting>
  <conditionalFormatting sqref="J54">
    <cfRule type="expression" dxfId="0" priority="1">
      <formula>$J$16&lt;0</formula>
    </cfRule>
  </conditionalFormatting>
  <pageMargins left="0.7" right="0.7" top="0.75" bottom="0.75" header="0.3" footer="0.3"/>
  <pageSetup scale="53" orientation="landscape" r:id="rId1"/>
  <headerFooter>
    <oddHeader>&amp;L&amp;"Arial"&amp;14 Office of the Governor&amp;R&amp;"Arial"&amp;10 Agency 199</oddHeader>
    <oddFooter>&amp;L&amp;"Arial"&amp;10 B6:Summary by Program, by Fund&amp;R&amp;"Arial"&amp;10 FY 2022 Request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817</vt:i4>
      </vt:variant>
    </vt:vector>
  </HeadingPairs>
  <TitlesOfParts>
    <vt:vector size="827" baseType="lpstr">
      <vt:lpstr>GVEA|0125-00</vt:lpstr>
      <vt:lpstr>GVEA|0348-00</vt:lpstr>
      <vt:lpstr>GVEA|0349-00</vt:lpstr>
      <vt:lpstr>GVEA|0494-00</vt:lpstr>
      <vt:lpstr>GVEB|0199-00</vt:lpstr>
      <vt:lpstr>Data</vt:lpstr>
      <vt:lpstr>Benefits</vt:lpstr>
      <vt:lpstr>B6</vt:lpstr>
      <vt:lpstr>Summary</vt:lpstr>
      <vt:lpstr>FundSummary</vt:lpstr>
      <vt:lpstr>'GVEA|0125-00'!AdjGroupHlth</vt:lpstr>
      <vt:lpstr>'GVEA|0348-00'!AdjGroupHlth</vt:lpstr>
      <vt:lpstr>'GVEA|0349-00'!AdjGroupHlth</vt:lpstr>
      <vt:lpstr>'GVEA|0494-00'!AdjGroupHlth</vt:lpstr>
      <vt:lpstr>'GVEB|0199-00'!AdjGroupHlth</vt:lpstr>
      <vt:lpstr>AdjGroupHlth</vt:lpstr>
      <vt:lpstr>'GVEA|0125-00'!AdjGroupSalary</vt:lpstr>
      <vt:lpstr>'GVEA|0348-00'!AdjGroupSalary</vt:lpstr>
      <vt:lpstr>'GVEA|0349-00'!AdjGroupSalary</vt:lpstr>
      <vt:lpstr>'GVEA|0494-00'!AdjGroupSalary</vt:lpstr>
      <vt:lpstr>'GVEB|0199-00'!AdjGroupSalary</vt:lpstr>
      <vt:lpstr>AdjGroupSalary</vt:lpstr>
      <vt:lpstr>'GVEA|0125-00'!AdjGroupVB</vt:lpstr>
      <vt:lpstr>'GVEA|0348-00'!AdjGroupVB</vt:lpstr>
      <vt:lpstr>'GVEA|0349-00'!AdjGroupVB</vt:lpstr>
      <vt:lpstr>'GVEA|0494-00'!AdjGroupVB</vt:lpstr>
      <vt:lpstr>'GVEB|0199-00'!AdjGroupVB</vt:lpstr>
      <vt:lpstr>AdjGroupVB</vt:lpstr>
      <vt:lpstr>'GVEA|0125-00'!AdjGroupVBBY</vt:lpstr>
      <vt:lpstr>'GVEA|0348-00'!AdjGroupVBBY</vt:lpstr>
      <vt:lpstr>'GVEA|0349-00'!AdjGroupVBBY</vt:lpstr>
      <vt:lpstr>'GVEA|0494-00'!AdjGroupVBBY</vt:lpstr>
      <vt:lpstr>'GVEB|0199-00'!AdjGroupVBBY</vt:lpstr>
      <vt:lpstr>AdjGroupVBBY</vt:lpstr>
      <vt:lpstr>'GVEA|0125-00'!AdjPermHlth</vt:lpstr>
      <vt:lpstr>'GVEA|0348-00'!AdjPermHlth</vt:lpstr>
      <vt:lpstr>'GVEA|0349-00'!AdjPermHlth</vt:lpstr>
      <vt:lpstr>'GVEA|0494-00'!AdjPermHlth</vt:lpstr>
      <vt:lpstr>'GVEB|0199-00'!AdjPermHlth</vt:lpstr>
      <vt:lpstr>AdjPermHlth</vt:lpstr>
      <vt:lpstr>'GVEA|0125-00'!AdjPermHlthBY</vt:lpstr>
      <vt:lpstr>'GVEA|0348-00'!AdjPermHlthBY</vt:lpstr>
      <vt:lpstr>'GVEA|0349-00'!AdjPermHlthBY</vt:lpstr>
      <vt:lpstr>'GVEA|0494-00'!AdjPermHlthBY</vt:lpstr>
      <vt:lpstr>'GVEB|0199-00'!AdjPermHlthBY</vt:lpstr>
      <vt:lpstr>AdjPermHlthBY</vt:lpstr>
      <vt:lpstr>'GVEA|0125-00'!AdjPermSalary</vt:lpstr>
      <vt:lpstr>'GVEA|0348-00'!AdjPermSalary</vt:lpstr>
      <vt:lpstr>'GVEA|0349-00'!AdjPermSalary</vt:lpstr>
      <vt:lpstr>'GVEA|0494-00'!AdjPermSalary</vt:lpstr>
      <vt:lpstr>'GVEB|0199-00'!AdjPermSalary</vt:lpstr>
      <vt:lpstr>AdjPermSalary</vt:lpstr>
      <vt:lpstr>'GVEA|0125-00'!AdjPermVB</vt:lpstr>
      <vt:lpstr>'GVEA|0348-00'!AdjPermVB</vt:lpstr>
      <vt:lpstr>'GVEA|0349-00'!AdjPermVB</vt:lpstr>
      <vt:lpstr>'GVEA|0494-00'!AdjPermVB</vt:lpstr>
      <vt:lpstr>'GVEB|0199-00'!AdjPermVB</vt:lpstr>
      <vt:lpstr>AdjPermVB</vt:lpstr>
      <vt:lpstr>'GVEA|0125-00'!AdjPermVBBY</vt:lpstr>
      <vt:lpstr>'GVEA|0348-00'!AdjPermVBBY</vt:lpstr>
      <vt:lpstr>'GVEA|0349-00'!AdjPermVBBY</vt:lpstr>
      <vt:lpstr>'GVEA|0494-00'!AdjPermVBBY</vt:lpstr>
      <vt:lpstr>'GVEB|0199-00'!AdjPermVBBY</vt:lpstr>
      <vt:lpstr>AdjPermVBBY</vt:lpstr>
      <vt:lpstr>'GVEA|0125-00'!AdjustedTotal</vt:lpstr>
      <vt:lpstr>'GVEA|0348-00'!AdjustedTotal</vt:lpstr>
      <vt:lpstr>'GVEA|0349-00'!AdjustedTotal</vt:lpstr>
      <vt:lpstr>'GVEA|0494-00'!AdjustedTotal</vt:lpstr>
      <vt:lpstr>'GVEB|0199-00'!AdjustedTotal</vt:lpstr>
      <vt:lpstr>AdjustedTotal</vt:lpstr>
      <vt:lpstr>'GVEA|0125-00'!AgencyNum</vt:lpstr>
      <vt:lpstr>'GVEA|0348-00'!AgencyNum</vt:lpstr>
      <vt:lpstr>'GVEA|0349-00'!AgencyNum</vt:lpstr>
      <vt:lpstr>'GVEA|0494-00'!AgencyNum</vt:lpstr>
      <vt:lpstr>'GVEB|0199-00'!AgencyNum</vt:lpstr>
      <vt:lpstr>AgencyNum</vt:lpstr>
      <vt:lpstr>'GVEA|0125-00'!AppropFTP</vt:lpstr>
      <vt:lpstr>'GVEA|0348-00'!AppropFTP</vt:lpstr>
      <vt:lpstr>'GVEA|0349-00'!AppropFTP</vt:lpstr>
      <vt:lpstr>'GVEA|0494-00'!AppropFTP</vt:lpstr>
      <vt:lpstr>'GVEB|0199-00'!AppropFTP</vt:lpstr>
      <vt:lpstr>AppropFTP</vt:lpstr>
      <vt:lpstr>'GVEA|0125-00'!AppropTotal</vt:lpstr>
      <vt:lpstr>'GVEA|0348-00'!AppropTotal</vt:lpstr>
      <vt:lpstr>'GVEA|0349-00'!AppropTotal</vt:lpstr>
      <vt:lpstr>'GVEA|0494-00'!AppropTotal</vt:lpstr>
      <vt:lpstr>'GVEB|0199-00'!AppropTotal</vt:lpstr>
      <vt:lpstr>AppropTotal</vt:lpstr>
      <vt:lpstr>'GVEA|0125-00'!AtZHealth</vt:lpstr>
      <vt:lpstr>'GVEA|0348-00'!AtZHealth</vt:lpstr>
      <vt:lpstr>'GVEA|0349-00'!AtZHealth</vt:lpstr>
      <vt:lpstr>'GVEA|0494-00'!AtZHealth</vt:lpstr>
      <vt:lpstr>'GVEB|0199-00'!AtZHealth</vt:lpstr>
      <vt:lpstr>AtZHealth</vt:lpstr>
      <vt:lpstr>'GVEA|0125-00'!AtZSalary</vt:lpstr>
      <vt:lpstr>'GVEA|0348-00'!AtZSalary</vt:lpstr>
      <vt:lpstr>'GVEA|0349-00'!AtZSalary</vt:lpstr>
      <vt:lpstr>'GVEA|0494-00'!AtZSalary</vt:lpstr>
      <vt:lpstr>'GVEB|0199-00'!AtZSalary</vt:lpstr>
      <vt:lpstr>AtZSalary</vt:lpstr>
      <vt:lpstr>'GVEA|0125-00'!AtZTotal</vt:lpstr>
      <vt:lpstr>'GVEA|0348-00'!AtZTotal</vt:lpstr>
      <vt:lpstr>'GVEA|0349-00'!AtZTotal</vt:lpstr>
      <vt:lpstr>'GVEA|0494-00'!AtZTotal</vt:lpstr>
      <vt:lpstr>'GVEB|0199-00'!AtZTotal</vt:lpstr>
      <vt:lpstr>AtZTotal</vt:lpstr>
      <vt:lpstr>'GVEA|0125-00'!AtZVarBen</vt:lpstr>
      <vt:lpstr>'GVEA|0348-00'!AtZVarBen</vt:lpstr>
      <vt:lpstr>'GVEA|0349-00'!AtZVarBen</vt:lpstr>
      <vt:lpstr>'GVEA|0494-00'!AtZVarBen</vt:lpstr>
      <vt:lpstr>'GVEB|0199-00'!AtZVarBen</vt:lpstr>
      <vt:lpstr>AtZVarBen</vt:lpstr>
      <vt:lpstr>'GVEA|0125-00'!BudgetUnit</vt:lpstr>
      <vt:lpstr>'GVEA|0348-00'!BudgetUnit</vt:lpstr>
      <vt:lpstr>'GVEA|0349-00'!BudgetUnit</vt:lpstr>
      <vt:lpstr>'GVEA|0494-00'!BudgetUnit</vt:lpstr>
      <vt:lpstr>'GVEB|0199-00'!BudgetUnit</vt:lpstr>
      <vt:lpstr>BudgetUnit</vt:lpstr>
      <vt:lpstr>BudgetYear</vt:lpstr>
      <vt:lpstr>CECGroup</vt:lpstr>
      <vt:lpstr>'GVEA|0125-00'!CECOrigElectSalary</vt:lpstr>
      <vt:lpstr>'GVEA|0348-00'!CECOrigElectSalary</vt:lpstr>
      <vt:lpstr>'GVEA|0349-00'!CECOrigElectSalary</vt:lpstr>
      <vt:lpstr>'GVEA|0494-00'!CECOrigElectSalary</vt:lpstr>
      <vt:lpstr>'GVEB|0199-00'!CECOrigElectSalary</vt:lpstr>
      <vt:lpstr>CECOrigElectSalary</vt:lpstr>
      <vt:lpstr>'GVEA|0125-00'!CECOrigElectVB</vt:lpstr>
      <vt:lpstr>'GVEA|0348-00'!CECOrigElectVB</vt:lpstr>
      <vt:lpstr>'GVEA|0349-00'!CECOrigElectVB</vt:lpstr>
      <vt:lpstr>'GVEA|0494-00'!CECOrigElectVB</vt:lpstr>
      <vt:lpstr>'GVEB|0199-00'!CECOrigElectVB</vt:lpstr>
      <vt:lpstr>CECOrigElectVB</vt:lpstr>
      <vt:lpstr>'GVEA|0125-00'!CECOrigGroupSalary</vt:lpstr>
      <vt:lpstr>'GVEA|0348-00'!CECOrigGroupSalary</vt:lpstr>
      <vt:lpstr>'GVEA|0349-00'!CECOrigGroupSalary</vt:lpstr>
      <vt:lpstr>'GVEA|0494-00'!CECOrigGroupSalary</vt:lpstr>
      <vt:lpstr>'GVEB|0199-00'!CECOrigGroupSalary</vt:lpstr>
      <vt:lpstr>CECOrigGroupSalary</vt:lpstr>
      <vt:lpstr>'GVEA|0125-00'!CECOrigGroupVB</vt:lpstr>
      <vt:lpstr>'GVEA|0348-00'!CECOrigGroupVB</vt:lpstr>
      <vt:lpstr>'GVEA|0349-00'!CECOrigGroupVB</vt:lpstr>
      <vt:lpstr>'GVEA|0494-00'!CECOrigGroupVB</vt:lpstr>
      <vt:lpstr>'GVEB|0199-00'!CECOrigGroupVB</vt:lpstr>
      <vt:lpstr>CECOrigGroupVB</vt:lpstr>
      <vt:lpstr>'GVEA|0125-00'!CECOrigPermSalary</vt:lpstr>
      <vt:lpstr>'GVEA|0348-00'!CECOrigPermSalary</vt:lpstr>
      <vt:lpstr>'GVEA|0349-00'!CECOrigPermSalary</vt:lpstr>
      <vt:lpstr>'GVEA|0494-00'!CECOrigPermSalary</vt:lpstr>
      <vt:lpstr>'GVEB|0199-00'!CECOrigPermSalary</vt:lpstr>
      <vt:lpstr>CECOrigPermSalary</vt:lpstr>
      <vt:lpstr>'GVEA|0125-00'!CECOrigPermVB</vt:lpstr>
      <vt:lpstr>'GVEA|0348-00'!CECOrigPermVB</vt:lpstr>
      <vt:lpstr>'GVEA|0349-00'!CECOrigPermVB</vt:lpstr>
      <vt:lpstr>'GVEA|0494-00'!CECOrigPermVB</vt:lpstr>
      <vt:lpstr>'GVEB|0199-00'!CECOrigPermVB</vt:lpstr>
      <vt:lpstr>CECOrigPermVB</vt:lpstr>
      <vt:lpstr>CECPerm</vt:lpstr>
      <vt:lpstr>'GVEA|0125-00'!CECpermCalc</vt:lpstr>
      <vt:lpstr>'GVEA|0348-00'!CECpermCalc</vt:lpstr>
      <vt:lpstr>'GVEA|0349-00'!CECpermCalc</vt:lpstr>
      <vt:lpstr>'GVEA|0494-00'!CECpermCalc</vt:lpstr>
      <vt:lpstr>'GVEB|0199-00'!CECpermCalc</vt:lpstr>
      <vt:lpstr>CECpermCalc</vt:lpstr>
      <vt:lpstr>'GVEA|0125-00'!Department</vt:lpstr>
      <vt:lpstr>'GVEA|0348-00'!Department</vt:lpstr>
      <vt:lpstr>'GVEA|0349-00'!Department</vt:lpstr>
      <vt:lpstr>'GVEA|0494-00'!Department</vt:lpstr>
      <vt:lpstr>'GVEB|0199-00'!Department</vt:lpstr>
      <vt:lpstr>Department</vt:lpstr>
      <vt:lpstr>DHR</vt:lpstr>
      <vt:lpstr>DHRBY</vt:lpstr>
      <vt:lpstr>DHRCHG</vt:lpstr>
      <vt:lpstr>'GVEA|0125-00'!Division</vt:lpstr>
      <vt:lpstr>'GVEA|0348-00'!Division</vt:lpstr>
      <vt:lpstr>'GVEA|0349-00'!Division</vt:lpstr>
      <vt:lpstr>'GVEA|0494-00'!Division</vt:lpstr>
      <vt:lpstr>'GVEB|0199-00'!Division</vt:lpstr>
      <vt:lpstr>Division</vt:lpstr>
      <vt:lpstr>'GVEA|0125-00'!DUCECElect</vt:lpstr>
      <vt:lpstr>'GVEA|0348-00'!DUCECElect</vt:lpstr>
      <vt:lpstr>'GVEA|0349-00'!DUCECElect</vt:lpstr>
      <vt:lpstr>'GVEA|0494-00'!DUCECElect</vt:lpstr>
      <vt:lpstr>'GVEB|0199-00'!DUCECElect</vt:lpstr>
      <vt:lpstr>DUCECElect</vt:lpstr>
      <vt:lpstr>'GVEA|0125-00'!DUCECGroup</vt:lpstr>
      <vt:lpstr>'GVEA|0348-00'!DUCECGroup</vt:lpstr>
      <vt:lpstr>'GVEA|0349-00'!DUCECGroup</vt:lpstr>
      <vt:lpstr>'GVEA|0494-00'!DUCECGroup</vt:lpstr>
      <vt:lpstr>'GVEB|0199-00'!DUCECGroup</vt:lpstr>
      <vt:lpstr>DUCECGroup</vt:lpstr>
      <vt:lpstr>'GVEA|0125-00'!DUCECPerm</vt:lpstr>
      <vt:lpstr>'GVEA|0348-00'!DUCECPerm</vt:lpstr>
      <vt:lpstr>'GVEA|0349-00'!DUCECPerm</vt:lpstr>
      <vt:lpstr>'GVEA|0494-00'!DUCECPerm</vt:lpstr>
      <vt:lpstr>'GVEB|0199-00'!DUCECPerm</vt:lpstr>
      <vt:lpstr>DUCECPerm</vt:lpstr>
      <vt:lpstr>'GVEA|0125-00'!DUEleven</vt:lpstr>
      <vt:lpstr>'GVEA|0348-00'!DUEleven</vt:lpstr>
      <vt:lpstr>'GVEA|0349-00'!DUEleven</vt:lpstr>
      <vt:lpstr>'GVEA|0494-00'!DUEleven</vt:lpstr>
      <vt:lpstr>'GVEB|0199-00'!DUEleven</vt:lpstr>
      <vt:lpstr>DUEleven</vt:lpstr>
      <vt:lpstr>'GVEA|0125-00'!DUHealthBen</vt:lpstr>
      <vt:lpstr>'GVEA|0348-00'!DUHealthBen</vt:lpstr>
      <vt:lpstr>'GVEA|0349-00'!DUHealthBen</vt:lpstr>
      <vt:lpstr>'GVEA|0494-00'!DUHealthBen</vt:lpstr>
      <vt:lpstr>'GVEB|0199-00'!DUHealthBen</vt:lpstr>
      <vt:lpstr>DUHealthBen</vt:lpstr>
      <vt:lpstr>'GVEA|0125-00'!DUNine</vt:lpstr>
      <vt:lpstr>'GVEA|0348-00'!DUNine</vt:lpstr>
      <vt:lpstr>'GVEA|0349-00'!DUNine</vt:lpstr>
      <vt:lpstr>'GVEA|0494-00'!DUNine</vt:lpstr>
      <vt:lpstr>'GVEB|0199-00'!DUNine</vt:lpstr>
      <vt:lpstr>DUNine</vt:lpstr>
      <vt:lpstr>'GVEA|0125-00'!DUThirteen</vt:lpstr>
      <vt:lpstr>'GVEA|0348-00'!DUThirteen</vt:lpstr>
      <vt:lpstr>'GVEA|0349-00'!DUThirteen</vt:lpstr>
      <vt:lpstr>'GVEA|0494-00'!DUThirteen</vt:lpstr>
      <vt:lpstr>'GVEB|0199-00'!DUThirteen</vt:lpstr>
      <vt:lpstr>DUThirteen</vt:lpstr>
      <vt:lpstr>'GVEA|0125-00'!DUVariableBen</vt:lpstr>
      <vt:lpstr>'GVEA|0348-00'!DUVariableBen</vt:lpstr>
      <vt:lpstr>'GVEA|0349-00'!DUVariableBen</vt:lpstr>
      <vt:lpstr>'GVEA|0494-00'!DUVariableBen</vt:lpstr>
      <vt:lpstr>'GVEB|0199-00'!DUVariableBen</vt:lpstr>
      <vt:lpstr>DUVariableBen</vt:lpstr>
      <vt:lpstr>'GVEA|0125-00'!Elect_chg_health</vt:lpstr>
      <vt:lpstr>'GVEA|0348-00'!Elect_chg_health</vt:lpstr>
      <vt:lpstr>'GVEA|0349-00'!Elect_chg_health</vt:lpstr>
      <vt:lpstr>'GVEA|0494-00'!Elect_chg_health</vt:lpstr>
      <vt:lpstr>'GVEB|0199-00'!Elect_chg_health</vt:lpstr>
      <vt:lpstr>Elect_chg_health</vt:lpstr>
      <vt:lpstr>'GVEA|0125-00'!Elect_chg_Var</vt:lpstr>
      <vt:lpstr>'GVEA|0348-00'!Elect_chg_Var</vt:lpstr>
      <vt:lpstr>'GVEA|0349-00'!Elect_chg_Var</vt:lpstr>
      <vt:lpstr>'GVEA|0494-00'!Elect_chg_Var</vt:lpstr>
      <vt:lpstr>'GVEB|0199-00'!Elect_chg_Var</vt:lpstr>
      <vt:lpstr>Elect_chg_Var</vt:lpstr>
      <vt:lpstr>'GVEA|0125-00'!elect_FTP</vt:lpstr>
      <vt:lpstr>'GVEA|0348-00'!elect_FTP</vt:lpstr>
      <vt:lpstr>'GVEA|0349-00'!elect_FTP</vt:lpstr>
      <vt:lpstr>'GVEA|0494-00'!elect_FTP</vt:lpstr>
      <vt:lpstr>'GVEB|0199-00'!elect_FTP</vt:lpstr>
      <vt:lpstr>elect_FTP</vt:lpstr>
      <vt:lpstr>'GVEA|0125-00'!Elect_health</vt:lpstr>
      <vt:lpstr>'GVEA|0348-00'!Elect_health</vt:lpstr>
      <vt:lpstr>'GVEA|0349-00'!Elect_health</vt:lpstr>
      <vt:lpstr>'GVEA|0494-00'!Elect_health</vt:lpstr>
      <vt:lpstr>'GVEB|0199-00'!Elect_health</vt:lpstr>
      <vt:lpstr>Elect_health</vt:lpstr>
      <vt:lpstr>'GVEA|0125-00'!Elect_name</vt:lpstr>
      <vt:lpstr>'GVEA|0348-00'!Elect_name</vt:lpstr>
      <vt:lpstr>'GVEA|0349-00'!Elect_name</vt:lpstr>
      <vt:lpstr>'GVEA|0494-00'!Elect_name</vt:lpstr>
      <vt:lpstr>'GVEB|0199-00'!Elect_name</vt:lpstr>
      <vt:lpstr>Elect_name</vt:lpstr>
      <vt:lpstr>'GVEA|0125-00'!Elect_salary</vt:lpstr>
      <vt:lpstr>'GVEA|0348-00'!Elect_salary</vt:lpstr>
      <vt:lpstr>'GVEA|0349-00'!Elect_salary</vt:lpstr>
      <vt:lpstr>'GVEA|0494-00'!Elect_salary</vt:lpstr>
      <vt:lpstr>'GVEB|0199-00'!Elect_salary</vt:lpstr>
      <vt:lpstr>Elect_salary</vt:lpstr>
      <vt:lpstr>'GVEA|0125-00'!Elect_Var</vt:lpstr>
      <vt:lpstr>'GVEA|0348-00'!Elect_Var</vt:lpstr>
      <vt:lpstr>'GVEA|0349-00'!Elect_Var</vt:lpstr>
      <vt:lpstr>'GVEA|0494-00'!Elect_Var</vt:lpstr>
      <vt:lpstr>'GVEB|0199-00'!Elect_Var</vt:lpstr>
      <vt:lpstr>Elect_Var</vt:lpstr>
      <vt:lpstr>'GVEA|0125-00'!Elect_VarBen</vt:lpstr>
      <vt:lpstr>'GVEA|0348-00'!Elect_VarBen</vt:lpstr>
      <vt:lpstr>'GVEA|0349-00'!Elect_VarBen</vt:lpstr>
      <vt:lpstr>'GVEA|0494-00'!Elect_VarBen</vt:lpstr>
      <vt:lpstr>'GVEB|0199-00'!Elect_VarBen</vt:lpstr>
      <vt:lpstr>Elect_VarBen</vt:lpstr>
      <vt:lpstr>ElectVB</vt:lpstr>
      <vt:lpstr>ElectVBBY</vt:lpstr>
      <vt:lpstr>ElectVBCHG</vt:lpstr>
      <vt:lpstr>FillRate_Avg</vt:lpstr>
      <vt:lpstr>'GVEA|0125-00'!FiscalYear</vt:lpstr>
      <vt:lpstr>'GVEA|0348-00'!FiscalYear</vt:lpstr>
      <vt:lpstr>'GVEA|0349-00'!FiscalYear</vt:lpstr>
      <vt:lpstr>'GVEA|0494-00'!FiscalYear</vt:lpstr>
      <vt:lpstr>'GVEB|0199-00'!FiscalYear</vt:lpstr>
      <vt:lpstr>FiscalYear</vt:lpstr>
      <vt:lpstr>'GVEA|0125-00'!FundName</vt:lpstr>
      <vt:lpstr>'GVEA|0348-00'!FundName</vt:lpstr>
      <vt:lpstr>'GVEA|0349-00'!FundName</vt:lpstr>
      <vt:lpstr>'GVEA|0494-00'!FundName</vt:lpstr>
      <vt:lpstr>'GVEB|0199-00'!FundName</vt:lpstr>
      <vt:lpstr>FundName</vt:lpstr>
      <vt:lpstr>'GVEA|0125-00'!FundNum</vt:lpstr>
      <vt:lpstr>'GVEA|0348-00'!FundNum</vt:lpstr>
      <vt:lpstr>'GVEA|0349-00'!FundNum</vt:lpstr>
      <vt:lpstr>'GVEA|0494-00'!FundNum</vt:lpstr>
      <vt:lpstr>'GVEB|0199-00'!FundNum</vt:lpstr>
      <vt:lpstr>FundNum</vt:lpstr>
      <vt:lpstr>'GVEA|0125-00'!FundNumber</vt:lpstr>
      <vt:lpstr>'GVEA|0348-00'!FundNumber</vt:lpstr>
      <vt:lpstr>'GVEA|0349-00'!FundNumber</vt:lpstr>
      <vt:lpstr>'GVEA|0494-00'!FundNumber</vt:lpstr>
      <vt:lpstr>'GVEB|0199-00'!FundNumber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'GVEA|0125-00'!Group_name</vt:lpstr>
      <vt:lpstr>'GVEA|0348-00'!Group_name</vt:lpstr>
      <vt:lpstr>'GVEA|0349-00'!Group_name</vt:lpstr>
      <vt:lpstr>'GVEA|0494-00'!Group_name</vt:lpstr>
      <vt:lpstr>'GVEB|0199-00'!Group_name</vt:lpstr>
      <vt:lpstr>Group_name</vt:lpstr>
      <vt:lpstr>'GVEA|0125-00'!GroupFxdBen</vt:lpstr>
      <vt:lpstr>'GVEA|0348-00'!GroupFxdBen</vt:lpstr>
      <vt:lpstr>'GVEA|0349-00'!GroupFxdBen</vt:lpstr>
      <vt:lpstr>'GVEA|0494-00'!GroupFxdBen</vt:lpstr>
      <vt:lpstr>'GVEB|0199-00'!GroupFxdBen</vt:lpstr>
      <vt:lpstr>GroupFxdBen</vt:lpstr>
      <vt:lpstr>'GVEA|0125-00'!GroupSalary</vt:lpstr>
      <vt:lpstr>'GVEA|0348-00'!GroupSalary</vt:lpstr>
      <vt:lpstr>'GVEA|0349-00'!GroupSalary</vt:lpstr>
      <vt:lpstr>'GVEA|0494-00'!GroupSalary</vt:lpstr>
      <vt:lpstr>'GVEB|0199-00'!GroupSalary</vt:lpstr>
      <vt:lpstr>GroupSalary</vt:lpstr>
      <vt:lpstr>'GVEA|0125-00'!GroupVarBen</vt:lpstr>
      <vt:lpstr>'GVEA|0348-00'!GroupVarBen</vt:lpstr>
      <vt:lpstr>'GVEA|0349-00'!GroupVarBen</vt:lpstr>
      <vt:lpstr>'GVEA|0494-00'!GroupVarBen</vt:lpstr>
      <vt:lpstr>'GVEB|0199-00'!GroupVarBen</vt:lpstr>
      <vt:lpstr>GroupVarBen</vt:lpstr>
      <vt:lpstr>GroupVB</vt:lpstr>
      <vt:lpstr>GroupVBBY</vt:lpstr>
      <vt:lpstr>GroupVBCHG</vt:lpstr>
      <vt:lpstr>GVEA012500col_1_27TH_PP</vt:lpstr>
      <vt:lpstr>GVEA012500col_DHR</vt:lpstr>
      <vt:lpstr>GVEA012500col_DHR_BY</vt:lpstr>
      <vt:lpstr>GVEA012500col_DHR_CHG</vt:lpstr>
      <vt:lpstr>GVEA012500col_FTI_SALARY_ELECT</vt:lpstr>
      <vt:lpstr>GVEA012500col_FTI_SALARY_PERM</vt:lpstr>
      <vt:lpstr>GVEA012500col_FTI_SALARY_SSDI</vt:lpstr>
      <vt:lpstr>GVEA012500col_Group_Ben</vt:lpstr>
      <vt:lpstr>GVEA012500col_Group_Salary</vt:lpstr>
      <vt:lpstr>GVEA012500col_HEALTH_ELECT</vt:lpstr>
      <vt:lpstr>GVEA012500col_HEALTH_ELECT_BY</vt:lpstr>
      <vt:lpstr>GVEA012500col_HEALTH_ELECT_CHG</vt:lpstr>
      <vt:lpstr>GVEA012500col_HEALTH_PERM</vt:lpstr>
      <vt:lpstr>GVEA012500col_HEALTH_PERM_BY</vt:lpstr>
      <vt:lpstr>GVEA012500col_HEALTH_PERM_CHG</vt:lpstr>
      <vt:lpstr>GVEA012500col_INC_FTI</vt:lpstr>
      <vt:lpstr>GVEA012500col_LIFE_INS</vt:lpstr>
      <vt:lpstr>GVEA012500col_LIFE_INS_BY</vt:lpstr>
      <vt:lpstr>GVEA012500col_LIFE_INS_CHG</vt:lpstr>
      <vt:lpstr>GVEA012500col_RETIREMENT</vt:lpstr>
      <vt:lpstr>GVEA012500col_RETIREMENT_BY</vt:lpstr>
      <vt:lpstr>GVEA012500col_RETIREMENT_CHG</vt:lpstr>
      <vt:lpstr>GVEA012500col_ROWS_PER_PCN</vt:lpstr>
      <vt:lpstr>GVEA012500col_SICK</vt:lpstr>
      <vt:lpstr>GVEA012500col_SICK_BY</vt:lpstr>
      <vt:lpstr>GVEA012500col_SICK_CHG</vt:lpstr>
      <vt:lpstr>GVEA012500col_SSDI</vt:lpstr>
      <vt:lpstr>GVEA012500col_SSDI_BY</vt:lpstr>
      <vt:lpstr>GVEA012500col_SSDI_CHG</vt:lpstr>
      <vt:lpstr>GVEA012500col_SSHI</vt:lpstr>
      <vt:lpstr>GVEA012500col_SSHI_BY</vt:lpstr>
      <vt:lpstr>GVEA012500col_SSHI_CHGv</vt:lpstr>
      <vt:lpstr>GVEA012500col_TOT_VB_ELECT</vt:lpstr>
      <vt:lpstr>GVEA012500col_TOT_VB_ELECT_BY</vt:lpstr>
      <vt:lpstr>GVEA012500col_TOT_VB_ELECT_CHG</vt:lpstr>
      <vt:lpstr>GVEA012500col_TOT_VB_PERM</vt:lpstr>
      <vt:lpstr>GVEA012500col_TOT_VB_PERM_BY</vt:lpstr>
      <vt:lpstr>GVEA012500col_TOT_VB_PERM_CHG</vt:lpstr>
      <vt:lpstr>GVEA012500col_TOTAL_ELECT_PCN_FTI</vt:lpstr>
      <vt:lpstr>GVEA012500col_TOTAL_ELECT_PCN_FTI_ALT</vt:lpstr>
      <vt:lpstr>GVEA012500col_TOTAL_PERM_PCN_FTI</vt:lpstr>
      <vt:lpstr>GVEA012500col_UNEMP_INS</vt:lpstr>
      <vt:lpstr>GVEA012500col_UNEMP_INS_BY</vt:lpstr>
      <vt:lpstr>GVEA012500col_UNEMP_INS_CHG</vt:lpstr>
      <vt:lpstr>GVEA012500col_WORKERS_COMP</vt:lpstr>
      <vt:lpstr>GVEA012500col_WORKERS_COMP_BY</vt:lpstr>
      <vt:lpstr>GVEA012500col_WORKERS_COMP_CHG</vt:lpstr>
      <vt:lpstr>GVEA034800col_1_27TH_PP</vt:lpstr>
      <vt:lpstr>GVEA034800col_DHR</vt:lpstr>
      <vt:lpstr>GVEA034800col_DHR_BY</vt:lpstr>
      <vt:lpstr>GVEA034800col_DHR_CHG</vt:lpstr>
      <vt:lpstr>GVEA034800col_FTI_SALARY_ELECT</vt:lpstr>
      <vt:lpstr>GVEA034800col_FTI_SALARY_PERM</vt:lpstr>
      <vt:lpstr>GVEA034800col_FTI_SALARY_SSDI</vt:lpstr>
      <vt:lpstr>GVEA034800col_Group_Ben</vt:lpstr>
      <vt:lpstr>GVEA034800col_Group_Salary</vt:lpstr>
      <vt:lpstr>GVEA034800col_HEALTH_ELECT</vt:lpstr>
      <vt:lpstr>GVEA034800col_HEALTH_ELECT_BY</vt:lpstr>
      <vt:lpstr>GVEA034800col_HEALTH_ELECT_CHG</vt:lpstr>
      <vt:lpstr>GVEA034800col_HEALTH_PERM</vt:lpstr>
      <vt:lpstr>GVEA034800col_HEALTH_PERM_BY</vt:lpstr>
      <vt:lpstr>GVEA034800col_HEALTH_PERM_CHG</vt:lpstr>
      <vt:lpstr>GVEA034800col_INC_FTI</vt:lpstr>
      <vt:lpstr>GVEA034800col_LIFE_INS</vt:lpstr>
      <vt:lpstr>GVEA034800col_LIFE_INS_BY</vt:lpstr>
      <vt:lpstr>GVEA034800col_LIFE_INS_CHG</vt:lpstr>
      <vt:lpstr>GVEA034800col_RETIREMENT</vt:lpstr>
      <vt:lpstr>GVEA034800col_RETIREMENT_BY</vt:lpstr>
      <vt:lpstr>GVEA034800col_RETIREMENT_CHG</vt:lpstr>
      <vt:lpstr>GVEA034800col_ROWS_PER_PCN</vt:lpstr>
      <vt:lpstr>GVEA034800col_SICK</vt:lpstr>
      <vt:lpstr>GVEA034800col_SICK_BY</vt:lpstr>
      <vt:lpstr>GVEA034800col_SICK_CHG</vt:lpstr>
      <vt:lpstr>GVEA034800col_SSDI</vt:lpstr>
      <vt:lpstr>GVEA034800col_SSDI_BY</vt:lpstr>
      <vt:lpstr>GVEA034800col_SSDI_CHG</vt:lpstr>
      <vt:lpstr>GVEA034800col_SSHI</vt:lpstr>
      <vt:lpstr>GVEA034800col_SSHI_BY</vt:lpstr>
      <vt:lpstr>GVEA034800col_SSHI_CHGv</vt:lpstr>
      <vt:lpstr>GVEA034800col_TOT_VB_ELECT</vt:lpstr>
      <vt:lpstr>GVEA034800col_TOT_VB_ELECT_BY</vt:lpstr>
      <vt:lpstr>GVEA034800col_TOT_VB_ELECT_CHG</vt:lpstr>
      <vt:lpstr>GVEA034800col_TOT_VB_PERM</vt:lpstr>
      <vt:lpstr>GVEA034800col_TOT_VB_PERM_BY</vt:lpstr>
      <vt:lpstr>GVEA034800col_TOT_VB_PERM_CHG</vt:lpstr>
      <vt:lpstr>GVEA034800col_TOTAL_ELECT_PCN_FTI</vt:lpstr>
      <vt:lpstr>GVEA034800col_TOTAL_ELECT_PCN_FTI_ALT</vt:lpstr>
      <vt:lpstr>GVEA034800col_TOTAL_PERM_PCN_FTI</vt:lpstr>
      <vt:lpstr>GVEA034800col_UNEMP_INS</vt:lpstr>
      <vt:lpstr>GVEA034800col_UNEMP_INS_BY</vt:lpstr>
      <vt:lpstr>GVEA034800col_UNEMP_INS_CHG</vt:lpstr>
      <vt:lpstr>GVEA034800col_WORKERS_COMP</vt:lpstr>
      <vt:lpstr>GVEA034800col_WORKERS_COMP_BY</vt:lpstr>
      <vt:lpstr>GVEA034800col_WORKERS_COMP_CHG</vt:lpstr>
      <vt:lpstr>GVEA034900col_1_27TH_PP</vt:lpstr>
      <vt:lpstr>GVEA034900col_DHR</vt:lpstr>
      <vt:lpstr>GVEA034900col_DHR_BY</vt:lpstr>
      <vt:lpstr>GVEA034900col_DHR_CHG</vt:lpstr>
      <vt:lpstr>GVEA034900col_FTI_SALARY_ELECT</vt:lpstr>
      <vt:lpstr>GVEA034900col_FTI_SALARY_PERM</vt:lpstr>
      <vt:lpstr>GVEA034900col_FTI_SALARY_SSDI</vt:lpstr>
      <vt:lpstr>GVEA034900col_Group_Ben</vt:lpstr>
      <vt:lpstr>GVEA034900col_Group_Salary</vt:lpstr>
      <vt:lpstr>GVEA034900col_HEALTH_ELECT</vt:lpstr>
      <vt:lpstr>GVEA034900col_HEALTH_ELECT_BY</vt:lpstr>
      <vt:lpstr>GVEA034900col_HEALTH_ELECT_CHG</vt:lpstr>
      <vt:lpstr>GVEA034900col_HEALTH_PERM</vt:lpstr>
      <vt:lpstr>GVEA034900col_HEALTH_PERM_BY</vt:lpstr>
      <vt:lpstr>GVEA034900col_HEALTH_PERM_CHG</vt:lpstr>
      <vt:lpstr>GVEA034900col_INC_FTI</vt:lpstr>
      <vt:lpstr>GVEA034900col_LIFE_INS</vt:lpstr>
      <vt:lpstr>GVEA034900col_LIFE_INS_BY</vt:lpstr>
      <vt:lpstr>GVEA034900col_LIFE_INS_CHG</vt:lpstr>
      <vt:lpstr>GVEA034900col_RETIREMENT</vt:lpstr>
      <vt:lpstr>GVEA034900col_RETIREMENT_BY</vt:lpstr>
      <vt:lpstr>GVEA034900col_RETIREMENT_CHG</vt:lpstr>
      <vt:lpstr>GVEA034900col_ROWS_PER_PCN</vt:lpstr>
      <vt:lpstr>GVEA034900col_SICK</vt:lpstr>
      <vt:lpstr>GVEA034900col_SICK_BY</vt:lpstr>
      <vt:lpstr>GVEA034900col_SICK_CHG</vt:lpstr>
      <vt:lpstr>GVEA034900col_SSDI</vt:lpstr>
      <vt:lpstr>GVEA034900col_SSDI_BY</vt:lpstr>
      <vt:lpstr>GVEA034900col_SSDI_CHG</vt:lpstr>
      <vt:lpstr>GVEA034900col_SSHI</vt:lpstr>
      <vt:lpstr>GVEA034900col_SSHI_BY</vt:lpstr>
      <vt:lpstr>GVEA034900col_SSHI_CHGv</vt:lpstr>
      <vt:lpstr>GVEA034900col_TOT_VB_ELECT</vt:lpstr>
      <vt:lpstr>GVEA034900col_TOT_VB_ELECT_BY</vt:lpstr>
      <vt:lpstr>GVEA034900col_TOT_VB_ELECT_CHG</vt:lpstr>
      <vt:lpstr>GVEA034900col_TOT_VB_PERM</vt:lpstr>
      <vt:lpstr>GVEA034900col_TOT_VB_PERM_BY</vt:lpstr>
      <vt:lpstr>GVEA034900col_TOT_VB_PERM_CHG</vt:lpstr>
      <vt:lpstr>GVEA034900col_TOTAL_ELECT_PCN_FTI</vt:lpstr>
      <vt:lpstr>GVEA034900col_TOTAL_ELECT_PCN_FTI_ALT</vt:lpstr>
      <vt:lpstr>GVEA034900col_TOTAL_PERM_PCN_FTI</vt:lpstr>
      <vt:lpstr>GVEA034900col_UNEMP_INS</vt:lpstr>
      <vt:lpstr>GVEA034900col_UNEMP_INS_BY</vt:lpstr>
      <vt:lpstr>GVEA034900col_UNEMP_INS_CHG</vt:lpstr>
      <vt:lpstr>GVEA034900col_WORKERS_COMP</vt:lpstr>
      <vt:lpstr>GVEA034900col_WORKERS_COMP_BY</vt:lpstr>
      <vt:lpstr>GVEA034900col_WORKERS_COMP_CHG</vt:lpstr>
      <vt:lpstr>GVEA049400col_1_27TH_PP</vt:lpstr>
      <vt:lpstr>GVEA049400col_DHR</vt:lpstr>
      <vt:lpstr>GVEA049400col_DHR_BY</vt:lpstr>
      <vt:lpstr>GVEA049400col_DHR_CHG</vt:lpstr>
      <vt:lpstr>GVEA049400col_FTI_SALARY_ELECT</vt:lpstr>
      <vt:lpstr>GVEA049400col_FTI_SALARY_PERM</vt:lpstr>
      <vt:lpstr>GVEA049400col_FTI_SALARY_SSDI</vt:lpstr>
      <vt:lpstr>GVEA049400col_Group_Ben</vt:lpstr>
      <vt:lpstr>GVEA049400col_Group_Salary</vt:lpstr>
      <vt:lpstr>GVEA049400col_HEALTH_ELECT</vt:lpstr>
      <vt:lpstr>GVEA049400col_HEALTH_ELECT_BY</vt:lpstr>
      <vt:lpstr>GVEA049400col_HEALTH_ELECT_CHG</vt:lpstr>
      <vt:lpstr>GVEA049400col_HEALTH_PERM</vt:lpstr>
      <vt:lpstr>GVEA049400col_HEALTH_PERM_BY</vt:lpstr>
      <vt:lpstr>GVEA049400col_HEALTH_PERM_CHG</vt:lpstr>
      <vt:lpstr>GVEA049400col_INC_FTI</vt:lpstr>
      <vt:lpstr>GVEA049400col_LIFE_INS</vt:lpstr>
      <vt:lpstr>GVEA049400col_LIFE_INS_BY</vt:lpstr>
      <vt:lpstr>GVEA049400col_LIFE_INS_CHG</vt:lpstr>
      <vt:lpstr>GVEA049400col_RETIREMENT</vt:lpstr>
      <vt:lpstr>GVEA049400col_RETIREMENT_BY</vt:lpstr>
      <vt:lpstr>GVEA049400col_RETIREMENT_CHG</vt:lpstr>
      <vt:lpstr>GVEA049400col_ROWS_PER_PCN</vt:lpstr>
      <vt:lpstr>GVEA049400col_SICK</vt:lpstr>
      <vt:lpstr>GVEA049400col_SICK_BY</vt:lpstr>
      <vt:lpstr>GVEA049400col_SICK_CHG</vt:lpstr>
      <vt:lpstr>GVEA049400col_SSDI</vt:lpstr>
      <vt:lpstr>GVEA049400col_SSDI_BY</vt:lpstr>
      <vt:lpstr>GVEA049400col_SSDI_CHG</vt:lpstr>
      <vt:lpstr>GVEA049400col_SSHI</vt:lpstr>
      <vt:lpstr>GVEA049400col_SSHI_BY</vt:lpstr>
      <vt:lpstr>GVEA049400col_SSHI_CHGv</vt:lpstr>
      <vt:lpstr>GVEA049400col_TOT_VB_ELECT</vt:lpstr>
      <vt:lpstr>GVEA049400col_TOT_VB_ELECT_BY</vt:lpstr>
      <vt:lpstr>GVEA049400col_TOT_VB_ELECT_CHG</vt:lpstr>
      <vt:lpstr>GVEA049400col_TOT_VB_PERM</vt:lpstr>
      <vt:lpstr>GVEA049400col_TOT_VB_PERM_BY</vt:lpstr>
      <vt:lpstr>GVEA049400col_TOT_VB_PERM_CHG</vt:lpstr>
      <vt:lpstr>GVEA049400col_TOTAL_ELECT_PCN_FTI</vt:lpstr>
      <vt:lpstr>GVEA049400col_TOTAL_ELECT_PCN_FTI_ALT</vt:lpstr>
      <vt:lpstr>GVEA049400col_TOTAL_PERM_PCN_FTI</vt:lpstr>
      <vt:lpstr>GVEA049400col_UNEMP_INS</vt:lpstr>
      <vt:lpstr>GVEA049400col_UNEMP_INS_BY</vt:lpstr>
      <vt:lpstr>GVEA049400col_UNEMP_INS_CHG</vt:lpstr>
      <vt:lpstr>GVEA049400col_WORKERS_COMP</vt:lpstr>
      <vt:lpstr>GVEA049400col_WORKERS_COMP_BY</vt:lpstr>
      <vt:lpstr>GVEA049400col_WORKERS_COMP_CHG</vt:lpstr>
      <vt:lpstr>GVEB019900col_1_27TH_PP</vt:lpstr>
      <vt:lpstr>GVEB019900col_DHR</vt:lpstr>
      <vt:lpstr>GVEB019900col_DHR_BY</vt:lpstr>
      <vt:lpstr>GVEB019900col_DHR_CHG</vt:lpstr>
      <vt:lpstr>GVEB019900col_FTI_SALARY_ELECT</vt:lpstr>
      <vt:lpstr>GVEB019900col_FTI_SALARY_PERM</vt:lpstr>
      <vt:lpstr>GVEB019900col_FTI_SALARY_SSDI</vt:lpstr>
      <vt:lpstr>GVEB019900col_Group_Ben</vt:lpstr>
      <vt:lpstr>GVEB019900col_Group_Salary</vt:lpstr>
      <vt:lpstr>GVEB019900col_HEALTH_ELECT</vt:lpstr>
      <vt:lpstr>GVEB019900col_HEALTH_ELECT_BY</vt:lpstr>
      <vt:lpstr>GVEB019900col_HEALTH_ELECT_CHG</vt:lpstr>
      <vt:lpstr>GVEB019900col_HEALTH_PERM</vt:lpstr>
      <vt:lpstr>GVEB019900col_HEALTH_PERM_BY</vt:lpstr>
      <vt:lpstr>GVEB019900col_HEALTH_PERM_CHG</vt:lpstr>
      <vt:lpstr>GVEB019900col_INC_FTI</vt:lpstr>
      <vt:lpstr>GVEB019900col_LIFE_INS</vt:lpstr>
      <vt:lpstr>GVEB019900col_LIFE_INS_BY</vt:lpstr>
      <vt:lpstr>GVEB019900col_LIFE_INS_CHG</vt:lpstr>
      <vt:lpstr>GVEB019900col_RETIREMENT</vt:lpstr>
      <vt:lpstr>GVEB019900col_RETIREMENT_BY</vt:lpstr>
      <vt:lpstr>GVEB019900col_RETIREMENT_CHG</vt:lpstr>
      <vt:lpstr>GVEB019900col_ROWS_PER_PCN</vt:lpstr>
      <vt:lpstr>GVEB019900col_SICK</vt:lpstr>
      <vt:lpstr>GVEB019900col_SICK_BY</vt:lpstr>
      <vt:lpstr>GVEB019900col_SICK_CHG</vt:lpstr>
      <vt:lpstr>GVEB019900col_SSDI</vt:lpstr>
      <vt:lpstr>GVEB019900col_SSDI_BY</vt:lpstr>
      <vt:lpstr>GVEB019900col_SSDI_CHG</vt:lpstr>
      <vt:lpstr>GVEB019900col_SSHI</vt:lpstr>
      <vt:lpstr>GVEB019900col_SSHI_BY</vt:lpstr>
      <vt:lpstr>GVEB019900col_SSHI_CHGv</vt:lpstr>
      <vt:lpstr>GVEB019900col_TOT_VB_ELECT</vt:lpstr>
      <vt:lpstr>GVEB019900col_TOT_VB_ELECT_BY</vt:lpstr>
      <vt:lpstr>GVEB019900col_TOT_VB_ELECT_CHG</vt:lpstr>
      <vt:lpstr>GVEB019900col_TOT_VB_PERM</vt:lpstr>
      <vt:lpstr>GVEB019900col_TOT_VB_PERM_BY</vt:lpstr>
      <vt:lpstr>GVEB019900col_TOT_VB_PERM_CHG</vt:lpstr>
      <vt:lpstr>GVEB019900col_TOTAL_ELECT_PCN_FTI</vt:lpstr>
      <vt:lpstr>GVEB019900col_TOTAL_ELECT_PCN_FTI_ALT</vt:lpstr>
      <vt:lpstr>GVEB019900col_TOTAL_PERM_PCN_FTI</vt:lpstr>
      <vt:lpstr>GVEB019900col_UNEMP_INS</vt:lpstr>
      <vt:lpstr>GVEB019900col_UNEMP_INS_BY</vt:lpstr>
      <vt:lpstr>GVEB019900col_UNEMP_INS_CHG</vt:lpstr>
      <vt:lpstr>GVEB019900col_WORKERS_COMP</vt:lpstr>
      <vt:lpstr>GVEB019900col_WORKERS_COMP_BY</vt:lpstr>
      <vt:lpstr>GVEB019900col_WORKERS_COMP_CHG</vt:lpstr>
      <vt:lpstr>Health</vt:lpstr>
      <vt:lpstr>HealthBY</vt:lpstr>
      <vt:lpstr>HealthCHG</vt:lpstr>
      <vt:lpstr>Life</vt:lpstr>
      <vt:lpstr>LifeBY</vt:lpstr>
      <vt:lpstr>LifeCHG</vt:lpstr>
      <vt:lpstr>'GVEA|0125-00'!LUMAFund</vt:lpstr>
      <vt:lpstr>'GVEA|0348-00'!LUMAFund</vt:lpstr>
      <vt:lpstr>'GVEA|0349-00'!LUMAFund</vt:lpstr>
      <vt:lpstr>'GVEA|0494-00'!LUMAFund</vt:lpstr>
      <vt:lpstr>'GVEB|0199-00'!LUMAFund</vt:lpstr>
      <vt:lpstr>LUMAFund</vt:lpstr>
      <vt:lpstr>MAXSSDI</vt:lpstr>
      <vt:lpstr>MAXSSDIBY</vt:lpstr>
      <vt:lpstr>'GVEA|0125-00'!NEW_AdjGroup</vt:lpstr>
      <vt:lpstr>'GVEA|0348-00'!NEW_AdjGroup</vt:lpstr>
      <vt:lpstr>'GVEA|0349-00'!NEW_AdjGroup</vt:lpstr>
      <vt:lpstr>'GVEA|0494-00'!NEW_AdjGroup</vt:lpstr>
      <vt:lpstr>'GVEB|0199-00'!NEW_AdjGroup</vt:lpstr>
      <vt:lpstr>NEW_AdjGroup</vt:lpstr>
      <vt:lpstr>'GVEA|0125-00'!NEW_AdjGroupSalary</vt:lpstr>
      <vt:lpstr>'GVEA|0348-00'!NEW_AdjGroupSalary</vt:lpstr>
      <vt:lpstr>'GVEA|0349-00'!NEW_AdjGroupSalary</vt:lpstr>
      <vt:lpstr>'GVEA|0494-00'!NEW_AdjGroupSalary</vt:lpstr>
      <vt:lpstr>'GVEB|0199-00'!NEW_AdjGroupSalary</vt:lpstr>
      <vt:lpstr>NEW_AdjGroupSalary</vt:lpstr>
      <vt:lpstr>'GVEA|0125-00'!NEW_AdjGroupVB</vt:lpstr>
      <vt:lpstr>'GVEA|0348-00'!NEW_AdjGroupVB</vt:lpstr>
      <vt:lpstr>'GVEA|0349-00'!NEW_AdjGroupVB</vt:lpstr>
      <vt:lpstr>'GVEA|0494-00'!NEW_AdjGroupVB</vt:lpstr>
      <vt:lpstr>'GVEB|0199-00'!NEW_AdjGroupVB</vt:lpstr>
      <vt:lpstr>NEW_AdjGroupVB</vt:lpstr>
      <vt:lpstr>'GVEA|0125-00'!NEW_AdjONLYGroup</vt:lpstr>
      <vt:lpstr>'GVEA|0348-00'!NEW_AdjONLYGroup</vt:lpstr>
      <vt:lpstr>'GVEA|0349-00'!NEW_AdjONLYGroup</vt:lpstr>
      <vt:lpstr>'GVEA|0494-00'!NEW_AdjONLYGroup</vt:lpstr>
      <vt:lpstr>'GVEB|0199-00'!NEW_AdjONLYGroup</vt:lpstr>
      <vt:lpstr>NEW_AdjONLYGroup</vt:lpstr>
      <vt:lpstr>'GVEA|0125-00'!NEW_AdjONLYGroupSalary</vt:lpstr>
      <vt:lpstr>'GVEA|0348-00'!NEW_AdjONLYGroupSalary</vt:lpstr>
      <vt:lpstr>'GVEA|0349-00'!NEW_AdjONLYGroupSalary</vt:lpstr>
      <vt:lpstr>'GVEA|0494-00'!NEW_AdjONLYGroupSalary</vt:lpstr>
      <vt:lpstr>'GVEB|0199-00'!NEW_AdjONLYGroupSalary</vt:lpstr>
      <vt:lpstr>NEW_AdjONLYGroupSalary</vt:lpstr>
      <vt:lpstr>'GVEA|0125-00'!NEW_AdjONLYGroupVB</vt:lpstr>
      <vt:lpstr>'GVEA|0348-00'!NEW_AdjONLYGroupVB</vt:lpstr>
      <vt:lpstr>'GVEA|0349-00'!NEW_AdjONLYGroupVB</vt:lpstr>
      <vt:lpstr>'GVEA|0494-00'!NEW_AdjONLYGroupVB</vt:lpstr>
      <vt:lpstr>'GVEB|0199-00'!NEW_AdjONLYGroupVB</vt:lpstr>
      <vt:lpstr>NEW_AdjONLYGroupVB</vt:lpstr>
      <vt:lpstr>'GVEA|0125-00'!NEW_AdjONLYPerm</vt:lpstr>
      <vt:lpstr>'GVEA|0348-00'!NEW_AdjONLYPerm</vt:lpstr>
      <vt:lpstr>'GVEA|0349-00'!NEW_AdjONLYPerm</vt:lpstr>
      <vt:lpstr>'GVEA|0494-00'!NEW_AdjONLYPerm</vt:lpstr>
      <vt:lpstr>'GVEB|0199-00'!NEW_AdjONLYPerm</vt:lpstr>
      <vt:lpstr>NEW_AdjONLYPerm</vt:lpstr>
      <vt:lpstr>'GVEA|0125-00'!NEW_AdjONLYPermSalary</vt:lpstr>
      <vt:lpstr>'GVEA|0348-00'!NEW_AdjONLYPermSalary</vt:lpstr>
      <vt:lpstr>'GVEA|0349-00'!NEW_AdjONLYPermSalary</vt:lpstr>
      <vt:lpstr>'GVEA|0494-00'!NEW_AdjONLYPermSalary</vt:lpstr>
      <vt:lpstr>'GVEB|0199-00'!NEW_AdjONLYPermSalary</vt:lpstr>
      <vt:lpstr>NEW_AdjONLYPermSalary</vt:lpstr>
      <vt:lpstr>'GVEA|0125-00'!NEW_AdjONLYPermVB</vt:lpstr>
      <vt:lpstr>'GVEA|0348-00'!NEW_AdjONLYPermVB</vt:lpstr>
      <vt:lpstr>'GVEA|0349-00'!NEW_AdjONLYPermVB</vt:lpstr>
      <vt:lpstr>'GVEA|0494-00'!NEW_AdjONLYPermVB</vt:lpstr>
      <vt:lpstr>'GVEB|0199-00'!NEW_AdjONLYPermVB</vt:lpstr>
      <vt:lpstr>NEW_AdjONLYPermVB</vt:lpstr>
      <vt:lpstr>'GVEA|0125-00'!NEW_AdjPerm</vt:lpstr>
      <vt:lpstr>'GVEA|0348-00'!NEW_AdjPerm</vt:lpstr>
      <vt:lpstr>'GVEA|0349-00'!NEW_AdjPerm</vt:lpstr>
      <vt:lpstr>'GVEA|0494-00'!NEW_AdjPerm</vt:lpstr>
      <vt:lpstr>'GVEB|0199-00'!NEW_AdjPerm</vt:lpstr>
      <vt:lpstr>NEW_AdjPerm</vt:lpstr>
      <vt:lpstr>'GVEA|0125-00'!NEW_AdjPermSalary</vt:lpstr>
      <vt:lpstr>'GVEA|0348-00'!NEW_AdjPermSalary</vt:lpstr>
      <vt:lpstr>'GVEA|0349-00'!NEW_AdjPermSalary</vt:lpstr>
      <vt:lpstr>'GVEA|0494-00'!NEW_AdjPermSalary</vt:lpstr>
      <vt:lpstr>'GVEB|0199-00'!NEW_AdjPermSalary</vt:lpstr>
      <vt:lpstr>NEW_AdjPermSalary</vt:lpstr>
      <vt:lpstr>'GVEA|0125-00'!NEW_AdjPermVB</vt:lpstr>
      <vt:lpstr>'GVEA|0348-00'!NEW_AdjPermVB</vt:lpstr>
      <vt:lpstr>'GVEA|0349-00'!NEW_AdjPermVB</vt:lpstr>
      <vt:lpstr>'GVEA|0494-00'!NEW_AdjPermVB</vt:lpstr>
      <vt:lpstr>'GVEB|0199-00'!NEW_AdjPermVB</vt:lpstr>
      <vt:lpstr>NEW_AdjPermVB</vt:lpstr>
      <vt:lpstr>'GVEA|0125-00'!NEW_GroupFilled</vt:lpstr>
      <vt:lpstr>'GVEA|0348-00'!NEW_GroupFilled</vt:lpstr>
      <vt:lpstr>'GVEA|0349-00'!NEW_GroupFilled</vt:lpstr>
      <vt:lpstr>'GVEA|0494-00'!NEW_GroupFilled</vt:lpstr>
      <vt:lpstr>'GVEB|0199-00'!NEW_GroupFilled</vt:lpstr>
      <vt:lpstr>NEW_GroupFilled</vt:lpstr>
      <vt:lpstr>'GVEA|0125-00'!NEW_GroupSalaryFilled</vt:lpstr>
      <vt:lpstr>'GVEA|0348-00'!NEW_GroupSalaryFilled</vt:lpstr>
      <vt:lpstr>'GVEA|0349-00'!NEW_GroupSalaryFilled</vt:lpstr>
      <vt:lpstr>'GVEA|0494-00'!NEW_GroupSalaryFilled</vt:lpstr>
      <vt:lpstr>'GVEB|0199-00'!NEW_GroupSalaryFilled</vt:lpstr>
      <vt:lpstr>NEW_GroupSalaryFilled</vt:lpstr>
      <vt:lpstr>'GVEA|0125-00'!NEW_GroupVBFilled</vt:lpstr>
      <vt:lpstr>'GVEA|0348-00'!NEW_GroupVBFilled</vt:lpstr>
      <vt:lpstr>'GVEA|0349-00'!NEW_GroupVBFilled</vt:lpstr>
      <vt:lpstr>'GVEA|0494-00'!NEW_GroupVBFilled</vt:lpstr>
      <vt:lpstr>'GVEB|0199-00'!NEW_GroupVBFilled</vt:lpstr>
      <vt:lpstr>NEW_GroupVBFilled</vt:lpstr>
      <vt:lpstr>'GVEA|0125-00'!NEW_PermFilled</vt:lpstr>
      <vt:lpstr>'GVEA|0348-00'!NEW_PermFilled</vt:lpstr>
      <vt:lpstr>'GVEA|0349-00'!NEW_PermFilled</vt:lpstr>
      <vt:lpstr>'GVEA|0494-00'!NEW_PermFilled</vt:lpstr>
      <vt:lpstr>'GVEB|0199-00'!NEW_PermFilled</vt:lpstr>
      <vt:lpstr>NEW_PermFilled</vt:lpstr>
      <vt:lpstr>'GVEA|0125-00'!NEW_PermSalaryFilled</vt:lpstr>
      <vt:lpstr>'GVEA|0348-00'!NEW_PermSalaryFilled</vt:lpstr>
      <vt:lpstr>'GVEA|0349-00'!NEW_PermSalaryFilled</vt:lpstr>
      <vt:lpstr>'GVEA|0494-00'!NEW_PermSalaryFilled</vt:lpstr>
      <vt:lpstr>'GVEB|0199-00'!NEW_PermSalaryFilled</vt:lpstr>
      <vt:lpstr>NEW_PermSalaryFilled</vt:lpstr>
      <vt:lpstr>'GVEA|0125-00'!NEW_PermVBFilled</vt:lpstr>
      <vt:lpstr>'GVEA|0348-00'!NEW_PermVBFilled</vt:lpstr>
      <vt:lpstr>'GVEA|0349-00'!NEW_PermVBFilled</vt:lpstr>
      <vt:lpstr>'GVEA|0494-00'!NEW_PermVBFilled</vt:lpstr>
      <vt:lpstr>'GVEB|0199-00'!NEW_PermVBFilled</vt:lpstr>
      <vt:lpstr>NEW_PermVBFilled</vt:lpstr>
      <vt:lpstr>'GVEA|0125-00'!OneTimePC_Total</vt:lpstr>
      <vt:lpstr>'GVEA|0348-00'!OneTimePC_Total</vt:lpstr>
      <vt:lpstr>'GVEA|0349-00'!OneTimePC_Total</vt:lpstr>
      <vt:lpstr>'GVEA|0494-00'!OneTimePC_Total</vt:lpstr>
      <vt:lpstr>'GVEB|0199-00'!OneTimePC_Total</vt:lpstr>
      <vt:lpstr>OneTimePC_Total</vt:lpstr>
      <vt:lpstr>'GVEA|0125-00'!OrigApprop</vt:lpstr>
      <vt:lpstr>'GVEA|0348-00'!OrigApprop</vt:lpstr>
      <vt:lpstr>'GVEA|0349-00'!OrigApprop</vt:lpstr>
      <vt:lpstr>'GVEA|0494-00'!OrigApprop</vt:lpstr>
      <vt:lpstr>'GVEB|0199-00'!OrigApprop</vt:lpstr>
      <vt:lpstr>OrigApprop</vt:lpstr>
      <vt:lpstr>'GVEA|0125-00'!perm_name</vt:lpstr>
      <vt:lpstr>'GVEA|0348-00'!perm_name</vt:lpstr>
      <vt:lpstr>'GVEA|0349-00'!perm_name</vt:lpstr>
      <vt:lpstr>'GVEA|0494-00'!perm_name</vt:lpstr>
      <vt:lpstr>'GVEB|0199-00'!perm_name</vt:lpstr>
      <vt:lpstr>perm_name</vt:lpstr>
      <vt:lpstr>'GVEA|0125-00'!PermFTP</vt:lpstr>
      <vt:lpstr>'GVEA|0348-00'!PermFTP</vt:lpstr>
      <vt:lpstr>'GVEA|0349-00'!PermFTP</vt:lpstr>
      <vt:lpstr>'GVEA|0494-00'!PermFTP</vt:lpstr>
      <vt:lpstr>'GVEB|0199-00'!PermFTP</vt:lpstr>
      <vt:lpstr>PermFTP</vt:lpstr>
      <vt:lpstr>'GVEA|0125-00'!PermFxdBen</vt:lpstr>
      <vt:lpstr>'GVEA|0348-00'!PermFxdBen</vt:lpstr>
      <vt:lpstr>'GVEA|0349-00'!PermFxdBen</vt:lpstr>
      <vt:lpstr>'GVEA|0494-00'!PermFxdBen</vt:lpstr>
      <vt:lpstr>'GVEB|0199-00'!PermFxdBen</vt:lpstr>
      <vt:lpstr>PermFxdBen</vt:lpstr>
      <vt:lpstr>'GVEA|0125-00'!PermFxdBenChg</vt:lpstr>
      <vt:lpstr>'GVEA|0348-00'!PermFxdBenChg</vt:lpstr>
      <vt:lpstr>'GVEA|0349-00'!PermFxdBenChg</vt:lpstr>
      <vt:lpstr>'GVEA|0494-00'!PermFxdBenChg</vt:lpstr>
      <vt:lpstr>'GVEB|0199-00'!PermFxdBenChg</vt:lpstr>
      <vt:lpstr>PermFxdBenChg</vt:lpstr>
      <vt:lpstr>'GVEA|0125-00'!PermFxdChg</vt:lpstr>
      <vt:lpstr>'GVEA|0348-00'!PermFxdChg</vt:lpstr>
      <vt:lpstr>'GVEA|0349-00'!PermFxdChg</vt:lpstr>
      <vt:lpstr>'GVEA|0494-00'!PermFxdChg</vt:lpstr>
      <vt:lpstr>'GVEB|0199-00'!PermFxdChg</vt:lpstr>
      <vt:lpstr>PermFxdChg</vt:lpstr>
      <vt:lpstr>'GVEA|0125-00'!PermSalary</vt:lpstr>
      <vt:lpstr>'GVEA|0348-00'!PermSalary</vt:lpstr>
      <vt:lpstr>'GVEA|0349-00'!PermSalary</vt:lpstr>
      <vt:lpstr>'GVEA|0494-00'!PermSalary</vt:lpstr>
      <vt:lpstr>'GVEB|0199-00'!PermSalary</vt:lpstr>
      <vt:lpstr>PermSalary</vt:lpstr>
      <vt:lpstr>'GVEA|0125-00'!PermVarBen</vt:lpstr>
      <vt:lpstr>'GVEA|0348-00'!PermVarBen</vt:lpstr>
      <vt:lpstr>'GVEA|0349-00'!PermVarBen</vt:lpstr>
      <vt:lpstr>'GVEA|0494-00'!PermVarBen</vt:lpstr>
      <vt:lpstr>'GVEB|0199-00'!PermVarBen</vt:lpstr>
      <vt:lpstr>PermVarBen</vt:lpstr>
      <vt:lpstr>'GVEA|0125-00'!PermVarBenChg</vt:lpstr>
      <vt:lpstr>'GVEA|0348-00'!PermVarBenChg</vt:lpstr>
      <vt:lpstr>'GVEA|0349-00'!PermVarBenChg</vt:lpstr>
      <vt:lpstr>'GVEA|0494-00'!PermVarBenChg</vt:lpstr>
      <vt:lpstr>'GVEB|0199-00'!PermVarBenChg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'GVEA|0125-00'!Print_Area</vt:lpstr>
      <vt:lpstr>'GVEA|0348-00'!Print_Area</vt:lpstr>
      <vt:lpstr>'GVEA|0349-00'!Print_Area</vt:lpstr>
      <vt:lpstr>'GVEA|0494-00'!Print_Area</vt:lpstr>
      <vt:lpstr>'GVEB|0199-00'!Print_Area</vt:lpstr>
      <vt:lpstr>'GVEA|0125-00'!Prog_Unadjusted_Total</vt:lpstr>
      <vt:lpstr>'GVEA|0348-00'!Prog_Unadjusted_Total</vt:lpstr>
      <vt:lpstr>'GVEA|0349-00'!Prog_Unadjusted_Total</vt:lpstr>
      <vt:lpstr>'GVEA|0494-00'!Prog_Unadjusted_Total</vt:lpstr>
      <vt:lpstr>'GVEB|0199-00'!Prog_Unadjusted_Total</vt:lpstr>
      <vt:lpstr>Prog_Unadjusted_Total</vt:lpstr>
      <vt:lpstr>'GVEA|0125-00'!Program</vt:lpstr>
      <vt:lpstr>'GVEA|0348-00'!Program</vt:lpstr>
      <vt:lpstr>'GVEA|0349-00'!Program</vt:lpstr>
      <vt:lpstr>'GVEA|0494-00'!Program</vt:lpstr>
      <vt:lpstr>'GVEB|0199-00'!Program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'GVEA|0125-00'!RoundedAppropSalary</vt:lpstr>
      <vt:lpstr>'GVEA|0348-00'!RoundedAppropSalary</vt:lpstr>
      <vt:lpstr>'GVEA|0349-00'!RoundedAppropSalary</vt:lpstr>
      <vt:lpstr>'GVEA|0494-00'!RoundedAppropSalary</vt:lpstr>
      <vt:lpstr>'GVEB|0199-00'!RoundedAppropSalary</vt:lpstr>
      <vt:lpstr>RoundedAppropSalary</vt:lpstr>
      <vt:lpstr>'GVEA|0125-00'!SalaryChg</vt:lpstr>
      <vt:lpstr>'GVEA|0348-00'!SalaryChg</vt:lpstr>
      <vt:lpstr>'GVEA|0349-00'!SalaryChg</vt:lpstr>
      <vt:lpstr>'GVEA|0494-00'!SalaryChg</vt:lpstr>
      <vt:lpstr>'GVEB|0199-00'!SalaryChg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200 B6</dc:title>
  <dc:subject>B6</dc:subject>
  <dc:creator>Shane Winslow</dc:creator>
  <cp:lastModifiedBy>Shane Winslow</cp:lastModifiedBy>
  <cp:lastPrinted>2019-06-21T15:46:35Z</cp:lastPrinted>
  <dcterms:created xsi:type="dcterms:W3CDTF">2013-05-01T19:55:41Z</dcterms:created>
  <dcterms:modified xsi:type="dcterms:W3CDTF">2021-07-14T20:22:18Z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